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Users\AUXPLANEACION03\Desktop\publicar\"/>
    </mc:Choice>
  </mc:AlternateContent>
  <bookViews>
    <workbookView xWindow="0" yWindow="0" windowWidth="14880" windowHeight="8850"/>
  </bookViews>
  <sheets>
    <sheet name="SGTO POAI 2020" sheetId="8" r:id="rId1"/>
    <sheet name="PROYECTOS" sheetId="7" r:id="rId2"/>
    <sheet name="UNIDADES" sheetId="5" r:id="rId3"/>
    <sheet name="PROGRAMAS " sheetId="11" r:id="rId4"/>
    <sheet name="LINEAS ESTRATEGICAS" sheetId="9"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1._Apoyo_con_equipos_para_la_seguridad_vial_Licenciamiento_de_software_para_comunicaciones" localSheetId="0">#REF!</definedName>
    <definedName name="_1._Apoyo_con_equipos_para_la_seguridad_vial_Licenciamiento_de_software_para_comunicaciones">#REF!</definedName>
    <definedName name="_xlnm._FilterDatabase" localSheetId="1" hidden="1">PROYECTOS!$A$23:$L$23</definedName>
    <definedName name="_xlnm._FilterDatabase" localSheetId="0" hidden="1">'SGTO POAI 2020'!$BJ$1:$BL$396</definedName>
    <definedName name="CODIGO_DIVIPOLA">#REF!</definedName>
    <definedName name="DboREGISTRO_LEY_617">#REF!</definedName>
    <definedName name="ññ">#REF!</definedName>
  </definedNames>
  <calcPr calcId="152511"/>
</workbook>
</file>

<file path=xl/calcChain.xml><?xml version="1.0" encoding="utf-8"?>
<calcChain xmlns="http://schemas.openxmlformats.org/spreadsheetml/2006/main">
  <c r="BI205" i="8" l="1"/>
  <c r="BH205" i="8"/>
  <c r="AZ203" i="8" l="1"/>
  <c r="AY203" i="8"/>
  <c r="AN200" i="8" l="1"/>
  <c r="AM200" i="8"/>
  <c r="AT198" i="8" l="1"/>
  <c r="AS198" i="8"/>
  <c r="BH111" i="8" l="1"/>
  <c r="BH88" i="8"/>
  <c r="AZ319" i="8" l="1"/>
  <c r="B21" i="11" l="1"/>
  <c r="E175" i="7"/>
  <c r="D175" i="7"/>
  <c r="BF389" i="8"/>
  <c r="BE389" i="8"/>
  <c r="AW389" i="8"/>
  <c r="AV389" i="8"/>
  <c r="AT389" i="8"/>
  <c r="AS389" i="8"/>
  <c r="AQ389" i="8"/>
  <c r="AP389" i="8"/>
  <c r="AN389" i="8"/>
  <c r="AM389" i="8"/>
  <c r="AK389" i="8"/>
  <c r="AJ389" i="8"/>
  <c r="AH389" i="8"/>
  <c r="AG389" i="8"/>
  <c r="AE389" i="8"/>
  <c r="AD389" i="8"/>
  <c r="AB389" i="8"/>
  <c r="AA389" i="8"/>
  <c r="Y389" i="8"/>
  <c r="X389" i="8"/>
  <c r="BI388" i="8"/>
  <c r="BH388" i="8"/>
  <c r="BG388" i="8"/>
  <c r="BI387" i="8"/>
  <c r="BH387" i="8"/>
  <c r="BG387" i="8"/>
  <c r="BI386" i="8"/>
  <c r="BH386" i="8"/>
  <c r="BG386" i="8"/>
  <c r="BI385" i="8"/>
  <c r="BH385" i="8"/>
  <c r="BG385" i="8"/>
  <c r="BD384" i="8"/>
  <c r="BD383" i="8" s="1"/>
  <c r="BD382" i="8" s="1"/>
  <c r="BC384" i="8"/>
  <c r="BC383" i="8" s="1"/>
  <c r="BC382" i="8" s="1"/>
  <c r="BB384" i="8"/>
  <c r="BB383" i="8" s="1"/>
  <c r="BB382" i="8" s="1"/>
  <c r="BA384" i="8"/>
  <c r="BA383" i="8" s="1"/>
  <c r="BA382" i="8" s="1"/>
  <c r="AX384" i="8"/>
  <c r="AX383" i="8" s="1"/>
  <c r="AX382" i="8" s="1"/>
  <c r="AU384" i="8"/>
  <c r="AU383" i="8" s="1"/>
  <c r="AU382" i="8" s="1"/>
  <c r="AR384" i="8"/>
  <c r="AR383" i="8" s="1"/>
  <c r="AR382" i="8" s="1"/>
  <c r="AO384" i="8"/>
  <c r="AO383" i="8" s="1"/>
  <c r="AO382" i="8" s="1"/>
  <c r="AL384" i="8"/>
  <c r="AL383" i="8" s="1"/>
  <c r="AL382" i="8" s="1"/>
  <c r="AI384" i="8"/>
  <c r="AI383" i="8" s="1"/>
  <c r="AI382" i="8" s="1"/>
  <c r="AF384" i="8"/>
  <c r="AF383" i="8" s="1"/>
  <c r="AF382" i="8" s="1"/>
  <c r="AC384" i="8"/>
  <c r="AC383" i="8" s="1"/>
  <c r="AC382" i="8" s="1"/>
  <c r="Z384" i="8"/>
  <c r="Z383" i="8" s="1"/>
  <c r="Z382" i="8" s="1"/>
  <c r="W384" i="8"/>
  <c r="W383" i="8" s="1"/>
  <c r="W382" i="8" s="1"/>
  <c r="T384" i="8"/>
  <c r="T383" i="8" s="1"/>
  <c r="T382" i="8" s="1"/>
  <c r="BI381" i="8"/>
  <c r="H181" i="7" s="1"/>
  <c r="BH381" i="8"/>
  <c r="BA381" i="8"/>
  <c r="BG381" i="8" s="1"/>
  <c r="F181" i="7" s="1"/>
  <c r="BD380" i="8"/>
  <c r="BD379" i="8" s="1"/>
  <c r="BC380" i="8"/>
  <c r="BC379" i="8" s="1"/>
  <c r="BB380" i="8"/>
  <c r="BB379" i="8" s="1"/>
  <c r="BA380" i="8"/>
  <c r="BA379" i="8" s="1"/>
  <c r="AX380" i="8"/>
  <c r="AX379" i="8" s="1"/>
  <c r="AU380" i="8"/>
  <c r="AU379" i="8" s="1"/>
  <c r="AR380" i="8"/>
  <c r="AR379" i="8" s="1"/>
  <c r="AO380" i="8"/>
  <c r="AO379" i="8" s="1"/>
  <c r="AL380" i="8"/>
  <c r="AL379" i="8" s="1"/>
  <c r="AI380" i="8"/>
  <c r="AI379" i="8" s="1"/>
  <c r="AF380" i="8"/>
  <c r="AF379" i="8" s="1"/>
  <c r="AC380" i="8"/>
  <c r="AC379" i="8" s="1"/>
  <c r="Z380" i="8"/>
  <c r="Z379" i="8" s="1"/>
  <c r="W380" i="8"/>
  <c r="W379" i="8" s="1"/>
  <c r="T380" i="8"/>
  <c r="T379" i="8" s="1"/>
  <c r="BI378" i="8"/>
  <c r="BH378" i="8"/>
  <c r="BG378" i="8"/>
  <c r="BI377" i="8"/>
  <c r="BH377" i="8"/>
  <c r="BG377" i="8"/>
  <c r="BI376" i="8"/>
  <c r="BH376" i="8"/>
  <c r="BG376" i="8"/>
  <c r="BI375" i="8"/>
  <c r="BH375" i="8"/>
  <c r="BG375" i="8"/>
  <c r="BD374" i="8"/>
  <c r="BC374" i="8"/>
  <c r="BB374" i="8"/>
  <c r="BA374" i="8"/>
  <c r="AX374" i="8"/>
  <c r="AU374" i="8"/>
  <c r="AR374" i="8"/>
  <c r="AO374" i="8"/>
  <c r="AL374" i="8"/>
  <c r="AI374" i="8"/>
  <c r="AF374" i="8"/>
  <c r="AC374" i="8"/>
  <c r="Z374" i="8"/>
  <c r="W374" i="8"/>
  <c r="V374" i="8"/>
  <c r="U374" i="8"/>
  <c r="T374" i="8"/>
  <c r="BI373" i="8"/>
  <c r="H179" i="7" s="1"/>
  <c r="BH373" i="8"/>
  <c r="BG373" i="8"/>
  <c r="BD372" i="8"/>
  <c r="BD371" i="8" s="1"/>
  <c r="BC372" i="8"/>
  <c r="BB372" i="8"/>
  <c r="BA372" i="8"/>
  <c r="AX372" i="8"/>
  <c r="AX371" i="8" s="1"/>
  <c r="AU372" i="8"/>
  <c r="AU371" i="8" s="1"/>
  <c r="AR372" i="8"/>
  <c r="AO372" i="8"/>
  <c r="AL372" i="8"/>
  <c r="AL371" i="8" s="1"/>
  <c r="AI372" i="8"/>
  <c r="AI371" i="8" s="1"/>
  <c r="AF372" i="8"/>
  <c r="AC372" i="8"/>
  <c r="Z372" i="8"/>
  <c r="Z371" i="8" s="1"/>
  <c r="W372" i="8"/>
  <c r="W371" i="8" s="1"/>
  <c r="V372" i="8"/>
  <c r="U372" i="8"/>
  <c r="T372" i="8"/>
  <c r="T371" i="8" s="1"/>
  <c r="BC371" i="8"/>
  <c r="BI370" i="8"/>
  <c r="H178" i="7" s="1"/>
  <c r="BH370" i="8"/>
  <c r="BG370" i="8"/>
  <c r="F178" i="7" s="1"/>
  <c r="T370" i="8"/>
  <c r="BD369" i="8"/>
  <c r="BC369" i="8"/>
  <c r="BB369" i="8"/>
  <c r="BA369" i="8"/>
  <c r="AX369" i="8"/>
  <c r="AU369" i="8"/>
  <c r="AR369" i="8"/>
  <c r="AO369" i="8"/>
  <c r="AL369" i="8"/>
  <c r="AI369" i="8"/>
  <c r="AF369" i="8"/>
  <c r="AC369" i="8"/>
  <c r="Z369" i="8"/>
  <c r="W369" i="8"/>
  <c r="V369" i="8"/>
  <c r="U369" i="8"/>
  <c r="T369" i="8"/>
  <c r="BI368" i="8"/>
  <c r="H177" i="7" s="1"/>
  <c r="BH368" i="8"/>
  <c r="T368" i="8"/>
  <c r="BD367" i="8"/>
  <c r="BC367" i="8"/>
  <c r="BB367" i="8"/>
  <c r="BA367" i="8"/>
  <c r="AX367" i="8"/>
  <c r="AU367" i="8"/>
  <c r="AR367" i="8"/>
  <c r="AO367" i="8"/>
  <c r="AL367" i="8"/>
  <c r="AI367" i="8"/>
  <c r="AF367" i="8"/>
  <c r="AC367" i="8"/>
  <c r="Z367" i="8"/>
  <c r="W367" i="8"/>
  <c r="V367" i="8"/>
  <c r="U367" i="8"/>
  <c r="BD366" i="8"/>
  <c r="BC366" i="8"/>
  <c r="BB366" i="8"/>
  <c r="BA366" i="8"/>
  <c r="AX366" i="8"/>
  <c r="AU366" i="8"/>
  <c r="AR366" i="8"/>
  <c r="AO366" i="8"/>
  <c r="AL366" i="8"/>
  <c r="AI366" i="8"/>
  <c r="AF366" i="8"/>
  <c r="AC366" i="8"/>
  <c r="Z366" i="8"/>
  <c r="W366" i="8"/>
  <c r="V366" i="8"/>
  <c r="U366" i="8"/>
  <c r="BI364" i="8"/>
  <c r="H175" i="7" s="1"/>
  <c r="BH364" i="8"/>
  <c r="BG364" i="8"/>
  <c r="F175" i="7" s="1"/>
  <c r="BI363" i="8"/>
  <c r="H174" i="7" s="1"/>
  <c r="BH363" i="8"/>
  <c r="BG363" i="8"/>
  <c r="F174" i="7" s="1"/>
  <c r="BA363" i="8"/>
  <c r="BI362" i="8"/>
  <c r="BH362" i="8"/>
  <c r="BG362" i="8"/>
  <c r="BD361" i="8"/>
  <c r="BC361" i="8"/>
  <c r="BB361" i="8"/>
  <c r="BA361" i="8"/>
  <c r="AZ361" i="8"/>
  <c r="AY361" i="8"/>
  <c r="AX361" i="8"/>
  <c r="AU361" i="8"/>
  <c r="AR361" i="8"/>
  <c r="AO361" i="8"/>
  <c r="AL361" i="8"/>
  <c r="AI361" i="8"/>
  <c r="AF361" i="8"/>
  <c r="AC361" i="8"/>
  <c r="Z361" i="8"/>
  <c r="W361" i="8"/>
  <c r="T361" i="8"/>
  <c r="BI360" i="8"/>
  <c r="BH360" i="8"/>
  <c r="BG360" i="8"/>
  <c r="BI359" i="8"/>
  <c r="BH359" i="8"/>
  <c r="BA359" i="8"/>
  <c r="AX359" i="8"/>
  <c r="BI358" i="8"/>
  <c r="BH358" i="8"/>
  <c r="BG358" i="8"/>
  <c r="BI357" i="8"/>
  <c r="BH357" i="8"/>
  <c r="BA357" i="8"/>
  <c r="BG357" i="8" s="1"/>
  <c r="BH356" i="8"/>
  <c r="BC356" i="8"/>
  <c r="BI356" i="8" s="1"/>
  <c r="H171" i="7" s="1"/>
  <c r="BA356" i="8"/>
  <c r="BG355" i="8"/>
  <c r="AY355" i="8"/>
  <c r="AZ355" i="8" s="1"/>
  <c r="AZ348" i="8" s="1"/>
  <c r="BI354" i="8"/>
  <c r="BH354" i="8"/>
  <c r="BG354" i="8"/>
  <c r="F170" i="7" s="1"/>
  <c r="BI353" i="8"/>
  <c r="BH353" i="8"/>
  <c r="BG353" i="8"/>
  <c r="BA353" i="8"/>
  <c r="BI352" i="8"/>
  <c r="H169" i="7" s="1"/>
  <c r="BH352" i="8"/>
  <c r="BG352" i="8"/>
  <c r="F169" i="7" s="1"/>
  <c r="BA352" i="8"/>
  <c r="BI351" i="8"/>
  <c r="H168" i="7" s="1"/>
  <c r="BB351" i="8"/>
  <c r="BB348" i="8" s="1"/>
  <c r="BA351" i="8"/>
  <c r="BG351" i="8" s="1"/>
  <c r="F168" i="7" s="1"/>
  <c r="BI350" i="8"/>
  <c r="BH350" i="8"/>
  <c r="BG350" i="8"/>
  <c r="BA350" i="8"/>
  <c r="BI349" i="8"/>
  <c r="H167" i="7" s="1"/>
  <c r="BH349" i="8"/>
  <c r="BG349" i="8"/>
  <c r="F167" i="7" s="1"/>
  <c r="BA349" i="8"/>
  <c r="BD348" i="8"/>
  <c r="AX348" i="8"/>
  <c r="AU348" i="8"/>
  <c r="AR348" i="8"/>
  <c r="AO348" i="8"/>
  <c r="AL348" i="8"/>
  <c r="AI348" i="8"/>
  <c r="AF348" i="8"/>
  <c r="AC348" i="8"/>
  <c r="Z348" i="8"/>
  <c r="W348" i="8"/>
  <c r="T348" i="8"/>
  <c r="BI344" i="8"/>
  <c r="BH344" i="8"/>
  <c r="AX344" i="8"/>
  <c r="BG344" i="8" s="1"/>
  <c r="BI343" i="8"/>
  <c r="BH343" i="8"/>
  <c r="BG343" i="8"/>
  <c r="BF342" i="8"/>
  <c r="BE342" i="8"/>
  <c r="BD342" i="8"/>
  <c r="BD341" i="8" s="1"/>
  <c r="BC342" i="8"/>
  <c r="BB342" i="8"/>
  <c r="BA342" i="8"/>
  <c r="BA341" i="8" s="1"/>
  <c r="AZ342" i="8"/>
  <c r="AZ341" i="8" s="1"/>
  <c r="AY342" i="8"/>
  <c r="AY341" i="8" s="1"/>
  <c r="AX342" i="8"/>
  <c r="AX341" i="8" s="1"/>
  <c r="AW342" i="8"/>
  <c r="AV342" i="8"/>
  <c r="AU342" i="8"/>
  <c r="AU341" i="8" s="1"/>
  <c r="AT342" i="8"/>
  <c r="AS342" i="8"/>
  <c r="AR342" i="8"/>
  <c r="AR341" i="8" s="1"/>
  <c r="AQ342" i="8"/>
  <c r="AP342" i="8"/>
  <c r="AO342" i="8"/>
  <c r="AO341" i="8" s="1"/>
  <c r="AN342" i="8"/>
  <c r="AM342" i="8"/>
  <c r="AL342" i="8"/>
  <c r="AL341" i="8" s="1"/>
  <c r="AK342" i="8"/>
  <c r="AJ342" i="8"/>
  <c r="AI342" i="8"/>
  <c r="AI341" i="8" s="1"/>
  <c r="AH342" i="8"/>
  <c r="AG342" i="8"/>
  <c r="AF342" i="8"/>
  <c r="AF341" i="8" s="1"/>
  <c r="AE342" i="8"/>
  <c r="AD342" i="8"/>
  <c r="AC342" i="8"/>
  <c r="AC341" i="8" s="1"/>
  <c r="AB342" i="8"/>
  <c r="AA342" i="8"/>
  <c r="Z342" i="8"/>
  <c r="Z341" i="8" s="1"/>
  <c r="Y342" i="8"/>
  <c r="X342" i="8"/>
  <c r="W342" i="8"/>
  <c r="W341" i="8" s="1"/>
  <c r="V342" i="8"/>
  <c r="U342" i="8"/>
  <c r="T342" i="8"/>
  <c r="T341" i="8" s="1"/>
  <c r="BI340" i="8"/>
  <c r="H162" i="7" s="1"/>
  <c r="BH340" i="8"/>
  <c r="BG340" i="8"/>
  <c r="BD339" i="8"/>
  <c r="BA339" i="8"/>
  <c r="AZ339" i="8"/>
  <c r="AY339" i="8"/>
  <c r="AX339" i="8"/>
  <c r="AU339" i="8"/>
  <c r="AR339" i="8"/>
  <c r="AO339" i="8"/>
  <c r="AL339" i="8"/>
  <c r="AI339" i="8"/>
  <c r="AF339" i="8"/>
  <c r="AC339" i="8"/>
  <c r="Z339" i="8"/>
  <c r="W339" i="8"/>
  <c r="T339" i="8"/>
  <c r="BI338" i="8"/>
  <c r="H161" i="7" s="1"/>
  <c r="BH338" i="8"/>
  <c r="AX338" i="8"/>
  <c r="BD337" i="8"/>
  <c r="BA337" i="8"/>
  <c r="AZ337" i="8"/>
  <c r="AY337" i="8"/>
  <c r="AU337" i="8"/>
  <c r="AR337" i="8"/>
  <c r="AO337" i="8"/>
  <c r="AL337" i="8"/>
  <c r="AI337" i="8"/>
  <c r="AF337" i="8"/>
  <c r="AC337" i="8"/>
  <c r="Z337" i="8"/>
  <c r="W337" i="8"/>
  <c r="T337" i="8"/>
  <c r="BI335" i="8"/>
  <c r="H160" i="7" s="1"/>
  <c r="BH335" i="8"/>
  <c r="BG335" i="8"/>
  <c r="F160" i="7" s="1"/>
  <c r="BD334" i="8"/>
  <c r="BA334" i="8"/>
  <c r="AZ334" i="8"/>
  <c r="AY334" i="8"/>
  <c r="AX334" i="8"/>
  <c r="AU334" i="8"/>
  <c r="AR334" i="8"/>
  <c r="AO334" i="8"/>
  <c r="AL334" i="8"/>
  <c r="AI334" i="8"/>
  <c r="AF334" i="8"/>
  <c r="AC334" i="8"/>
  <c r="Z334" i="8"/>
  <c r="W334" i="8"/>
  <c r="T334" i="8"/>
  <c r="BI333" i="8"/>
  <c r="BH333" i="8"/>
  <c r="BG333" i="8"/>
  <c r="AX333" i="8"/>
  <c r="BI332" i="8"/>
  <c r="BI331" i="8" s="1"/>
  <c r="BH332" i="8"/>
  <c r="BG332" i="8"/>
  <c r="AX332" i="8"/>
  <c r="BD331" i="8"/>
  <c r="BA331" i="8"/>
  <c r="AZ331" i="8"/>
  <c r="AY331" i="8"/>
  <c r="AX331" i="8"/>
  <c r="AU331" i="8"/>
  <c r="AR331" i="8"/>
  <c r="AO331" i="8"/>
  <c r="AL331" i="8"/>
  <c r="AI331" i="8"/>
  <c r="AF331" i="8"/>
  <c r="AC331" i="8"/>
  <c r="Z331" i="8"/>
  <c r="W331" i="8"/>
  <c r="T331" i="8"/>
  <c r="BI328" i="8"/>
  <c r="H157" i="7" s="1"/>
  <c r="BH328" i="8"/>
  <c r="AX328" i="8"/>
  <c r="AF328" i="8"/>
  <c r="BG328" i="8" s="1"/>
  <c r="F157" i="7" s="1"/>
  <c r="BI327" i="8"/>
  <c r="BH327" i="8"/>
  <c r="BD327" i="8"/>
  <c r="BA327" i="8"/>
  <c r="BA321" i="8" s="1"/>
  <c r="AI327" i="8"/>
  <c r="AF327" i="8"/>
  <c r="BG327" i="8" s="1"/>
  <c r="BI326" i="8"/>
  <c r="BH326" i="8"/>
  <c r="AF326" i="8"/>
  <c r="BG326" i="8" s="1"/>
  <c r="BI324" i="8"/>
  <c r="BH324" i="8"/>
  <c r="BD324" i="8"/>
  <c r="BG324" i="8" s="1"/>
  <c r="BI323" i="8"/>
  <c r="BH323" i="8"/>
  <c r="AI323" i="8"/>
  <c r="BI322" i="8"/>
  <c r="BH322" i="8"/>
  <c r="BG322" i="8"/>
  <c r="BF321" i="8"/>
  <c r="BE321" i="8"/>
  <c r="BD321" i="8"/>
  <c r="AZ321" i="8"/>
  <c r="AY321" i="8"/>
  <c r="AX321" i="8"/>
  <c r="AU321" i="8"/>
  <c r="AR321" i="8"/>
  <c r="AO321" i="8"/>
  <c r="AL321" i="8"/>
  <c r="AK321" i="8"/>
  <c r="AJ321" i="8"/>
  <c r="AH321" i="8"/>
  <c r="AG321" i="8"/>
  <c r="AF321" i="8"/>
  <c r="AC321" i="8"/>
  <c r="Z321" i="8"/>
  <c r="W321" i="8"/>
  <c r="T321" i="8"/>
  <c r="AH320" i="8"/>
  <c r="BI320" i="8" s="1"/>
  <c r="H154" i="7" s="1"/>
  <c r="AG320" i="8"/>
  <c r="BH320" i="8" s="1"/>
  <c r="AF320" i="8"/>
  <c r="BG320" i="8" s="1"/>
  <c r="F154" i="7" s="1"/>
  <c r="BI319" i="8"/>
  <c r="H153" i="7" s="1"/>
  <c r="BH319" i="8"/>
  <c r="AX319" i="8"/>
  <c r="BG319" i="8" s="1"/>
  <c r="F153" i="7" s="1"/>
  <c r="BI318" i="8"/>
  <c r="H152" i="7" s="1"/>
  <c r="BH318" i="8"/>
  <c r="AF318" i="8"/>
  <c r="BG318" i="8" s="1"/>
  <c r="F152" i="7" s="1"/>
  <c r="BI317" i="8"/>
  <c r="H151" i="7" s="1"/>
  <c r="BH317" i="8"/>
  <c r="AF317" i="8"/>
  <c r="BG317" i="8" s="1"/>
  <c r="F151" i="7" s="1"/>
  <c r="BI316" i="8"/>
  <c r="BH316" i="8"/>
  <c r="AF316" i="8"/>
  <c r="BG316" i="8" s="1"/>
  <c r="BI315" i="8"/>
  <c r="BH315" i="8"/>
  <c r="AF315" i="8"/>
  <c r="BG315" i="8" s="1"/>
  <c r="BG314" i="8"/>
  <c r="F149" i="7" s="1"/>
  <c r="AZ314" i="8"/>
  <c r="AZ290" i="8" s="1"/>
  <c r="AY314" i="8"/>
  <c r="BH314" i="8" s="1"/>
  <c r="BI313" i="8"/>
  <c r="BH313" i="8"/>
  <c r="BD313" i="8"/>
  <c r="BG313" i="8" s="1"/>
  <c r="BI312" i="8"/>
  <c r="BH312" i="8"/>
  <c r="AF312" i="8"/>
  <c r="BG312" i="8" s="1"/>
  <c r="BI311" i="8"/>
  <c r="BH311" i="8"/>
  <c r="BD311" i="8"/>
  <c r="BG311" i="8" s="1"/>
  <c r="BI310" i="8"/>
  <c r="BH310" i="8"/>
  <c r="BD310" i="8"/>
  <c r="BD290" i="8" s="1"/>
  <c r="AX310" i="8"/>
  <c r="AF310" i="8"/>
  <c r="BG310" i="8" s="1"/>
  <c r="BI309" i="8"/>
  <c r="BH309" i="8"/>
  <c r="AX309" i="8"/>
  <c r="BG309" i="8" s="1"/>
  <c r="BI308" i="8"/>
  <c r="BH308" i="8"/>
  <c r="AF308" i="8"/>
  <c r="BG308" i="8" s="1"/>
  <c r="BI307" i="8"/>
  <c r="BH307" i="8"/>
  <c r="BG307" i="8"/>
  <c r="BI306" i="8"/>
  <c r="BH306" i="8"/>
  <c r="BG306" i="8"/>
  <c r="AF306" i="8"/>
  <c r="BI305" i="8"/>
  <c r="BH305" i="8"/>
  <c r="BG305" i="8"/>
  <c r="F145" i="7" s="1"/>
  <c r="BI304" i="8"/>
  <c r="BH304" i="8"/>
  <c r="AF304" i="8"/>
  <c r="BG304" i="8" s="1"/>
  <c r="BI303" i="8"/>
  <c r="BH303" i="8"/>
  <c r="AF303" i="8"/>
  <c r="BG303" i="8" s="1"/>
  <c r="BI302" i="8"/>
  <c r="BH302" i="8"/>
  <c r="AF302" i="8"/>
  <c r="BG302" i="8" s="1"/>
  <c r="BI301" i="8"/>
  <c r="BH301" i="8"/>
  <c r="AF301" i="8"/>
  <c r="BG301" i="8" s="1"/>
  <c r="BI300" i="8"/>
  <c r="BH300" i="8"/>
  <c r="AF300" i="8"/>
  <c r="BG300" i="8" s="1"/>
  <c r="BI299" i="8"/>
  <c r="BH299" i="8"/>
  <c r="AF299" i="8"/>
  <c r="BI298" i="8"/>
  <c r="BH298" i="8"/>
  <c r="AF298" i="8"/>
  <c r="BG298" i="8" s="1"/>
  <c r="BI297" i="8"/>
  <c r="BH297" i="8"/>
  <c r="BG297" i="8"/>
  <c r="BI296" i="8"/>
  <c r="BH296" i="8"/>
  <c r="BG296" i="8"/>
  <c r="AF296" i="8"/>
  <c r="BI295" i="8"/>
  <c r="BH295" i="8"/>
  <c r="BG295" i="8"/>
  <c r="AF295" i="8"/>
  <c r="BI294" i="8"/>
  <c r="BH294" i="8"/>
  <c r="BG294" i="8"/>
  <c r="AF294" i="8"/>
  <c r="BI293" i="8"/>
  <c r="BH293" i="8"/>
  <c r="BG293" i="8"/>
  <c r="AF293" i="8"/>
  <c r="BI292" i="8"/>
  <c r="BH292" i="8"/>
  <c r="BG292" i="8"/>
  <c r="AF292" i="8"/>
  <c r="BG291" i="8"/>
  <c r="AH291" i="8"/>
  <c r="AG291" i="8"/>
  <c r="BH291" i="8" s="1"/>
  <c r="BF290" i="8"/>
  <c r="BE290" i="8"/>
  <c r="BA290" i="8"/>
  <c r="AX290" i="8"/>
  <c r="AU290" i="8"/>
  <c r="AR290" i="8"/>
  <c r="AO290" i="8"/>
  <c r="AL290" i="8"/>
  <c r="AI290" i="8"/>
  <c r="AC290" i="8"/>
  <c r="Z290" i="8"/>
  <c r="W290" i="8"/>
  <c r="T290" i="8"/>
  <c r="BI289" i="8"/>
  <c r="BH289" i="8"/>
  <c r="AI289" i="8"/>
  <c r="BG289" i="8" s="1"/>
  <c r="BI288" i="8"/>
  <c r="BH288" i="8"/>
  <c r="AI288" i="8"/>
  <c r="BG288" i="8" s="1"/>
  <c r="BI287" i="8"/>
  <c r="BH287" i="8"/>
  <c r="AI287" i="8"/>
  <c r="BG287" i="8" s="1"/>
  <c r="BI286" i="8"/>
  <c r="BH286" i="8"/>
  <c r="BG286" i="8"/>
  <c r="BI285" i="8"/>
  <c r="BH285" i="8"/>
  <c r="BG285" i="8"/>
  <c r="BI284" i="8"/>
  <c r="BH284" i="8"/>
  <c r="BG284" i="8"/>
  <c r="BI283" i="8"/>
  <c r="BH283" i="8"/>
  <c r="BG283" i="8"/>
  <c r="BI282" i="8"/>
  <c r="BH282" i="8"/>
  <c r="AX282" i="8"/>
  <c r="BG282" i="8" s="1"/>
  <c r="BI281" i="8"/>
  <c r="H138" i="7" s="1"/>
  <c r="BH281" i="8"/>
  <c r="BG281" i="8"/>
  <c r="F138" i="7" s="1"/>
  <c r="BI280" i="8"/>
  <c r="H137" i="7" s="1"/>
  <c r="BH280" i="8"/>
  <c r="BG280" i="8"/>
  <c r="F137" i="7" s="1"/>
  <c r="AF280" i="8"/>
  <c r="BI279" i="8"/>
  <c r="BH279" i="8"/>
  <c r="BG279" i="8"/>
  <c r="BI278" i="8"/>
  <c r="BH278" i="8"/>
  <c r="AF278" i="8"/>
  <c r="BG278" i="8" s="1"/>
  <c r="AX277" i="8"/>
  <c r="AH277" i="8"/>
  <c r="BI277" i="8" s="1"/>
  <c r="AG277" i="8"/>
  <c r="BH277" i="8" s="1"/>
  <c r="AF277" i="8"/>
  <c r="BG277" i="8" s="1"/>
  <c r="BI276" i="8"/>
  <c r="BH276" i="8"/>
  <c r="BG276" i="8"/>
  <c r="AF276" i="8"/>
  <c r="BG275" i="8"/>
  <c r="AH275" i="8"/>
  <c r="BI275" i="8" s="1"/>
  <c r="AG275" i="8"/>
  <c r="BH275" i="8" s="1"/>
  <c r="BI274" i="8"/>
  <c r="BH274" i="8"/>
  <c r="BG274" i="8"/>
  <c r="BI273" i="8"/>
  <c r="BH273" i="8"/>
  <c r="AF273" i="8"/>
  <c r="BG273" i="8" s="1"/>
  <c r="BI272" i="8"/>
  <c r="BH272" i="8"/>
  <c r="AF272" i="8"/>
  <c r="BG272" i="8" s="1"/>
  <c r="BI271" i="8"/>
  <c r="BH271" i="8"/>
  <c r="AI271" i="8"/>
  <c r="BI270" i="8"/>
  <c r="BH270" i="8"/>
  <c r="AF270" i="8"/>
  <c r="BG270" i="8" s="1"/>
  <c r="BI269" i="8"/>
  <c r="BH269" i="8"/>
  <c r="AF269" i="8"/>
  <c r="BI268" i="8"/>
  <c r="BH268" i="8"/>
  <c r="AX268" i="8"/>
  <c r="AF268" i="8"/>
  <c r="BG268" i="8" s="1"/>
  <c r="BI267" i="8"/>
  <c r="H133" i="7" s="1"/>
  <c r="BH267" i="8"/>
  <c r="BG267" i="8"/>
  <c r="F133" i="7" s="1"/>
  <c r="AF267" i="8"/>
  <c r="BF266" i="8"/>
  <c r="BE266" i="8"/>
  <c r="BD266" i="8"/>
  <c r="BC266" i="8"/>
  <c r="BC265" i="8" s="1"/>
  <c r="BC264" i="8" s="1"/>
  <c r="BB266" i="8"/>
  <c r="BB265" i="8" s="1"/>
  <c r="BB264" i="8" s="1"/>
  <c r="BA266" i="8"/>
  <c r="AZ266" i="8"/>
  <c r="AY266" i="8"/>
  <c r="AX266" i="8"/>
  <c r="AW266" i="8"/>
  <c r="AW265" i="8" s="1"/>
  <c r="AW264" i="8" s="1"/>
  <c r="AV266" i="8"/>
  <c r="AV265" i="8" s="1"/>
  <c r="AV264" i="8" s="1"/>
  <c r="AU266" i="8"/>
  <c r="AT266" i="8"/>
  <c r="AT265" i="8" s="1"/>
  <c r="AT264" i="8" s="1"/>
  <c r="AS266" i="8"/>
  <c r="AS265" i="8" s="1"/>
  <c r="AS264" i="8" s="1"/>
  <c r="AR266" i="8"/>
  <c r="AQ266" i="8"/>
  <c r="AQ265" i="8" s="1"/>
  <c r="AQ264" i="8" s="1"/>
  <c r="AP266" i="8"/>
  <c r="AP265" i="8" s="1"/>
  <c r="AP264" i="8" s="1"/>
  <c r="AO266" i="8"/>
  <c r="AN266" i="8"/>
  <c r="AN265" i="8" s="1"/>
  <c r="AN264" i="8" s="1"/>
  <c r="AM266" i="8"/>
  <c r="AM265" i="8" s="1"/>
  <c r="AM264" i="8" s="1"/>
  <c r="AL266" i="8"/>
  <c r="AK266" i="8"/>
  <c r="AJ266" i="8"/>
  <c r="AG266" i="8"/>
  <c r="AE266" i="8"/>
  <c r="AE265" i="8" s="1"/>
  <c r="AE264" i="8" s="1"/>
  <c r="AD266" i="8"/>
  <c r="AD265" i="8" s="1"/>
  <c r="AD264" i="8" s="1"/>
  <c r="AC266" i="8"/>
  <c r="AB266" i="8"/>
  <c r="AB265" i="8" s="1"/>
  <c r="AB264" i="8" s="1"/>
  <c r="AA266" i="8"/>
  <c r="AA265" i="8" s="1"/>
  <c r="AA264" i="8" s="1"/>
  <c r="Z266" i="8"/>
  <c r="Y266" i="8"/>
  <c r="Y265" i="8" s="1"/>
  <c r="Y264" i="8" s="1"/>
  <c r="X266" i="8"/>
  <c r="X265" i="8" s="1"/>
  <c r="X264" i="8" s="1"/>
  <c r="W266" i="8"/>
  <c r="V266" i="8"/>
  <c r="V265" i="8" s="1"/>
  <c r="V264" i="8" s="1"/>
  <c r="U266" i="8"/>
  <c r="U265" i="8" s="1"/>
  <c r="U264" i="8" s="1"/>
  <c r="T266" i="8"/>
  <c r="BI263" i="8"/>
  <c r="BI262" i="8" s="1"/>
  <c r="BI261" i="8" s="1"/>
  <c r="BH263" i="8"/>
  <c r="BG263" i="8"/>
  <c r="BD262" i="8"/>
  <c r="BD261" i="8" s="1"/>
  <c r="BA262" i="8"/>
  <c r="BA261" i="8" s="1"/>
  <c r="AZ262" i="8"/>
  <c r="AZ261" i="8" s="1"/>
  <c r="AY262" i="8"/>
  <c r="AY261" i="8" s="1"/>
  <c r="AX262" i="8"/>
  <c r="AX261" i="8" s="1"/>
  <c r="AU262" i="8"/>
  <c r="AU261" i="8" s="1"/>
  <c r="AR262" i="8"/>
  <c r="AR261" i="8" s="1"/>
  <c r="AO262" i="8"/>
  <c r="AO261" i="8" s="1"/>
  <c r="AL262" i="8"/>
  <c r="AL261" i="8" s="1"/>
  <c r="AI262" i="8"/>
  <c r="AI261" i="8" s="1"/>
  <c r="AF262" i="8"/>
  <c r="AF261" i="8" s="1"/>
  <c r="AC262" i="8"/>
  <c r="AC261" i="8" s="1"/>
  <c r="Z262" i="8"/>
  <c r="Z261" i="8" s="1"/>
  <c r="W262" i="8"/>
  <c r="W261" i="8" s="1"/>
  <c r="T262" i="8"/>
  <c r="T261" i="8" s="1"/>
  <c r="BI260" i="8"/>
  <c r="BH260" i="8"/>
  <c r="BG260" i="8"/>
  <c r="F130" i="7" s="1"/>
  <c r="BD259" i="8"/>
  <c r="BD258" i="8" s="1"/>
  <c r="BA259" i="8"/>
  <c r="BA258" i="8" s="1"/>
  <c r="AZ259" i="8"/>
  <c r="AZ258" i="8" s="1"/>
  <c r="AY259" i="8"/>
  <c r="AX259" i="8"/>
  <c r="AX258" i="8" s="1"/>
  <c r="AU259" i="8"/>
  <c r="AU258" i="8" s="1"/>
  <c r="AR259" i="8"/>
  <c r="AR258" i="8" s="1"/>
  <c r="AO259" i="8"/>
  <c r="AO258" i="8" s="1"/>
  <c r="AL259" i="8"/>
  <c r="AL258" i="8" s="1"/>
  <c r="AI259" i="8"/>
  <c r="AI258" i="8" s="1"/>
  <c r="AF259" i="8"/>
  <c r="AF258" i="8" s="1"/>
  <c r="AC259" i="8"/>
  <c r="AC258" i="8" s="1"/>
  <c r="Z259" i="8"/>
  <c r="Z258" i="8" s="1"/>
  <c r="W259" i="8"/>
  <c r="W258" i="8" s="1"/>
  <c r="T259" i="8"/>
  <c r="T258" i="8" s="1"/>
  <c r="BF258" i="8"/>
  <c r="BE258" i="8"/>
  <c r="BC258" i="8"/>
  <c r="BB258" i="8"/>
  <c r="AY258" i="8"/>
  <c r="BI257" i="8"/>
  <c r="H129" i="7" s="1"/>
  <c r="BH257" i="8"/>
  <c r="BG257" i="8"/>
  <c r="F129" i="7" s="1"/>
  <c r="BI256" i="8"/>
  <c r="H128" i="7" s="1"/>
  <c r="BH256" i="8"/>
  <c r="AX256" i="8"/>
  <c r="BG256" i="8" s="1"/>
  <c r="BD255" i="8"/>
  <c r="BA255" i="8"/>
  <c r="AZ255" i="8"/>
  <c r="AY255" i="8"/>
  <c r="AX255" i="8"/>
  <c r="AU255" i="8"/>
  <c r="AR255" i="8"/>
  <c r="AO255" i="8"/>
  <c r="AL255" i="8"/>
  <c r="AI255" i="8"/>
  <c r="AF255" i="8"/>
  <c r="AC255" i="8"/>
  <c r="Z255" i="8"/>
  <c r="W255" i="8"/>
  <c r="T255" i="8"/>
  <c r="BI254" i="8"/>
  <c r="H127" i="7" s="1"/>
  <c r="BH254" i="8"/>
  <c r="BG254" i="8"/>
  <c r="F127" i="7" s="1"/>
  <c r="BI253" i="8"/>
  <c r="BH253" i="8"/>
  <c r="BG253" i="8"/>
  <c r="BI252" i="8"/>
  <c r="BH252" i="8"/>
  <c r="AX252" i="8"/>
  <c r="BG252" i="8" s="1"/>
  <c r="BI251" i="8"/>
  <c r="BH251" i="8"/>
  <c r="AX251" i="8"/>
  <c r="BG251" i="8" s="1"/>
  <c r="BI250" i="8"/>
  <c r="H125" i="7" s="1"/>
  <c r="BH250" i="8"/>
  <c r="AX250" i="8"/>
  <c r="BG250" i="8" s="1"/>
  <c r="F125" i="7" s="1"/>
  <c r="BI249" i="8"/>
  <c r="H124" i="7" s="1"/>
  <c r="BH249" i="8"/>
  <c r="AX249" i="8"/>
  <c r="BI248" i="8"/>
  <c r="H123" i="7" s="1"/>
  <c r="BH248" i="8"/>
  <c r="BG248" i="8"/>
  <c r="F123" i="7" s="1"/>
  <c r="BI247" i="8"/>
  <c r="AY247" i="8"/>
  <c r="BH247" i="8" s="1"/>
  <c r="AX247" i="8"/>
  <c r="BG247" i="8" s="1"/>
  <c r="BI246" i="8"/>
  <c r="BH246" i="8"/>
  <c r="BG246" i="8"/>
  <c r="AX246" i="8"/>
  <c r="BD245" i="8"/>
  <c r="BA245" i="8"/>
  <c r="AZ245" i="8"/>
  <c r="AU245" i="8"/>
  <c r="AR245" i="8"/>
  <c r="AO245" i="8"/>
  <c r="AL245" i="8"/>
  <c r="AI245" i="8"/>
  <c r="AF245" i="8"/>
  <c r="AC245" i="8"/>
  <c r="Z245" i="8"/>
  <c r="W245" i="8"/>
  <c r="V245" i="8"/>
  <c r="U245" i="8"/>
  <c r="T245" i="8"/>
  <c r="BI244" i="8"/>
  <c r="H121" i="7" s="1"/>
  <c r="BH244" i="8"/>
  <c r="AX244" i="8"/>
  <c r="BI243" i="8"/>
  <c r="BH243" i="8"/>
  <c r="BG243" i="8"/>
  <c r="BI242" i="8"/>
  <c r="BH242" i="8"/>
  <c r="BG242" i="8"/>
  <c r="BI241" i="8"/>
  <c r="H119" i="7" s="1"/>
  <c r="BH241" i="8"/>
  <c r="BG241" i="8"/>
  <c r="F119" i="7" s="1"/>
  <c r="BI240" i="8"/>
  <c r="H118" i="7" s="1"/>
  <c r="BH240" i="8"/>
  <c r="BG240" i="8"/>
  <c r="F118" i="7" s="1"/>
  <c r="BI239" i="8"/>
  <c r="H117" i="7" s="1"/>
  <c r="BH239" i="8"/>
  <c r="BG239" i="8"/>
  <c r="F117" i="7" s="1"/>
  <c r="BI238" i="8"/>
  <c r="BH238" i="8"/>
  <c r="BG238" i="8"/>
  <c r="BD237" i="8"/>
  <c r="BA237" i="8"/>
  <c r="AZ237" i="8"/>
  <c r="AY237" i="8"/>
  <c r="AU237" i="8"/>
  <c r="AR237" i="8"/>
  <c r="AO237" i="8"/>
  <c r="AL237" i="8"/>
  <c r="AI237" i="8"/>
  <c r="AF237" i="8"/>
  <c r="AC237" i="8"/>
  <c r="Z237" i="8"/>
  <c r="W237" i="8"/>
  <c r="T237" i="8"/>
  <c r="BI236" i="8"/>
  <c r="H115" i="7" s="1"/>
  <c r="BH236" i="8"/>
  <c r="BG236" i="8"/>
  <c r="F115" i="7" s="1"/>
  <c r="BI235" i="8"/>
  <c r="H114" i="7" s="1"/>
  <c r="BH235" i="8"/>
  <c r="BG235" i="8"/>
  <c r="F114" i="7" s="1"/>
  <c r="BI234" i="8"/>
  <c r="H113" i="7" s="1"/>
  <c r="BH234" i="8"/>
  <c r="BG234" i="8"/>
  <c r="F113" i="7" s="1"/>
  <c r="BI233" i="8"/>
  <c r="H112" i="7" s="1"/>
  <c r="BH233" i="8"/>
  <c r="AX233" i="8"/>
  <c r="BG233" i="8" s="1"/>
  <c r="F112" i="7" s="1"/>
  <c r="BI232" i="8"/>
  <c r="H111" i="7" s="1"/>
  <c r="BH232" i="8"/>
  <c r="AX232" i="8"/>
  <c r="BG232" i="8" s="1"/>
  <c r="F111" i="7" s="1"/>
  <c r="BI231" i="8"/>
  <c r="H110" i="7" s="1"/>
  <c r="BH231" i="8"/>
  <c r="AX231" i="8"/>
  <c r="BG231" i="8" s="1"/>
  <c r="F110" i="7" s="1"/>
  <c r="BI230" i="8"/>
  <c r="BH230" i="8"/>
  <c r="BG230" i="8"/>
  <c r="BI229" i="8"/>
  <c r="BH229" i="8"/>
  <c r="BG229" i="8"/>
  <c r="BD228" i="8"/>
  <c r="BA228" i="8"/>
  <c r="AZ228" i="8"/>
  <c r="AY228" i="8"/>
  <c r="AX228" i="8"/>
  <c r="AU228" i="8"/>
  <c r="AR228" i="8"/>
  <c r="AO228" i="8"/>
  <c r="AL228" i="8"/>
  <c r="AI228" i="8"/>
  <c r="AF228" i="8"/>
  <c r="AC228" i="8"/>
  <c r="Z228" i="8"/>
  <c r="W228" i="8"/>
  <c r="T228" i="8"/>
  <c r="BI227" i="8"/>
  <c r="H108" i="7" s="1"/>
  <c r="BH227" i="8"/>
  <c r="AX227" i="8"/>
  <c r="BD226" i="8"/>
  <c r="BA226" i="8"/>
  <c r="AZ226" i="8"/>
  <c r="AY226" i="8"/>
  <c r="AU226" i="8"/>
  <c r="AR226" i="8"/>
  <c r="AO226" i="8"/>
  <c r="AL226" i="8"/>
  <c r="AI226" i="8"/>
  <c r="AF226" i="8"/>
  <c r="AC226" i="8"/>
  <c r="Z226" i="8"/>
  <c r="W226" i="8"/>
  <c r="T226" i="8"/>
  <c r="BI225" i="8"/>
  <c r="BH225" i="8"/>
  <c r="BG225" i="8"/>
  <c r="AX225" i="8"/>
  <c r="BI224" i="8"/>
  <c r="BI223" i="8" s="1"/>
  <c r="BH224" i="8"/>
  <c r="BG224" i="8"/>
  <c r="AX224" i="8"/>
  <c r="BD223" i="8"/>
  <c r="BA223" i="8"/>
  <c r="AZ223" i="8"/>
  <c r="AY223" i="8"/>
  <c r="AX223" i="8"/>
  <c r="AU223" i="8"/>
  <c r="AR223" i="8"/>
  <c r="AO223" i="8"/>
  <c r="AL223" i="8"/>
  <c r="AI223" i="8"/>
  <c r="AF223" i="8"/>
  <c r="AC223" i="8"/>
  <c r="Z223" i="8"/>
  <c r="W223" i="8"/>
  <c r="V223" i="8"/>
  <c r="U223" i="8"/>
  <c r="T223" i="8"/>
  <c r="BI220" i="8"/>
  <c r="H105" i="7" s="1"/>
  <c r="BH220" i="8"/>
  <c r="AX220" i="8"/>
  <c r="BG220" i="8" s="1"/>
  <c r="F105" i="7" s="1"/>
  <c r="BI219" i="8"/>
  <c r="H104" i="7" s="1"/>
  <c r="BH219" i="8"/>
  <c r="AX219" i="8"/>
  <c r="BG219" i="8" s="1"/>
  <c r="BF218" i="8"/>
  <c r="BE218" i="8"/>
  <c r="BD218" i="8"/>
  <c r="BC218" i="8"/>
  <c r="BB218" i="8"/>
  <c r="BA218" i="8"/>
  <c r="AZ218" i="8"/>
  <c r="AY218" i="8"/>
  <c r="AW218" i="8"/>
  <c r="AV218" i="8"/>
  <c r="AU218" i="8"/>
  <c r="AT218" i="8"/>
  <c r="AS218" i="8"/>
  <c r="AR218" i="8"/>
  <c r="AQ218" i="8"/>
  <c r="AP218" i="8"/>
  <c r="AO218" i="8"/>
  <c r="AN218" i="8"/>
  <c r="AM218" i="8"/>
  <c r="AL218" i="8"/>
  <c r="AK218" i="8"/>
  <c r="AJ218" i="8"/>
  <c r="AI218" i="8"/>
  <c r="AH218" i="8"/>
  <c r="AG218" i="8"/>
  <c r="AF218" i="8"/>
  <c r="AE218" i="8"/>
  <c r="AD218" i="8"/>
  <c r="AC218" i="8"/>
  <c r="AB218" i="8"/>
  <c r="AA218" i="8"/>
  <c r="Z218" i="8"/>
  <c r="Y218" i="8"/>
  <c r="X218" i="8"/>
  <c r="W218" i="8"/>
  <c r="V218" i="8"/>
  <c r="U218" i="8"/>
  <c r="T218" i="8"/>
  <c r="BI217" i="8"/>
  <c r="H103" i="7" s="1"/>
  <c r="BH217" i="8"/>
  <c r="BG217" i="8"/>
  <c r="F103" i="7" s="1"/>
  <c r="BI216" i="8"/>
  <c r="BH216" i="8"/>
  <c r="BG216" i="8"/>
  <c r="BI215" i="8"/>
  <c r="BH215" i="8"/>
  <c r="AX215" i="8"/>
  <c r="BG215" i="8" s="1"/>
  <c r="BI214" i="8"/>
  <c r="BH214" i="8"/>
  <c r="AX214" i="8"/>
  <c r="BG214" i="8" s="1"/>
  <c r="BG213" i="8"/>
  <c r="BI212" i="8"/>
  <c r="H101" i="7" s="1"/>
  <c r="BH212" i="8"/>
  <c r="BG212" i="8"/>
  <c r="AL212" i="8"/>
  <c r="BI211" i="8"/>
  <c r="H100" i="7" s="1"/>
  <c r="BH211" i="8"/>
  <c r="BG211" i="8"/>
  <c r="F100" i="7" s="1"/>
  <c r="AX211" i="8"/>
  <c r="BI210" i="8"/>
  <c r="H99" i="7" s="1"/>
  <c r="BH210" i="8"/>
  <c r="BG210" i="8"/>
  <c r="F99" i="7" s="1"/>
  <c r="AX210" i="8"/>
  <c r="BI209" i="8"/>
  <c r="H98" i="7" s="1"/>
  <c r="BH209" i="8"/>
  <c r="BG209" i="8"/>
  <c r="F98" i="7" s="1"/>
  <c r="BI208" i="8"/>
  <c r="BH208" i="8"/>
  <c r="AX208" i="8"/>
  <c r="AL208" i="8"/>
  <c r="BI207" i="8"/>
  <c r="BH207" i="8"/>
  <c r="BG207" i="8"/>
  <c r="BD207" i="8"/>
  <c r="BI206" i="8"/>
  <c r="BH206" i="8"/>
  <c r="BG206" i="8"/>
  <c r="AX206" i="8"/>
  <c r="AX205" i="8"/>
  <c r="BG205" i="8" s="1"/>
  <c r="BI204" i="8"/>
  <c r="BH204" i="8"/>
  <c r="AL204" i="8"/>
  <c r="BG204" i="8" s="1"/>
  <c r="BI203" i="8"/>
  <c r="BH203" i="8"/>
  <c r="AX203" i="8"/>
  <c r="BG203" i="8" s="1"/>
  <c r="BI202" i="8"/>
  <c r="H96" i="7" s="1"/>
  <c r="BH202" i="8"/>
  <c r="AL202" i="8"/>
  <c r="BG202" i="8" s="1"/>
  <c r="F96" i="7" s="1"/>
  <c r="BI201" i="8"/>
  <c r="H95" i="7" s="1"/>
  <c r="BH201" i="8"/>
  <c r="AO196" i="8"/>
  <c r="BG201" i="8"/>
  <c r="F95" i="7" s="1"/>
  <c r="BI200" i="8"/>
  <c r="BH200" i="8"/>
  <c r="BG200" i="8"/>
  <c r="AL200" i="8"/>
  <c r="BI199" i="8"/>
  <c r="H94" i="7" s="1"/>
  <c r="BH199" i="8"/>
  <c r="BG199" i="8"/>
  <c r="AL199" i="8"/>
  <c r="BI198" i="8"/>
  <c r="BH198" i="8"/>
  <c r="AR198" i="8"/>
  <c r="AC198" i="8"/>
  <c r="BG198" i="8" s="1"/>
  <c r="BI197" i="8"/>
  <c r="BH197" i="8"/>
  <c r="AX197" i="8"/>
  <c r="AX196" i="8" s="1"/>
  <c r="AD196" i="8"/>
  <c r="AC197" i="8"/>
  <c r="BG197" i="8" s="1"/>
  <c r="BF196" i="8"/>
  <c r="BE196" i="8"/>
  <c r="BD196" i="8"/>
  <c r="BC196" i="8"/>
  <c r="BB196" i="8"/>
  <c r="BA196" i="8"/>
  <c r="AZ196" i="8"/>
  <c r="AY196" i="8"/>
  <c r="AW196" i="8"/>
  <c r="AV196" i="8"/>
  <c r="AU196" i="8"/>
  <c r="AT196" i="8"/>
  <c r="AS196" i="8"/>
  <c r="AR196" i="8"/>
  <c r="AQ196" i="8"/>
  <c r="AP196" i="8"/>
  <c r="AN196" i="8"/>
  <c r="AN195" i="8" s="1"/>
  <c r="AN194" i="8" s="1"/>
  <c r="AM196" i="8"/>
  <c r="AM195" i="8" s="1"/>
  <c r="AM194" i="8" s="1"/>
  <c r="AL196" i="8"/>
  <c r="AL195" i="8" s="1"/>
  <c r="AL194" i="8" s="1"/>
  <c r="AK196" i="8"/>
  <c r="AK195" i="8" s="1"/>
  <c r="AK194" i="8" s="1"/>
  <c r="AJ196" i="8"/>
  <c r="AI196" i="8"/>
  <c r="AI195" i="8" s="1"/>
  <c r="AI194" i="8" s="1"/>
  <c r="AH196" i="8"/>
  <c r="AH195" i="8" s="1"/>
  <c r="AH194" i="8" s="1"/>
  <c r="AG196" i="8"/>
  <c r="AG195" i="8" s="1"/>
  <c r="AG194" i="8" s="1"/>
  <c r="AF196" i="8"/>
  <c r="AF195" i="8" s="1"/>
  <c r="AF194" i="8" s="1"/>
  <c r="AE196" i="8"/>
  <c r="AE195" i="8" s="1"/>
  <c r="AE194" i="8" s="1"/>
  <c r="AC196" i="8"/>
  <c r="AB196" i="8"/>
  <c r="AA196" i="8"/>
  <c r="Z196" i="8"/>
  <c r="Y196" i="8"/>
  <c r="X196" i="8"/>
  <c r="W196" i="8"/>
  <c r="V196" i="8"/>
  <c r="U196" i="8"/>
  <c r="T196" i="8"/>
  <c r="AJ195" i="8"/>
  <c r="AJ194" i="8" s="1"/>
  <c r="BI193" i="8"/>
  <c r="H91" i="7" s="1"/>
  <c r="BH193" i="8"/>
  <c r="BG193" i="8"/>
  <c r="BD192" i="8"/>
  <c r="BA192" i="8"/>
  <c r="AZ192" i="8"/>
  <c r="AY192" i="8"/>
  <c r="AX192" i="8"/>
  <c r="AU192" i="8"/>
  <c r="AR192" i="8"/>
  <c r="AO192" i="8"/>
  <c r="AL192" i="8"/>
  <c r="AI192" i="8"/>
  <c r="AF192" i="8"/>
  <c r="AC192" i="8"/>
  <c r="Z192" i="8"/>
  <c r="W192" i="8"/>
  <c r="T192" i="8"/>
  <c r="BI191" i="8"/>
  <c r="H90" i="7" s="1"/>
  <c r="BH191" i="8"/>
  <c r="AX191" i="8"/>
  <c r="BI190" i="8"/>
  <c r="H89" i="7" s="1"/>
  <c r="BH190" i="8"/>
  <c r="BG190" i="8"/>
  <c r="F89" i="7" s="1"/>
  <c r="BD189" i="8"/>
  <c r="BA189" i="8"/>
  <c r="AZ189" i="8"/>
  <c r="AY189" i="8"/>
  <c r="AU189" i="8"/>
  <c r="AU188" i="8" s="1"/>
  <c r="AU187" i="8" s="1"/>
  <c r="AR189" i="8"/>
  <c r="AO189" i="8"/>
  <c r="AO188" i="8" s="1"/>
  <c r="AO187" i="8" s="1"/>
  <c r="AL189" i="8"/>
  <c r="AI189" i="8"/>
  <c r="AI188" i="8" s="1"/>
  <c r="AI187" i="8" s="1"/>
  <c r="AF189" i="8"/>
  <c r="AC189" i="8"/>
  <c r="AC188" i="8" s="1"/>
  <c r="AC187" i="8" s="1"/>
  <c r="Z189" i="8"/>
  <c r="W189" i="8"/>
  <c r="W188" i="8" s="1"/>
  <c r="W187" i="8" s="1"/>
  <c r="T189" i="8"/>
  <c r="BI186" i="8"/>
  <c r="BH186" i="8"/>
  <c r="BG186" i="8"/>
  <c r="F87" i="7" s="1"/>
  <c r="BD185" i="8"/>
  <c r="BA185" i="8"/>
  <c r="AZ185" i="8"/>
  <c r="AY185" i="8"/>
  <c r="AX185" i="8"/>
  <c r="AU185" i="8"/>
  <c r="AR185" i="8"/>
  <c r="AO185" i="8"/>
  <c r="AL185" i="8"/>
  <c r="AI185" i="8"/>
  <c r="AF185" i="8"/>
  <c r="AC185" i="8"/>
  <c r="Z185" i="8"/>
  <c r="W185" i="8"/>
  <c r="T185" i="8"/>
  <c r="BI184" i="8"/>
  <c r="H86" i="7" s="1"/>
  <c r="BH184" i="8"/>
  <c r="BG184" i="8"/>
  <c r="F86" i="7" s="1"/>
  <c r="BD183" i="8"/>
  <c r="BA183" i="8"/>
  <c r="AZ183" i="8"/>
  <c r="AY183" i="8"/>
  <c r="AX183" i="8"/>
  <c r="AU183" i="8"/>
  <c r="AR183" i="8"/>
  <c r="AO183" i="8"/>
  <c r="AL183" i="8"/>
  <c r="AI183" i="8"/>
  <c r="AF183" i="8"/>
  <c r="AC183" i="8"/>
  <c r="Z183" i="8"/>
  <c r="W183" i="8"/>
  <c r="T183" i="8"/>
  <c r="BI182" i="8"/>
  <c r="H85" i="7" s="1"/>
  <c r="BH182" i="8"/>
  <c r="BG182" i="8"/>
  <c r="BD181" i="8"/>
  <c r="BA181" i="8"/>
  <c r="AZ181" i="8"/>
  <c r="AY181" i="8"/>
  <c r="AX181" i="8"/>
  <c r="AU181" i="8"/>
  <c r="AR181" i="8"/>
  <c r="AO181" i="8"/>
  <c r="AL181" i="8"/>
  <c r="AI181" i="8"/>
  <c r="AF181" i="8"/>
  <c r="AC181" i="8"/>
  <c r="Z181" i="8"/>
  <c r="W181" i="8"/>
  <c r="T181" i="8"/>
  <c r="BI180" i="8"/>
  <c r="H84" i="7" s="1"/>
  <c r="BH180" i="8"/>
  <c r="BG180" i="8"/>
  <c r="F84" i="7" s="1"/>
  <c r="BI179" i="8"/>
  <c r="H83" i="7" s="1"/>
  <c r="BH179" i="8"/>
  <c r="BG179" i="8"/>
  <c r="F83" i="7" s="1"/>
  <c r="BI178" i="8"/>
  <c r="BH178" i="8"/>
  <c r="BG178" i="8"/>
  <c r="AX178" i="8"/>
  <c r="BI177" i="8"/>
  <c r="H82" i="7" s="1"/>
  <c r="BH177" i="8"/>
  <c r="BG177" i="8"/>
  <c r="F82" i="7" s="1"/>
  <c r="AX177" i="8"/>
  <c r="BI176" i="8"/>
  <c r="BH176" i="8"/>
  <c r="BG176" i="8"/>
  <c r="F81" i="7" s="1"/>
  <c r="BD175" i="8"/>
  <c r="BA175" i="8"/>
  <c r="AZ175" i="8"/>
  <c r="AY175" i="8"/>
  <c r="AX175" i="8"/>
  <c r="AU175" i="8"/>
  <c r="AR175" i="8"/>
  <c r="AO175" i="8"/>
  <c r="AL175" i="8"/>
  <c r="AI175" i="8"/>
  <c r="AF175" i="8"/>
  <c r="AC175" i="8"/>
  <c r="Z175" i="8"/>
  <c r="W175" i="8"/>
  <c r="T175" i="8"/>
  <c r="BI174" i="8"/>
  <c r="H80" i="7" s="1"/>
  <c r="BH174" i="8"/>
  <c r="BG174" i="8"/>
  <c r="BD173" i="8"/>
  <c r="BA173" i="8"/>
  <c r="AZ173" i="8"/>
  <c r="AY173" i="8"/>
  <c r="AX173" i="8"/>
  <c r="AU173" i="8"/>
  <c r="AR173" i="8"/>
  <c r="AO173" i="8"/>
  <c r="AL173" i="8"/>
  <c r="AI173" i="8"/>
  <c r="AF173" i="8"/>
  <c r="AC173" i="8"/>
  <c r="Z173" i="8"/>
  <c r="W173" i="8"/>
  <c r="T173" i="8"/>
  <c r="BI171" i="8"/>
  <c r="BH171" i="8"/>
  <c r="AX171" i="8"/>
  <c r="BI170" i="8"/>
  <c r="BH170" i="8"/>
  <c r="BG170" i="8"/>
  <c r="BD169" i="8"/>
  <c r="BA169" i="8"/>
  <c r="AZ169" i="8"/>
  <c r="AY169" i="8"/>
  <c r="AU169" i="8"/>
  <c r="AR169" i="8"/>
  <c r="AO169" i="8"/>
  <c r="AL169" i="8"/>
  <c r="AI169" i="8"/>
  <c r="AF169" i="8"/>
  <c r="AC169" i="8"/>
  <c r="Z169" i="8"/>
  <c r="W169" i="8"/>
  <c r="T169" i="8"/>
  <c r="BI168" i="8"/>
  <c r="BH168" i="8"/>
  <c r="BG168" i="8"/>
  <c r="AX168" i="8"/>
  <c r="BI167" i="8"/>
  <c r="H78" i="7" s="1"/>
  <c r="BH167" i="8"/>
  <c r="BG167" i="8"/>
  <c r="F78" i="7" s="1"/>
  <c r="AX167" i="8"/>
  <c r="BD166" i="8"/>
  <c r="BA166" i="8"/>
  <c r="AZ166" i="8"/>
  <c r="AY166" i="8"/>
  <c r="AX166" i="8"/>
  <c r="AU166" i="8"/>
  <c r="AR166" i="8"/>
  <c r="AO166" i="8"/>
  <c r="AL166" i="8"/>
  <c r="AI166" i="8"/>
  <c r="AF166" i="8"/>
  <c r="AC166" i="8"/>
  <c r="Z166" i="8"/>
  <c r="W166" i="8"/>
  <c r="T166" i="8"/>
  <c r="BI165" i="8"/>
  <c r="BH165" i="8"/>
  <c r="BG165" i="8"/>
  <c r="BI164" i="8"/>
  <c r="BH164" i="8"/>
  <c r="AX164" i="8"/>
  <c r="BG164" i="8" s="1"/>
  <c r="BD163" i="8"/>
  <c r="BA163" i="8"/>
  <c r="AZ163" i="8"/>
  <c r="AY163" i="8"/>
  <c r="AU163" i="8"/>
  <c r="AR163" i="8"/>
  <c r="AO163" i="8"/>
  <c r="AL163" i="8"/>
  <c r="AI163" i="8"/>
  <c r="AF163" i="8"/>
  <c r="AC163" i="8"/>
  <c r="Z163" i="8"/>
  <c r="W163" i="8"/>
  <c r="T163" i="8"/>
  <c r="BI162" i="8"/>
  <c r="H76" i="7" s="1"/>
  <c r="BH162" i="8"/>
  <c r="BG162" i="8"/>
  <c r="BD161" i="8"/>
  <c r="BA161" i="8"/>
  <c r="AZ161" i="8"/>
  <c r="AY161" i="8"/>
  <c r="AX161" i="8"/>
  <c r="AU161" i="8"/>
  <c r="AR161" i="8"/>
  <c r="AO161" i="8"/>
  <c r="AL161" i="8"/>
  <c r="AI161" i="8"/>
  <c r="AF161" i="8"/>
  <c r="AC161" i="8"/>
  <c r="Z161" i="8"/>
  <c r="W161" i="8"/>
  <c r="T161" i="8"/>
  <c r="BI160" i="8"/>
  <c r="H75" i="7" s="1"/>
  <c r="BH160" i="8"/>
  <c r="BG160" i="8"/>
  <c r="F75" i="7" s="1"/>
  <c r="AX160" i="8"/>
  <c r="BD159" i="8"/>
  <c r="BA159" i="8"/>
  <c r="AZ159" i="8"/>
  <c r="AY159" i="8"/>
  <c r="AX159" i="8"/>
  <c r="AU159" i="8"/>
  <c r="AR159" i="8"/>
  <c r="AO159" i="8"/>
  <c r="AL159" i="8"/>
  <c r="AI159" i="8"/>
  <c r="AF159" i="8"/>
  <c r="AC159" i="8"/>
  <c r="Z159" i="8"/>
  <c r="W159" i="8"/>
  <c r="T159" i="8"/>
  <c r="BI158" i="8"/>
  <c r="BH158" i="8"/>
  <c r="BG158" i="8"/>
  <c r="BI157" i="8"/>
  <c r="BH157" i="8"/>
  <c r="AX157" i="8"/>
  <c r="BG157" i="8" s="1"/>
  <c r="BD156" i="8"/>
  <c r="BA156" i="8"/>
  <c r="AZ156" i="8"/>
  <c r="AY156" i="8"/>
  <c r="AU156" i="8"/>
  <c r="AR156" i="8"/>
  <c r="AO156" i="8"/>
  <c r="AL156" i="8"/>
  <c r="AI156" i="8"/>
  <c r="AF156" i="8"/>
  <c r="AC156" i="8"/>
  <c r="Z156" i="8"/>
  <c r="W156" i="8"/>
  <c r="T156" i="8"/>
  <c r="BI155" i="8"/>
  <c r="BH155" i="8"/>
  <c r="AX155" i="8"/>
  <c r="BG155" i="8" s="1"/>
  <c r="BD154" i="8"/>
  <c r="BA154" i="8"/>
  <c r="AZ154" i="8"/>
  <c r="AY154" i="8"/>
  <c r="AU154" i="8"/>
  <c r="AR154" i="8"/>
  <c r="AO154" i="8"/>
  <c r="AL154" i="8"/>
  <c r="AI154" i="8"/>
  <c r="AF154" i="8"/>
  <c r="AC154" i="8"/>
  <c r="Z154" i="8"/>
  <c r="W154" i="8"/>
  <c r="T154" i="8"/>
  <c r="BI153" i="8"/>
  <c r="H72" i="7" s="1"/>
  <c r="BH153" i="8"/>
  <c r="BG153" i="8"/>
  <c r="F72" i="7" s="1"/>
  <c r="BI152" i="8"/>
  <c r="BH152" i="8"/>
  <c r="BG152" i="8"/>
  <c r="BI151" i="8"/>
  <c r="BH151" i="8"/>
  <c r="BG151" i="8"/>
  <c r="BI150" i="8"/>
  <c r="BH150" i="8"/>
  <c r="BG150" i="8"/>
  <c r="AX150" i="8"/>
  <c r="BI149" i="8"/>
  <c r="BH149" i="8"/>
  <c r="BG149" i="8"/>
  <c r="AX149" i="8"/>
  <c r="BI148" i="8"/>
  <c r="H70" i="7" s="1"/>
  <c r="BH148" i="8"/>
  <c r="BG148" i="8"/>
  <c r="F70" i="7" s="1"/>
  <c r="AX148" i="8"/>
  <c r="BI147" i="8"/>
  <c r="BH147" i="8"/>
  <c r="BG147" i="8"/>
  <c r="BI146" i="8"/>
  <c r="BH146" i="8"/>
  <c r="AX146" i="8"/>
  <c r="BH145" i="8"/>
  <c r="BG145" i="8"/>
  <c r="F68" i="7" s="1"/>
  <c r="AZ145" i="8"/>
  <c r="AY145" i="8"/>
  <c r="BI144" i="8"/>
  <c r="BH144" i="8"/>
  <c r="BG144" i="8"/>
  <c r="AX144" i="8"/>
  <c r="BI143" i="8"/>
  <c r="H67" i="7" s="1"/>
  <c r="BH143" i="8"/>
  <c r="BG143" i="8"/>
  <c r="F67" i="7" s="1"/>
  <c r="AX143" i="8"/>
  <c r="BF142" i="8"/>
  <c r="BF141" i="8" s="1"/>
  <c r="BF140" i="8" s="1"/>
  <c r="BE142" i="8"/>
  <c r="BE141" i="8" s="1"/>
  <c r="BE140" i="8" s="1"/>
  <c r="BD142" i="8"/>
  <c r="BC142" i="8"/>
  <c r="BC141" i="8" s="1"/>
  <c r="BC140" i="8" s="1"/>
  <c r="BB142" i="8"/>
  <c r="BB141" i="8" s="1"/>
  <c r="BB140" i="8" s="1"/>
  <c r="BA142" i="8"/>
  <c r="AY142" i="8"/>
  <c r="AU142" i="8"/>
  <c r="AR142" i="8"/>
  <c r="AO142" i="8"/>
  <c r="AL142" i="8"/>
  <c r="AI142" i="8"/>
  <c r="AF142" i="8"/>
  <c r="AC142" i="8"/>
  <c r="Z142" i="8"/>
  <c r="W142" i="8"/>
  <c r="T142" i="8"/>
  <c r="BI139" i="8"/>
  <c r="BH139" i="8"/>
  <c r="BG139" i="8"/>
  <c r="BI138" i="8"/>
  <c r="BH138" i="8"/>
  <c r="BG138" i="8"/>
  <c r="BI137" i="8"/>
  <c r="BH137" i="8"/>
  <c r="BG137" i="8"/>
  <c r="BI136" i="8"/>
  <c r="BH136" i="8"/>
  <c r="AX136" i="8"/>
  <c r="BF135" i="8"/>
  <c r="BE135" i="8"/>
  <c r="BD135" i="8"/>
  <c r="BC135" i="8"/>
  <c r="BB135" i="8"/>
  <c r="BA135" i="8"/>
  <c r="AZ135" i="8"/>
  <c r="AY135" i="8"/>
  <c r="AU135" i="8"/>
  <c r="AR135" i="8"/>
  <c r="AO135" i="8"/>
  <c r="AL135" i="8"/>
  <c r="AI135" i="8"/>
  <c r="AF135" i="8"/>
  <c r="AC135" i="8"/>
  <c r="Z135" i="8"/>
  <c r="W135" i="8"/>
  <c r="T135" i="8"/>
  <c r="BH134" i="8"/>
  <c r="BC134" i="8"/>
  <c r="BI134" i="8" s="1"/>
  <c r="H64" i="7" s="1"/>
  <c r="BB134" i="8"/>
  <c r="BA134" i="8"/>
  <c r="BG134" i="8" s="1"/>
  <c r="BI133" i="8"/>
  <c r="BH133" i="8"/>
  <c r="AX133" i="8"/>
  <c r="BG133" i="8" s="1"/>
  <c r="BI132" i="8"/>
  <c r="BH132" i="8"/>
  <c r="AX132" i="8"/>
  <c r="BG132" i="8" s="1"/>
  <c r="BI131" i="8"/>
  <c r="BH131" i="8"/>
  <c r="AX131" i="8"/>
  <c r="BG131" i="8" s="1"/>
  <c r="BI130" i="8"/>
  <c r="BH130" i="8"/>
  <c r="AX130" i="8"/>
  <c r="BG130" i="8" s="1"/>
  <c r="BI129" i="8"/>
  <c r="BH129" i="8"/>
  <c r="AX129" i="8"/>
  <c r="BG129" i="8" s="1"/>
  <c r="BI128" i="8"/>
  <c r="BH128" i="8"/>
  <c r="AX128" i="8"/>
  <c r="BG128" i="8" s="1"/>
  <c r="BI127" i="8"/>
  <c r="BH127" i="8"/>
  <c r="AX127" i="8"/>
  <c r="BF126" i="8"/>
  <c r="BE126" i="8"/>
  <c r="BD126" i="8"/>
  <c r="BB126" i="8"/>
  <c r="BA126" i="8"/>
  <c r="AZ126" i="8"/>
  <c r="AY126" i="8"/>
  <c r="AU126" i="8"/>
  <c r="AR126" i="8"/>
  <c r="AO126" i="8"/>
  <c r="AL126" i="8"/>
  <c r="AI126" i="8"/>
  <c r="AF126" i="8"/>
  <c r="AC126" i="8"/>
  <c r="Z126" i="8"/>
  <c r="W126" i="8"/>
  <c r="T126" i="8"/>
  <c r="BI123" i="8"/>
  <c r="BH123" i="8"/>
  <c r="BA123" i="8"/>
  <c r="AX123" i="8"/>
  <c r="BG123" i="8" s="1"/>
  <c r="BI122" i="8"/>
  <c r="BH122" i="8"/>
  <c r="AX122" i="8"/>
  <c r="BF121" i="8"/>
  <c r="BE121" i="8"/>
  <c r="BD121" i="8"/>
  <c r="BC121" i="8"/>
  <c r="BB121" i="8"/>
  <c r="BA121" i="8"/>
  <c r="AZ121" i="8"/>
  <c r="AY121" i="8"/>
  <c r="AW121" i="8"/>
  <c r="AV121" i="8"/>
  <c r="AU121" i="8"/>
  <c r="AT121" i="8"/>
  <c r="AS121" i="8"/>
  <c r="AR121" i="8"/>
  <c r="AQ121" i="8"/>
  <c r="AP121" i="8"/>
  <c r="AO121" i="8"/>
  <c r="AN121" i="8"/>
  <c r="AM121" i="8"/>
  <c r="AL121" i="8"/>
  <c r="AK121" i="8"/>
  <c r="AJ121" i="8"/>
  <c r="AI121" i="8"/>
  <c r="AH121" i="8"/>
  <c r="AG121" i="8"/>
  <c r="AF121" i="8"/>
  <c r="AE121" i="8"/>
  <c r="AD121" i="8"/>
  <c r="AC121" i="8"/>
  <c r="AB121" i="8"/>
  <c r="AA121" i="8"/>
  <c r="Z121" i="8"/>
  <c r="Y121" i="8"/>
  <c r="X121" i="8"/>
  <c r="W121" i="8"/>
  <c r="V121" i="8"/>
  <c r="U121" i="8"/>
  <c r="T121" i="8"/>
  <c r="BI120" i="8"/>
  <c r="H58" i="7" s="1"/>
  <c r="BH120" i="8"/>
  <c r="BG120" i="8"/>
  <c r="F58" i="7" s="1"/>
  <c r="AX120" i="8"/>
  <c r="T120" i="8"/>
  <c r="BI119" i="8"/>
  <c r="H57" i="7" s="1"/>
  <c r="BH119" i="8"/>
  <c r="AX119" i="8"/>
  <c r="BG119" i="8" s="1"/>
  <c r="F57" i="7" s="1"/>
  <c r="BI118" i="8"/>
  <c r="BH118" i="8"/>
  <c r="T118" i="8"/>
  <c r="BG118" i="8" s="1"/>
  <c r="BI117" i="8"/>
  <c r="BH117" i="8"/>
  <c r="BG117" i="8"/>
  <c r="BI116" i="8"/>
  <c r="BH116" i="8"/>
  <c r="AX116" i="8"/>
  <c r="T116" i="8"/>
  <c r="T114" i="8" s="1"/>
  <c r="BG115" i="8"/>
  <c r="AZ115" i="8"/>
  <c r="AZ114" i="8" s="1"/>
  <c r="AY115" i="8"/>
  <c r="BH115" i="8" s="1"/>
  <c r="AX115" i="8"/>
  <c r="BF114" i="8"/>
  <c r="BF113" i="8" s="1"/>
  <c r="BF112" i="8" s="1"/>
  <c r="BE114" i="8"/>
  <c r="BD114" i="8"/>
  <c r="BD113" i="8" s="1"/>
  <c r="BD112" i="8" s="1"/>
  <c r="BC114" i="8"/>
  <c r="BB114" i="8"/>
  <c r="BA114" i="8"/>
  <c r="AX114" i="8"/>
  <c r="AW114" i="8"/>
  <c r="AV114" i="8"/>
  <c r="AU114" i="8"/>
  <c r="AT114" i="8"/>
  <c r="AS114" i="8"/>
  <c r="AR114" i="8"/>
  <c r="AQ114" i="8"/>
  <c r="AP114" i="8"/>
  <c r="AO114" i="8"/>
  <c r="AN114" i="8"/>
  <c r="AM114" i="8"/>
  <c r="AL114" i="8"/>
  <c r="AK114" i="8"/>
  <c r="AJ114" i="8"/>
  <c r="AI114" i="8"/>
  <c r="AH114" i="8"/>
  <c r="AG114" i="8"/>
  <c r="AF114" i="8"/>
  <c r="AE114" i="8"/>
  <c r="AD114" i="8"/>
  <c r="AC114" i="8"/>
  <c r="AB114" i="8"/>
  <c r="AA114" i="8"/>
  <c r="Z114" i="8"/>
  <c r="Y114" i="8"/>
  <c r="X114" i="8"/>
  <c r="W114" i="8"/>
  <c r="V114" i="8"/>
  <c r="U114" i="8"/>
  <c r="BB113" i="8"/>
  <c r="BB112" i="8" s="1"/>
  <c r="BI111" i="8"/>
  <c r="G53" i="7"/>
  <c r="BG111" i="8"/>
  <c r="F53" i="7" s="1"/>
  <c r="AX111" i="8"/>
  <c r="BI110" i="8"/>
  <c r="BH110" i="8"/>
  <c r="BG110" i="8"/>
  <c r="BI109" i="8"/>
  <c r="BH109" i="8"/>
  <c r="AX109" i="8"/>
  <c r="BG109" i="8" s="1"/>
  <c r="BI108" i="8"/>
  <c r="BH108" i="8"/>
  <c r="AX108" i="8"/>
  <c r="BG108" i="8" s="1"/>
  <c r="BI107" i="8"/>
  <c r="BH107" i="8"/>
  <c r="AX107" i="8"/>
  <c r="BG107" i="8" s="1"/>
  <c r="BD106" i="8"/>
  <c r="BD105" i="8" s="1"/>
  <c r="BA106" i="8"/>
  <c r="BA105" i="8" s="1"/>
  <c r="AZ106" i="8"/>
  <c r="AZ105" i="8" s="1"/>
  <c r="AY106" i="8"/>
  <c r="AY105" i="8" s="1"/>
  <c r="AX106" i="8"/>
  <c r="AX105" i="8" s="1"/>
  <c r="AU106" i="8"/>
  <c r="AU105" i="8" s="1"/>
  <c r="AR106" i="8"/>
  <c r="AR105" i="8" s="1"/>
  <c r="AO106" i="8"/>
  <c r="AL106" i="8"/>
  <c r="AL105" i="8" s="1"/>
  <c r="AI106" i="8"/>
  <c r="AI105" i="8" s="1"/>
  <c r="AF106" i="8"/>
  <c r="AF105" i="8" s="1"/>
  <c r="AC106" i="8"/>
  <c r="AC105" i="8" s="1"/>
  <c r="Z106" i="8"/>
  <c r="Z105" i="8" s="1"/>
  <c r="W106" i="8"/>
  <c r="W105" i="8" s="1"/>
  <c r="T106" i="8"/>
  <c r="T105" i="8" s="1"/>
  <c r="AO105" i="8"/>
  <c r="BI104" i="8"/>
  <c r="H50" i="7" s="1"/>
  <c r="BH104" i="8"/>
  <c r="BG104" i="8"/>
  <c r="F50" i="7" s="1"/>
  <c r="AX104" i="8"/>
  <c r="BI103" i="8"/>
  <c r="BH103" i="8"/>
  <c r="BG103" i="8"/>
  <c r="AX103" i="8"/>
  <c r="BI102" i="8"/>
  <c r="H49" i="7" s="1"/>
  <c r="BH102" i="8"/>
  <c r="BG102" i="8"/>
  <c r="F49" i="7" s="1"/>
  <c r="AX102" i="8"/>
  <c r="BD101" i="8"/>
  <c r="BA101" i="8"/>
  <c r="AZ101" i="8"/>
  <c r="AY101" i="8"/>
  <c r="AX101" i="8"/>
  <c r="AU101" i="8"/>
  <c r="AR101" i="8"/>
  <c r="AO101" i="8"/>
  <c r="AL101" i="8"/>
  <c r="AI101" i="8"/>
  <c r="AF101" i="8"/>
  <c r="AC101" i="8"/>
  <c r="Z101" i="8"/>
  <c r="W101" i="8"/>
  <c r="T101" i="8"/>
  <c r="BI100" i="8"/>
  <c r="BH100" i="8"/>
  <c r="BG100" i="8"/>
  <c r="BI99" i="8"/>
  <c r="BH99" i="8"/>
  <c r="AX99" i="8"/>
  <c r="BD98" i="8"/>
  <c r="BA98" i="8"/>
  <c r="AZ98" i="8"/>
  <c r="AY98" i="8"/>
  <c r="AU98" i="8"/>
  <c r="AU97" i="8" s="1"/>
  <c r="AR98" i="8"/>
  <c r="AR97" i="8" s="1"/>
  <c r="AO98" i="8"/>
  <c r="AO97" i="8" s="1"/>
  <c r="AL98" i="8"/>
  <c r="AL97" i="8" s="1"/>
  <c r="AI98" i="8"/>
  <c r="AF98" i="8"/>
  <c r="AF97" i="8" s="1"/>
  <c r="AC98" i="8"/>
  <c r="AC97" i="8" s="1"/>
  <c r="Z98" i="8"/>
  <c r="Z97" i="8" s="1"/>
  <c r="W98" i="8"/>
  <c r="T98" i="8"/>
  <c r="T97" i="8" s="1"/>
  <c r="BI96" i="8"/>
  <c r="H47" i="7" s="1"/>
  <c r="BH96" i="8"/>
  <c r="BG96" i="8"/>
  <c r="F47" i="7" s="1"/>
  <c r="AX96" i="8"/>
  <c r="BI95" i="8"/>
  <c r="H46" i="7" s="1"/>
  <c r="BH95" i="8"/>
  <c r="BG95" i="8"/>
  <c r="F46" i="7" s="1"/>
  <c r="BI94" i="8"/>
  <c r="BH94" i="8"/>
  <c r="W94" i="8"/>
  <c r="W93" i="8" s="1"/>
  <c r="BD93" i="8"/>
  <c r="AZ93" i="8"/>
  <c r="AY93" i="8"/>
  <c r="AX93" i="8"/>
  <c r="AU93" i="8"/>
  <c r="AR93" i="8"/>
  <c r="AO93" i="8"/>
  <c r="AL93" i="8"/>
  <c r="AI93" i="8"/>
  <c r="AF93" i="8"/>
  <c r="AC93" i="8"/>
  <c r="Z93" i="8"/>
  <c r="Y93" i="8"/>
  <c r="Y76" i="8" s="1"/>
  <c r="Y75" i="8" s="1"/>
  <c r="X93" i="8"/>
  <c r="X76" i="8" s="1"/>
  <c r="X75" i="8" s="1"/>
  <c r="T93" i="8"/>
  <c r="BI92" i="8"/>
  <c r="H44" i="7" s="1"/>
  <c r="BH92" i="8"/>
  <c r="BG92" i="8"/>
  <c r="BG91" i="8" s="1"/>
  <c r="BD91" i="8"/>
  <c r="BA91" i="8"/>
  <c r="BA76" i="8" s="1"/>
  <c r="AZ91" i="8"/>
  <c r="AY91" i="8"/>
  <c r="AX91" i="8"/>
  <c r="AU91" i="8"/>
  <c r="AR91" i="8"/>
  <c r="AO91" i="8"/>
  <c r="AL91" i="8"/>
  <c r="AI91" i="8"/>
  <c r="AF91" i="8"/>
  <c r="AC91" i="8"/>
  <c r="Z91" i="8"/>
  <c r="W91" i="8"/>
  <c r="T91" i="8"/>
  <c r="BI90" i="8"/>
  <c r="BH90" i="8"/>
  <c r="BG90" i="8"/>
  <c r="BI89" i="8"/>
  <c r="BH89" i="8"/>
  <c r="BG89" i="8"/>
  <c r="BI88" i="8"/>
  <c r="BG88" i="8"/>
  <c r="BI87" i="8"/>
  <c r="BH87" i="8"/>
  <c r="BG87" i="8"/>
  <c r="BI86" i="8"/>
  <c r="BH86" i="8"/>
  <c r="BG86" i="8"/>
  <c r="BD85" i="8"/>
  <c r="AZ85" i="8"/>
  <c r="AY85" i="8"/>
  <c r="AX85" i="8"/>
  <c r="AU85" i="8"/>
  <c r="AR85" i="8"/>
  <c r="AO85" i="8"/>
  <c r="AL85" i="8"/>
  <c r="AI85" i="8"/>
  <c r="AF85" i="8"/>
  <c r="AC85" i="8"/>
  <c r="Z85" i="8"/>
  <c r="W85" i="8"/>
  <c r="T85" i="8"/>
  <c r="BI84" i="8"/>
  <c r="H42" i="7" s="1"/>
  <c r="BH84" i="8"/>
  <c r="BG84" i="8"/>
  <c r="AX84" i="8"/>
  <c r="AZ83" i="8"/>
  <c r="AY83" i="8"/>
  <c r="AX83" i="8"/>
  <c r="BI82" i="8"/>
  <c r="H41" i="7" s="1"/>
  <c r="BH82" i="8"/>
  <c r="AX82" i="8"/>
  <c r="AZ81" i="8"/>
  <c r="AY81" i="8"/>
  <c r="BI80" i="8"/>
  <c r="H40" i="7" s="1"/>
  <c r="BH80" i="8"/>
  <c r="BG80" i="8"/>
  <c r="AX80" i="8"/>
  <c r="AZ79" i="8"/>
  <c r="AY79" i="8"/>
  <c r="AX79" i="8"/>
  <c r="BI78" i="8"/>
  <c r="BH78" i="8"/>
  <c r="BG78" i="8"/>
  <c r="F39" i="7" s="1"/>
  <c r="AZ77" i="8"/>
  <c r="AY77" i="8"/>
  <c r="AX77" i="8"/>
  <c r="BI74" i="8"/>
  <c r="H37" i="7" s="1"/>
  <c r="BH74" i="8"/>
  <c r="BG74" i="8"/>
  <c r="F37" i="7" s="1"/>
  <c r="BF73" i="8"/>
  <c r="BE73" i="8"/>
  <c r="BD73" i="8"/>
  <c r="BC73" i="8"/>
  <c r="BB73" i="8"/>
  <c r="BA73" i="8"/>
  <c r="AZ73" i="8"/>
  <c r="AY73" i="8"/>
  <c r="AX73" i="8"/>
  <c r="AW73" i="8"/>
  <c r="AV73" i="8"/>
  <c r="AU73" i="8"/>
  <c r="AT73" i="8"/>
  <c r="AS73" i="8"/>
  <c r="AR73" i="8"/>
  <c r="AQ73" i="8"/>
  <c r="AP73" i="8"/>
  <c r="AO73" i="8"/>
  <c r="AN73" i="8"/>
  <c r="AM73" i="8"/>
  <c r="AL73" i="8"/>
  <c r="AK73" i="8"/>
  <c r="AJ73" i="8"/>
  <c r="AI73" i="8"/>
  <c r="AH73" i="8"/>
  <c r="AG73" i="8"/>
  <c r="AF73" i="8"/>
  <c r="AE73" i="8"/>
  <c r="AD73" i="8"/>
  <c r="AC73" i="8"/>
  <c r="AB73" i="8"/>
  <c r="AA73" i="8"/>
  <c r="Z73" i="8"/>
  <c r="Y73" i="8"/>
  <c r="X73" i="8"/>
  <c r="W73" i="8"/>
  <c r="V73" i="8"/>
  <c r="U73" i="8"/>
  <c r="T73" i="8"/>
  <c r="BI72" i="8"/>
  <c r="H36" i="7" s="1"/>
  <c r="BH72" i="8"/>
  <c r="BG72" i="8"/>
  <c r="F36" i="7" s="1"/>
  <c r="BF71" i="8"/>
  <c r="BE71" i="8"/>
  <c r="BD71" i="8"/>
  <c r="BC71" i="8"/>
  <c r="BB71" i="8"/>
  <c r="BA71" i="8"/>
  <c r="AZ71" i="8"/>
  <c r="AY71" i="8"/>
  <c r="AX71"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BI69" i="8"/>
  <c r="BH69" i="8"/>
  <c r="BG69" i="8"/>
  <c r="BI68" i="8"/>
  <c r="BH68" i="8"/>
  <c r="BG68" i="8"/>
  <c r="BI67" i="8"/>
  <c r="BH67" i="8"/>
  <c r="BG67" i="8"/>
  <c r="T67" i="8"/>
  <c r="BI66" i="8"/>
  <c r="BH66" i="8"/>
  <c r="BG66" i="8"/>
  <c r="BI65" i="8"/>
  <c r="BH65" i="8"/>
  <c r="BG65" i="8"/>
  <c r="BF64" i="8"/>
  <c r="BE64" i="8"/>
  <c r="BD64" i="8"/>
  <c r="BC64" i="8"/>
  <c r="BB64" i="8"/>
  <c r="BA64" i="8"/>
  <c r="AZ64" i="8"/>
  <c r="AY64" i="8"/>
  <c r="AX64" i="8"/>
  <c r="AW64" i="8"/>
  <c r="AV64" i="8"/>
  <c r="AU64" i="8"/>
  <c r="AT64" i="8"/>
  <c r="AS64" i="8"/>
  <c r="AR64" i="8"/>
  <c r="AQ64" i="8"/>
  <c r="AP64" i="8"/>
  <c r="AO64" i="8"/>
  <c r="AN64" i="8"/>
  <c r="AM64" i="8"/>
  <c r="AL64" i="8"/>
  <c r="AK64" i="8"/>
  <c r="AJ64" i="8"/>
  <c r="AI64" i="8"/>
  <c r="AH64" i="8"/>
  <c r="AG64" i="8"/>
  <c r="AF64" i="8"/>
  <c r="AE64" i="8"/>
  <c r="AD64" i="8"/>
  <c r="AC64" i="8"/>
  <c r="AB64" i="8"/>
  <c r="AA64" i="8"/>
  <c r="Z64" i="8"/>
  <c r="Y64" i="8"/>
  <c r="X64" i="8"/>
  <c r="W64" i="8"/>
  <c r="V64" i="8"/>
  <c r="U64" i="8"/>
  <c r="T64" i="8"/>
  <c r="BI63" i="8"/>
  <c r="H34" i="7" s="1"/>
  <c r="BH63" i="8"/>
  <c r="BG63" i="8"/>
  <c r="F34" i="7" s="1"/>
  <c r="T63" i="8"/>
  <c r="BF62" i="8"/>
  <c r="BE62" i="8"/>
  <c r="BD62" i="8"/>
  <c r="BC62" i="8"/>
  <c r="BB62" i="8"/>
  <c r="BA62" i="8"/>
  <c r="AZ62" i="8"/>
  <c r="AY62" i="8"/>
  <c r="AX62" i="8"/>
  <c r="AW62" i="8"/>
  <c r="AV62" i="8"/>
  <c r="AU62" i="8"/>
  <c r="AT62" i="8"/>
  <c r="AS62" i="8"/>
  <c r="AR62" i="8"/>
  <c r="AQ62" i="8"/>
  <c r="AP62" i="8"/>
  <c r="AO62" i="8"/>
  <c r="AN62" i="8"/>
  <c r="AM62" i="8"/>
  <c r="AL62" i="8"/>
  <c r="AK62" i="8"/>
  <c r="AJ62" i="8"/>
  <c r="AI62" i="8"/>
  <c r="AH62" i="8"/>
  <c r="AG62" i="8"/>
  <c r="AF62" i="8"/>
  <c r="AE62" i="8"/>
  <c r="AD62" i="8"/>
  <c r="AC62" i="8"/>
  <c r="AB62" i="8"/>
  <c r="AA62" i="8"/>
  <c r="Z62" i="8"/>
  <c r="Y62" i="8"/>
  <c r="X62" i="8"/>
  <c r="W62" i="8"/>
  <c r="V62" i="8"/>
  <c r="U62" i="8"/>
  <c r="T62" i="8"/>
  <c r="BI61" i="8"/>
  <c r="H33" i="7" s="1"/>
  <c r="BH61" i="8"/>
  <c r="BG61" i="8"/>
  <c r="F33" i="7" s="1"/>
  <c r="BF60" i="8"/>
  <c r="BE60" i="8"/>
  <c r="BD60" i="8"/>
  <c r="BC60" i="8"/>
  <c r="BB60" i="8"/>
  <c r="BA60" i="8"/>
  <c r="AZ60" i="8"/>
  <c r="AY60" i="8"/>
  <c r="AX60" i="8"/>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BI59" i="8"/>
  <c r="H32" i="7" s="1"/>
  <c r="BH59" i="8"/>
  <c r="BG59" i="8"/>
  <c r="F32" i="7" s="1"/>
  <c r="BF58" i="8"/>
  <c r="BE58" i="8"/>
  <c r="BD58" i="8"/>
  <c r="BC58" i="8"/>
  <c r="BB58" i="8"/>
  <c r="BA58" i="8"/>
  <c r="AZ58" i="8"/>
  <c r="AY58" i="8"/>
  <c r="AX58" i="8"/>
  <c r="AW58" i="8"/>
  <c r="AV58" i="8"/>
  <c r="AU58" i="8"/>
  <c r="AT58" i="8"/>
  <c r="AS58" i="8"/>
  <c r="AR58" i="8"/>
  <c r="AQ58" i="8"/>
  <c r="AP58" i="8"/>
  <c r="AO58" i="8"/>
  <c r="AN58" i="8"/>
  <c r="AM58" i="8"/>
  <c r="AL58" i="8"/>
  <c r="AK58" i="8"/>
  <c r="AJ58" i="8"/>
  <c r="AI58" i="8"/>
  <c r="AH58" i="8"/>
  <c r="AG58" i="8"/>
  <c r="AF58" i="8"/>
  <c r="AE58" i="8"/>
  <c r="AD58" i="8"/>
  <c r="AC58" i="8"/>
  <c r="AB58" i="8"/>
  <c r="AA58" i="8"/>
  <c r="Z58" i="8"/>
  <c r="Y58" i="8"/>
  <c r="X58" i="8"/>
  <c r="W58" i="8"/>
  <c r="V58" i="8"/>
  <c r="U58" i="8"/>
  <c r="T58" i="8"/>
  <c r="BG57" i="8"/>
  <c r="AX57" i="8"/>
  <c r="BI56" i="8"/>
  <c r="H31" i="7" s="1"/>
  <c r="BH56" i="8"/>
  <c r="AX56" i="8"/>
  <c r="Z56" i="8"/>
  <c r="BG56" i="8" s="1"/>
  <c r="BF55" i="8"/>
  <c r="BE55" i="8"/>
  <c r="BD55" i="8"/>
  <c r="BC55" i="8"/>
  <c r="BB55" i="8"/>
  <c r="BA55" i="8"/>
  <c r="AZ55" i="8"/>
  <c r="AY55" i="8"/>
  <c r="AX55" i="8"/>
  <c r="AW55" i="8"/>
  <c r="AV55" i="8"/>
  <c r="AU55" i="8"/>
  <c r="AT55" i="8"/>
  <c r="AS55" i="8"/>
  <c r="AR55" i="8"/>
  <c r="AQ55" i="8"/>
  <c r="AP55" i="8"/>
  <c r="AO55" i="8"/>
  <c r="AN55" i="8"/>
  <c r="AM55" i="8"/>
  <c r="AL55" i="8"/>
  <c r="AK55" i="8"/>
  <c r="AJ55" i="8"/>
  <c r="AI55" i="8"/>
  <c r="AH55" i="8"/>
  <c r="AG55" i="8"/>
  <c r="AF55" i="8"/>
  <c r="AE55" i="8"/>
  <c r="AD55" i="8"/>
  <c r="AC55" i="8"/>
  <c r="AB55" i="8"/>
  <c r="AA55" i="8"/>
  <c r="Z55" i="8"/>
  <c r="Y55" i="8"/>
  <c r="X55" i="8"/>
  <c r="W55" i="8"/>
  <c r="V55" i="8"/>
  <c r="U55" i="8"/>
  <c r="T55" i="8"/>
  <c r="BI53" i="8"/>
  <c r="BH53" i="8"/>
  <c r="BG53" i="8"/>
  <c r="F30" i="7" s="1"/>
  <c r="BF52" i="8"/>
  <c r="BE52" i="8"/>
  <c r="BD52" i="8"/>
  <c r="BC52" i="8"/>
  <c r="BB52" i="8"/>
  <c r="BA52" i="8"/>
  <c r="AZ52" i="8"/>
  <c r="AY52" i="8"/>
  <c r="AX52" i="8"/>
  <c r="AW52" i="8"/>
  <c r="AV52" i="8"/>
  <c r="AU52" i="8"/>
  <c r="AT52" i="8"/>
  <c r="AS52" i="8"/>
  <c r="AR52" i="8"/>
  <c r="AQ52" i="8"/>
  <c r="AP52" i="8"/>
  <c r="AO52" i="8"/>
  <c r="AN52" i="8"/>
  <c r="AM52" i="8"/>
  <c r="AL52" i="8"/>
  <c r="AK52" i="8"/>
  <c r="AJ52" i="8"/>
  <c r="AI52" i="8"/>
  <c r="AH52" i="8"/>
  <c r="AG52" i="8"/>
  <c r="AF52" i="8"/>
  <c r="AE52" i="8"/>
  <c r="AD52" i="8"/>
  <c r="AC52" i="8"/>
  <c r="AB52" i="8"/>
  <c r="AA52" i="8"/>
  <c r="Z52" i="8"/>
  <c r="Y52" i="8"/>
  <c r="X52" i="8"/>
  <c r="W52" i="8"/>
  <c r="V52" i="8"/>
  <c r="U52" i="8"/>
  <c r="T52" i="8"/>
  <c r="BI51" i="8"/>
  <c r="H29" i="7" s="1"/>
  <c r="BH51" i="8"/>
  <c r="AX51" i="8"/>
  <c r="BG51" i="8" s="1"/>
  <c r="F29" i="7" s="1"/>
  <c r="BF50" i="8"/>
  <c r="BE50" i="8"/>
  <c r="BD50" i="8"/>
  <c r="BC50" i="8"/>
  <c r="BB50" i="8"/>
  <c r="BA50" i="8"/>
  <c r="AZ50" i="8"/>
  <c r="AY50" i="8"/>
  <c r="AX50"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BI48" i="8"/>
  <c r="H28" i="7" s="1"/>
  <c r="BH48" i="8"/>
  <c r="T48" i="8"/>
  <c r="BG48" i="8" s="1"/>
  <c r="BG47" i="8" s="1"/>
  <c r="BF47" i="8"/>
  <c r="BE47" i="8"/>
  <c r="BD47" i="8"/>
  <c r="BC47" i="8"/>
  <c r="BB47" i="8"/>
  <c r="BA47" i="8"/>
  <c r="AZ47" i="8"/>
  <c r="AY47" i="8"/>
  <c r="AX47"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BI46" i="8"/>
  <c r="H27" i="7" s="1"/>
  <c r="BH46" i="8"/>
  <c r="T46" i="8"/>
  <c r="BG46" i="8" s="1"/>
  <c r="F27" i="7" s="1"/>
  <c r="BF45" i="8"/>
  <c r="BE45" i="8"/>
  <c r="BD45" i="8"/>
  <c r="BC45" i="8"/>
  <c r="BB45" i="8"/>
  <c r="BA45" i="8"/>
  <c r="AZ45" i="8"/>
  <c r="AY45" i="8"/>
  <c r="AX45" i="8"/>
  <c r="AW45" i="8"/>
  <c r="AV45" i="8"/>
  <c r="AU45" i="8"/>
  <c r="AT45" i="8"/>
  <c r="AS45" i="8"/>
  <c r="AR45" i="8"/>
  <c r="AQ45" i="8"/>
  <c r="AP45" i="8"/>
  <c r="AO45" i="8"/>
  <c r="AN45" i="8"/>
  <c r="AM45" i="8"/>
  <c r="AL45" i="8"/>
  <c r="AK45" i="8"/>
  <c r="AJ45" i="8"/>
  <c r="AI45" i="8"/>
  <c r="AH45" i="8"/>
  <c r="AG45" i="8"/>
  <c r="AF45" i="8"/>
  <c r="AE45" i="8"/>
  <c r="AD45" i="8"/>
  <c r="AC45" i="8"/>
  <c r="AB45" i="8"/>
  <c r="AA45" i="8"/>
  <c r="Z45" i="8"/>
  <c r="Y45" i="8"/>
  <c r="X45" i="8"/>
  <c r="W45" i="8"/>
  <c r="V45" i="8"/>
  <c r="U45" i="8"/>
  <c r="T45" i="8"/>
  <c r="BI44" i="8"/>
  <c r="H26" i="7" s="1"/>
  <c r="BH44" i="8"/>
  <c r="AX44" i="8"/>
  <c r="BG44" i="8" s="1"/>
  <c r="F26" i="7" s="1"/>
  <c r="BF43" i="8"/>
  <c r="BE43" i="8"/>
  <c r="BD43" i="8"/>
  <c r="BC43" i="8"/>
  <c r="BB43" i="8"/>
  <c r="BA43" i="8"/>
  <c r="AZ43" i="8"/>
  <c r="AY43" i="8"/>
  <c r="AX43" i="8"/>
  <c r="AW43" i="8"/>
  <c r="AV43" i="8"/>
  <c r="AU43" i="8"/>
  <c r="AT43" i="8"/>
  <c r="AS43" i="8"/>
  <c r="AR43" i="8"/>
  <c r="AQ43" i="8"/>
  <c r="AP43" i="8"/>
  <c r="AO43" i="8"/>
  <c r="AN43" i="8"/>
  <c r="AM43" i="8"/>
  <c r="AL43" i="8"/>
  <c r="AK43" i="8"/>
  <c r="AJ43" i="8"/>
  <c r="AI43" i="8"/>
  <c r="AH43" i="8"/>
  <c r="AG43" i="8"/>
  <c r="AF43" i="8"/>
  <c r="AE43" i="8"/>
  <c r="AD43" i="8"/>
  <c r="AC43" i="8"/>
  <c r="AB43" i="8"/>
  <c r="AA43" i="8"/>
  <c r="Z43" i="8"/>
  <c r="Y43" i="8"/>
  <c r="X43" i="8"/>
  <c r="W43" i="8"/>
  <c r="V43" i="8"/>
  <c r="U43" i="8"/>
  <c r="T43" i="8"/>
  <c r="BI42" i="8"/>
  <c r="H25" i="7" s="1"/>
  <c r="BH42" i="8"/>
  <c r="T42" i="8"/>
  <c r="BG42" i="8" s="1"/>
  <c r="F25" i="7" s="1"/>
  <c r="BF41" i="8"/>
  <c r="BE41" i="8"/>
  <c r="BD41" i="8"/>
  <c r="BC41" i="8"/>
  <c r="BB41" i="8"/>
  <c r="BA41" i="8"/>
  <c r="AZ41" i="8"/>
  <c r="AY41" i="8"/>
  <c r="AX41"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BI40" i="8"/>
  <c r="H24" i="7" s="1"/>
  <c r="BH40" i="8"/>
  <c r="AX40" i="8"/>
  <c r="AX39" i="8" s="1"/>
  <c r="BF39" i="8"/>
  <c r="BE39" i="8"/>
  <c r="BD39" i="8"/>
  <c r="BC39" i="8"/>
  <c r="BB39" i="8"/>
  <c r="BA39" i="8"/>
  <c r="AZ39" i="8"/>
  <c r="AY39" i="8"/>
  <c r="AW39" i="8"/>
  <c r="AV39" i="8"/>
  <c r="AU39" i="8"/>
  <c r="AT39" i="8"/>
  <c r="AS39" i="8"/>
  <c r="AR39" i="8"/>
  <c r="AQ39" i="8"/>
  <c r="AP39" i="8"/>
  <c r="AO39" i="8"/>
  <c r="AN39" i="8"/>
  <c r="AM39" i="8"/>
  <c r="AL39" i="8"/>
  <c r="AK39" i="8"/>
  <c r="AJ39" i="8"/>
  <c r="AI39" i="8"/>
  <c r="AH39" i="8"/>
  <c r="AG39" i="8"/>
  <c r="AF39" i="8"/>
  <c r="AE39" i="8"/>
  <c r="AD39" i="8"/>
  <c r="AC39" i="8"/>
  <c r="AB39" i="8"/>
  <c r="AA39" i="8"/>
  <c r="Z39" i="8"/>
  <c r="Y39" i="8"/>
  <c r="X39" i="8"/>
  <c r="W39" i="8"/>
  <c r="V39" i="8"/>
  <c r="U39" i="8"/>
  <c r="BI38" i="8"/>
  <c r="H23" i="7" s="1"/>
  <c r="BH38" i="8"/>
  <c r="BG38" i="8"/>
  <c r="F23" i="7" s="1"/>
  <c r="BF37" i="8"/>
  <c r="BE37" i="8"/>
  <c r="BD37" i="8"/>
  <c r="BC37" i="8"/>
  <c r="BB37" i="8"/>
  <c r="BA37" i="8"/>
  <c r="AZ37" i="8"/>
  <c r="AY37" i="8"/>
  <c r="AX37" i="8"/>
  <c r="AW37" i="8"/>
  <c r="AV37" i="8"/>
  <c r="AU37" i="8"/>
  <c r="AT37" i="8"/>
  <c r="AS37" i="8"/>
  <c r="AR37" i="8"/>
  <c r="AQ37" i="8"/>
  <c r="AP37" i="8"/>
  <c r="AO37" i="8"/>
  <c r="AN37" i="8"/>
  <c r="AM37" i="8"/>
  <c r="AL37" i="8"/>
  <c r="AK37" i="8"/>
  <c r="AJ37" i="8"/>
  <c r="AI37" i="8"/>
  <c r="AH37" i="8"/>
  <c r="AG37" i="8"/>
  <c r="AF37" i="8"/>
  <c r="AE37" i="8"/>
  <c r="AD37" i="8"/>
  <c r="AC37" i="8"/>
  <c r="AB37" i="8"/>
  <c r="AA37" i="8"/>
  <c r="Z37" i="8"/>
  <c r="Y37" i="8"/>
  <c r="X37" i="8"/>
  <c r="W37" i="8"/>
  <c r="V37" i="8"/>
  <c r="U37" i="8"/>
  <c r="T37" i="8"/>
  <c r="BH34" i="8"/>
  <c r="BG34" i="8"/>
  <c r="F21" i="7" s="1"/>
  <c r="AZ34" i="8"/>
  <c r="BI34" i="8" s="1"/>
  <c r="H21" i="7" s="1"/>
  <c r="BG33" i="8"/>
  <c r="F20" i="7" s="1"/>
  <c r="AZ33" i="8"/>
  <c r="BI33" i="8" s="1"/>
  <c r="H20" i="7" s="1"/>
  <c r="AY33" i="8"/>
  <c r="AY32" i="8" s="1"/>
  <c r="AY31" i="8" s="1"/>
  <c r="AY30" i="8" s="1"/>
  <c r="BF32" i="8"/>
  <c r="BF31" i="8" s="1"/>
  <c r="BF30" i="8" s="1"/>
  <c r="BE32" i="8"/>
  <c r="BE31" i="8" s="1"/>
  <c r="BE30" i="8" s="1"/>
  <c r="BD32" i="8"/>
  <c r="BD31" i="8" s="1"/>
  <c r="BD30" i="8" s="1"/>
  <c r="BA32" i="8"/>
  <c r="BA31" i="8" s="1"/>
  <c r="BA30" i="8" s="1"/>
  <c r="AX32" i="8"/>
  <c r="AX31" i="8" s="1"/>
  <c r="AX30" i="8" s="1"/>
  <c r="AU32" i="8"/>
  <c r="AU31" i="8" s="1"/>
  <c r="AU30" i="8" s="1"/>
  <c r="AR32" i="8"/>
  <c r="AR31" i="8" s="1"/>
  <c r="AR30" i="8" s="1"/>
  <c r="AO32" i="8"/>
  <c r="AO31" i="8" s="1"/>
  <c r="AO30" i="8" s="1"/>
  <c r="AL32" i="8"/>
  <c r="AL31" i="8" s="1"/>
  <c r="AL30" i="8" s="1"/>
  <c r="AI32" i="8"/>
  <c r="AI31" i="8" s="1"/>
  <c r="AI30" i="8" s="1"/>
  <c r="AF32" i="8"/>
  <c r="AF31" i="8" s="1"/>
  <c r="AF30" i="8" s="1"/>
  <c r="AC32" i="8"/>
  <c r="AC31" i="8" s="1"/>
  <c r="AC30" i="8" s="1"/>
  <c r="Z32" i="8"/>
  <c r="Z31" i="8" s="1"/>
  <c r="Z30" i="8" s="1"/>
  <c r="W32" i="8"/>
  <c r="W31" i="8" s="1"/>
  <c r="W30" i="8" s="1"/>
  <c r="T32" i="8"/>
  <c r="T31" i="8" s="1"/>
  <c r="T30" i="8" s="1"/>
  <c r="BI29" i="8"/>
  <c r="H18" i="7" s="1"/>
  <c r="BH29" i="8"/>
  <c r="AX29" i="8"/>
  <c r="BG29" i="8" s="1"/>
  <c r="F18" i="7" s="1"/>
  <c r="BI28" i="8"/>
  <c r="BH28" i="8"/>
  <c r="AX28" i="8"/>
  <c r="BG28" i="8" s="1"/>
  <c r="BI27" i="8"/>
  <c r="BH27" i="8"/>
  <c r="AX27" i="8"/>
  <c r="BG27" i="8" s="1"/>
  <c r="BI26" i="8"/>
  <c r="BH26" i="8"/>
  <c r="AX26" i="8"/>
  <c r="BG26" i="8" s="1"/>
  <c r="BI25" i="8"/>
  <c r="BH25" i="8"/>
  <c r="AX25" i="8"/>
  <c r="BG25" i="8" s="1"/>
  <c r="BI24" i="8"/>
  <c r="BH24" i="8"/>
  <c r="BG24" i="8"/>
  <c r="BI23" i="8"/>
  <c r="BH23" i="8"/>
  <c r="BG23" i="8"/>
  <c r="AX23" i="8"/>
  <c r="BI22" i="8"/>
  <c r="H16" i="7" s="1"/>
  <c r="AY22" i="8"/>
  <c r="BH22" i="8" s="1"/>
  <c r="AX22" i="8"/>
  <c r="BG22" i="8" s="1"/>
  <c r="F16" i="7" s="1"/>
  <c r="BI21" i="8"/>
  <c r="H15" i="7" s="1"/>
  <c r="BH21" i="8"/>
  <c r="BG21" i="8"/>
  <c r="F15" i="7" s="1"/>
  <c r="AX21" i="8"/>
  <c r="BI20" i="8"/>
  <c r="H14" i="7" s="1"/>
  <c r="BH20" i="8"/>
  <c r="BG20" i="8"/>
  <c r="F14" i="7" s="1"/>
  <c r="AX20" i="8"/>
  <c r="BI19" i="8"/>
  <c r="H13" i="7" s="1"/>
  <c r="BH19" i="8"/>
  <c r="BG19" i="8"/>
  <c r="F13" i="7" s="1"/>
  <c r="BD18" i="8"/>
  <c r="BA18" i="8"/>
  <c r="AZ18" i="8"/>
  <c r="AX18" i="8"/>
  <c r="AU18" i="8"/>
  <c r="AR18" i="8"/>
  <c r="AO18" i="8"/>
  <c r="AL18" i="8"/>
  <c r="AI18" i="8"/>
  <c r="AF18" i="8"/>
  <c r="AC18" i="8"/>
  <c r="Z18" i="8"/>
  <c r="W18" i="8"/>
  <c r="T18" i="8"/>
  <c r="BI17" i="8"/>
  <c r="H12" i="7" s="1"/>
  <c r="BH17" i="8"/>
  <c r="AX17" i="8"/>
  <c r="BG17" i="8" s="1"/>
  <c r="F12" i="7" s="1"/>
  <c r="BD16" i="8"/>
  <c r="BA16" i="8"/>
  <c r="AZ16" i="8"/>
  <c r="AY16" i="8"/>
  <c r="AX16" i="8"/>
  <c r="AU16" i="8"/>
  <c r="AR16" i="8"/>
  <c r="AO16" i="8"/>
  <c r="AL16" i="8"/>
  <c r="AI16" i="8"/>
  <c r="AF16" i="8"/>
  <c r="AC16" i="8"/>
  <c r="Z16" i="8"/>
  <c r="W16" i="8"/>
  <c r="T16" i="8"/>
  <c r="BI13" i="8"/>
  <c r="H10" i="7" s="1"/>
  <c r="BH13" i="8"/>
  <c r="AX13" i="8"/>
  <c r="BG13" i="8" s="1"/>
  <c r="F10" i="7" s="1"/>
  <c r="BD12" i="8"/>
  <c r="BA12" i="8"/>
  <c r="AZ12" i="8"/>
  <c r="AY12" i="8"/>
  <c r="AX12" i="8"/>
  <c r="AU12" i="8"/>
  <c r="AR12" i="8"/>
  <c r="AO12" i="8"/>
  <c r="AL12" i="8"/>
  <c r="AI12" i="8"/>
  <c r="AF12" i="8"/>
  <c r="AC12" i="8"/>
  <c r="Z12" i="8"/>
  <c r="W12" i="8"/>
  <c r="T12" i="8"/>
  <c r="BI11" i="8"/>
  <c r="H9" i="7" s="1"/>
  <c r="BH11" i="8"/>
  <c r="AX11" i="8"/>
  <c r="BG11" i="8" s="1"/>
  <c r="F9" i="7" s="1"/>
  <c r="BI10" i="8"/>
  <c r="H8" i="7" s="1"/>
  <c r="BH10" i="8"/>
  <c r="AX10" i="8"/>
  <c r="BG10" i="8" s="1"/>
  <c r="BD9" i="8"/>
  <c r="BA9" i="8"/>
  <c r="AZ9" i="8"/>
  <c r="AY9" i="8"/>
  <c r="AX9" i="8"/>
  <c r="AU9" i="8"/>
  <c r="AR9" i="8"/>
  <c r="AO9" i="8"/>
  <c r="AL9" i="8"/>
  <c r="AI9" i="8"/>
  <c r="AF9" i="8"/>
  <c r="AC9" i="8"/>
  <c r="Z9" i="8"/>
  <c r="W9" i="8"/>
  <c r="T9" i="8"/>
  <c r="BG223" i="8" l="1"/>
  <c r="G10" i="7"/>
  <c r="G18" i="7"/>
  <c r="G36" i="7"/>
  <c r="G64" i="7"/>
  <c r="G105" i="7"/>
  <c r="G112" i="7"/>
  <c r="G8" i="7"/>
  <c r="G13" i="7"/>
  <c r="G14" i="7"/>
  <c r="G15" i="7"/>
  <c r="G23" i="7"/>
  <c r="G24" i="7"/>
  <c r="G26" i="7"/>
  <c r="G28" i="7"/>
  <c r="G30" i="7"/>
  <c r="G34" i="7"/>
  <c r="G40" i="7"/>
  <c r="G42" i="7"/>
  <c r="G57" i="7"/>
  <c r="G76" i="7"/>
  <c r="G98" i="7"/>
  <c r="G99" i="7"/>
  <c r="G100" i="7"/>
  <c r="G101" i="7"/>
  <c r="G113" i="7"/>
  <c r="G119" i="7"/>
  <c r="G125" i="7"/>
  <c r="G127" i="7"/>
  <c r="G138" i="7"/>
  <c r="G149" i="7"/>
  <c r="G153" i="7"/>
  <c r="G157" i="7"/>
  <c r="G162" i="7"/>
  <c r="G169" i="7"/>
  <c r="G178" i="7"/>
  <c r="G181" i="7"/>
  <c r="G80" i="7"/>
  <c r="G91" i="7"/>
  <c r="G137" i="7"/>
  <c r="G152" i="7"/>
  <c r="G167" i="7"/>
  <c r="G171" i="7"/>
  <c r="G173" i="7"/>
  <c r="G174" i="7"/>
  <c r="G179" i="7"/>
  <c r="G33" i="7"/>
  <c r="G41" i="7"/>
  <c r="G58" i="7"/>
  <c r="G70" i="7"/>
  <c r="G84" i="7"/>
  <c r="G86" i="7"/>
  <c r="G118" i="7"/>
  <c r="G129" i="7"/>
  <c r="G25" i="7"/>
  <c r="G27" i="7"/>
  <c r="G29" i="7"/>
  <c r="G44" i="7"/>
  <c r="G49" i="7"/>
  <c r="G50" i="7"/>
  <c r="G72" i="7"/>
  <c r="G75" i="7"/>
  <c r="G83" i="7"/>
  <c r="G96" i="7"/>
  <c r="G104" i="7"/>
  <c r="BH223" i="8"/>
  <c r="G111" i="7"/>
  <c r="G115" i="7"/>
  <c r="G117" i="7"/>
  <c r="G123" i="7"/>
  <c r="G128" i="7"/>
  <c r="G131" i="7"/>
  <c r="G133" i="7"/>
  <c r="G151" i="7"/>
  <c r="G161" i="7"/>
  <c r="G39" i="7"/>
  <c r="G103" i="7"/>
  <c r="G121" i="7"/>
  <c r="G124" i="7"/>
  <c r="G12" i="7"/>
  <c r="G16" i="7"/>
  <c r="G21" i="7"/>
  <c r="G32" i="7"/>
  <c r="G37" i="7"/>
  <c r="G46" i="7"/>
  <c r="G47" i="7"/>
  <c r="H53" i="7"/>
  <c r="G67" i="7"/>
  <c r="G73" i="7"/>
  <c r="G78" i="7"/>
  <c r="G81" i="7"/>
  <c r="G82" i="7"/>
  <c r="G85" i="7"/>
  <c r="G87" i="7"/>
  <c r="G90" i="7"/>
  <c r="G93" i="7"/>
  <c r="G94" i="7"/>
  <c r="G95" i="7"/>
  <c r="G110" i="7"/>
  <c r="G145" i="7"/>
  <c r="G154" i="7"/>
  <c r="BH331" i="8"/>
  <c r="G177" i="7"/>
  <c r="AF371" i="8"/>
  <c r="AF365" i="8" s="1"/>
  <c r="BG331" i="8"/>
  <c r="D11" i="11" s="1"/>
  <c r="E11" i="11" s="1"/>
  <c r="BH121" i="8"/>
  <c r="AL76" i="8"/>
  <c r="AL75" i="8" s="1"/>
  <c r="H135" i="7"/>
  <c r="G141" i="7"/>
  <c r="T15" i="8"/>
  <c r="T14" i="8" s="1"/>
  <c r="BH159" i="8"/>
  <c r="AC49" i="8"/>
  <c r="T8" i="8"/>
  <c r="T7" i="8" s="1"/>
  <c r="AF8" i="8"/>
  <c r="AF7" i="8" s="1"/>
  <c r="AR8" i="8"/>
  <c r="AR7" i="8" s="1"/>
  <c r="AZ8" i="8"/>
  <c r="AZ7" i="8" s="1"/>
  <c r="BG58" i="8"/>
  <c r="W70" i="8"/>
  <c r="AA70" i="8"/>
  <c r="AM70" i="8"/>
  <c r="AQ70" i="8"/>
  <c r="BC70" i="8"/>
  <c r="AB195" i="8"/>
  <c r="AB194" i="8" s="1"/>
  <c r="BH60" i="8"/>
  <c r="BI79" i="8"/>
  <c r="H5" i="11" s="1"/>
  <c r="U36" i="8"/>
  <c r="Y36" i="8"/>
  <c r="AC36" i="8"/>
  <c r="AG36" i="8"/>
  <c r="AK36" i="8"/>
  <c r="AO36" i="8"/>
  <c r="AS36" i="8"/>
  <c r="AW36" i="8"/>
  <c r="BA36" i="8"/>
  <c r="BE36" i="8"/>
  <c r="AM36" i="8"/>
  <c r="AU36" i="8"/>
  <c r="BH64" i="8"/>
  <c r="BI64" i="8"/>
  <c r="H47" i="11" s="1"/>
  <c r="BD97" i="8"/>
  <c r="BH185" i="8"/>
  <c r="AR195" i="8"/>
  <c r="AR194" i="8" s="1"/>
  <c r="AV195" i="8"/>
  <c r="AV194" i="8" s="1"/>
  <c r="BA188" i="8"/>
  <c r="BA187" i="8" s="1"/>
  <c r="T195" i="8"/>
  <c r="T194" i="8" s="1"/>
  <c r="X195" i="8"/>
  <c r="X194" i="8" s="1"/>
  <c r="V70" i="8"/>
  <c r="Z70" i="8"/>
  <c r="AD70" i="8"/>
  <c r="AH70" i="8"/>
  <c r="AL70" i="8"/>
  <c r="AP70" i="8"/>
  <c r="AT70" i="8"/>
  <c r="AX70" i="8"/>
  <c r="BB70" i="8"/>
  <c r="BF70" i="8"/>
  <c r="AL125" i="8"/>
  <c r="AL124" i="8" s="1"/>
  <c r="BI163" i="8"/>
  <c r="H29" i="11" s="1"/>
  <c r="AE70" i="8"/>
  <c r="AI70" i="8"/>
  <c r="AU70" i="8"/>
  <c r="AY70" i="8"/>
  <c r="BI71" i="8"/>
  <c r="T125" i="8"/>
  <c r="T124" i="8" s="1"/>
  <c r="AF125" i="8"/>
  <c r="AF124" i="8" s="1"/>
  <c r="AR125" i="8"/>
  <c r="AR124" i="8" s="1"/>
  <c r="Z125" i="8"/>
  <c r="Z124" i="8" s="1"/>
  <c r="BI156" i="8"/>
  <c r="H26" i="11" s="1"/>
  <c r="BG159" i="8"/>
  <c r="D27" i="11" s="1"/>
  <c r="E27" i="11" s="1"/>
  <c r="AY188" i="8"/>
  <c r="AY187" i="8" s="1"/>
  <c r="U195" i="8"/>
  <c r="U194" i="8" s="1"/>
  <c r="Y195" i="8"/>
  <c r="Y194" i="8" s="1"/>
  <c r="AC195" i="8"/>
  <c r="AC194" i="8" s="1"/>
  <c r="AY195" i="8"/>
  <c r="AY194" i="8" s="1"/>
  <c r="BC195" i="8"/>
  <c r="BC194" i="8" s="1"/>
  <c r="BI218" i="8"/>
  <c r="H22" i="11" s="1"/>
  <c r="U222" i="8"/>
  <c r="U221" i="8" s="1"/>
  <c r="T49" i="8"/>
  <c r="X49" i="8"/>
  <c r="AB49" i="8"/>
  <c r="AF49" i="8"/>
  <c r="AJ49" i="8"/>
  <c r="AN49" i="8"/>
  <c r="AR49" i="8"/>
  <c r="AV49" i="8"/>
  <c r="AZ49" i="8"/>
  <c r="BD49" i="8"/>
  <c r="U70" i="8"/>
  <c r="Y70" i="8"/>
  <c r="AC70" i="8"/>
  <c r="AG70" i="8"/>
  <c r="AK70" i="8"/>
  <c r="AO70" i="8"/>
  <c r="AS70" i="8"/>
  <c r="AW70" i="8"/>
  <c r="BA70" i="8"/>
  <c r="BE70" i="8"/>
  <c r="H51" i="7"/>
  <c r="AP113" i="8"/>
  <c r="AP112" i="8" s="1"/>
  <c r="BD125" i="8"/>
  <c r="BD124" i="8" s="1"/>
  <c r="BB195" i="8"/>
  <c r="BB194" i="8" s="1"/>
  <c r="BF195" i="8"/>
  <c r="BF194" i="8" s="1"/>
  <c r="H147" i="7"/>
  <c r="F148" i="7"/>
  <c r="H155" i="7"/>
  <c r="AC8" i="8"/>
  <c r="AC7" i="8" s="1"/>
  <c r="AO8" i="8"/>
  <c r="AO7" i="8" s="1"/>
  <c r="AY8" i="8"/>
  <c r="AY7" i="8" s="1"/>
  <c r="BI9" i="8"/>
  <c r="Z15" i="8"/>
  <c r="Z14" i="8" s="1"/>
  <c r="AL15" i="8"/>
  <c r="AL14" i="8" s="1"/>
  <c r="AX15" i="8"/>
  <c r="AX14" i="8" s="1"/>
  <c r="AF15" i="8"/>
  <c r="AF14" i="8" s="1"/>
  <c r="AR15" i="8"/>
  <c r="AR14" i="8" s="1"/>
  <c r="U49" i="8"/>
  <c r="Y49" i="8"/>
  <c r="AG49" i="8"/>
  <c r="AK49" i="8"/>
  <c r="AO49" i="8"/>
  <c r="AS49" i="8"/>
  <c r="AW49" i="8"/>
  <c r="BA49" i="8"/>
  <c r="BE49" i="8"/>
  <c r="BG52" i="8"/>
  <c r="AC125" i="8"/>
  <c r="AC124" i="8" s="1"/>
  <c r="AO125" i="8"/>
  <c r="AO124" i="8" s="1"/>
  <c r="AZ125" i="8"/>
  <c r="AZ124" i="8" s="1"/>
  <c r="AC141" i="8"/>
  <c r="BG166" i="8"/>
  <c r="BI159" i="8"/>
  <c r="H27" i="11" s="1"/>
  <c r="V54" i="8"/>
  <c r="Z54" i="8"/>
  <c r="AD54" i="8"/>
  <c r="AH54" i="8"/>
  <c r="AL54" i="8"/>
  <c r="AP54" i="8"/>
  <c r="AT54" i="8"/>
  <c r="AX54" i="8"/>
  <c r="BB54" i="8"/>
  <c r="BF54" i="8"/>
  <c r="BH62" i="8"/>
  <c r="BG71" i="8"/>
  <c r="BH73" i="8"/>
  <c r="BG77" i="8"/>
  <c r="H61" i="7"/>
  <c r="H63" i="7"/>
  <c r="AY141" i="8"/>
  <c r="G69" i="7"/>
  <c r="H71" i="7"/>
  <c r="BH154" i="8"/>
  <c r="BH166" i="8"/>
  <c r="AP195" i="8"/>
  <c r="AP194" i="8" s="1"/>
  <c r="AT195" i="8"/>
  <c r="AT194" i="8" s="1"/>
  <c r="T222" i="8"/>
  <c r="T221" i="8" s="1"/>
  <c r="AF222" i="8"/>
  <c r="AF221" i="8" s="1"/>
  <c r="H131" i="7"/>
  <c r="BI83" i="8"/>
  <c r="T54" i="8"/>
  <c r="AZ54" i="8"/>
  <c r="BI81" i="8"/>
  <c r="H6" i="11" s="1"/>
  <c r="BH98" i="8"/>
  <c r="BH101" i="8"/>
  <c r="V113" i="8"/>
  <c r="V112" i="8" s="1"/>
  <c r="Z113" i="8"/>
  <c r="Z112" i="8" s="1"/>
  <c r="AD113" i="8"/>
  <c r="AD112" i="8" s="1"/>
  <c r="AH113" i="8"/>
  <c r="AH112" i="8" s="1"/>
  <c r="AL113" i="8"/>
  <c r="AL112" i="8" s="1"/>
  <c r="AT113" i="8"/>
  <c r="AT112" i="8" s="1"/>
  <c r="G56" i="7"/>
  <c r="W113" i="8"/>
  <c r="W112" i="8" s="1"/>
  <c r="AA113" i="8"/>
  <c r="AA112" i="8" s="1"/>
  <c r="AE113" i="8"/>
  <c r="AE112" i="8" s="1"/>
  <c r="AI113" i="8"/>
  <c r="AI112" i="8" s="1"/>
  <c r="AM113" i="8"/>
  <c r="AM112" i="8" s="1"/>
  <c r="AQ113" i="8"/>
  <c r="AQ112" i="8" s="1"/>
  <c r="AU113" i="8"/>
  <c r="AU112" i="8" s="1"/>
  <c r="BD188" i="8"/>
  <c r="BD187" i="8" s="1"/>
  <c r="AU195" i="8"/>
  <c r="AU194" i="8" s="1"/>
  <c r="AZ195" i="8"/>
  <c r="AZ194" i="8" s="1"/>
  <c r="BD195" i="8"/>
  <c r="BD194" i="8" s="1"/>
  <c r="G140" i="7"/>
  <c r="H144" i="7"/>
  <c r="H146" i="7"/>
  <c r="BI342" i="8"/>
  <c r="BI341" i="8" s="1"/>
  <c r="AC15" i="8"/>
  <c r="AC14" i="8" s="1"/>
  <c r="AO15" i="8"/>
  <c r="AO14" i="8" s="1"/>
  <c r="AJ54" i="8"/>
  <c r="AR54" i="8"/>
  <c r="Z172" i="8"/>
  <c r="AL172" i="8"/>
  <c r="AX172" i="8"/>
  <c r="BD172" i="8"/>
  <c r="Z188" i="8"/>
  <c r="Z187" i="8" s="1"/>
  <c r="AB54" i="8"/>
  <c r="BF125" i="8"/>
  <c r="BF124" i="8" s="1"/>
  <c r="G62" i="7"/>
  <c r="G79" i="7"/>
  <c r="G9" i="7"/>
  <c r="G7" i="7" s="1"/>
  <c r="BH9" i="8"/>
  <c r="F77" i="7"/>
  <c r="F94" i="7"/>
  <c r="AL188" i="8"/>
  <c r="AL187" i="8" s="1"/>
  <c r="H130" i="7"/>
  <c r="BI259" i="8"/>
  <c r="H34" i="11" s="1"/>
  <c r="H30" i="7"/>
  <c r="BI52" i="8"/>
  <c r="G31" i="7"/>
  <c r="BH55" i="8"/>
  <c r="BI58" i="8"/>
  <c r="AZ113" i="8"/>
  <c r="AZ112" i="8" s="1"/>
  <c r="H56" i="7"/>
  <c r="BI166" i="8"/>
  <c r="BI183" i="8"/>
  <c r="BC36" i="8"/>
  <c r="W8" i="8"/>
  <c r="W7" i="8" s="1"/>
  <c r="AI8" i="8"/>
  <c r="AI7" i="8" s="1"/>
  <c r="AU8" i="8"/>
  <c r="AU7" i="8" s="1"/>
  <c r="BA8" i="8"/>
  <c r="BA7" i="8" s="1"/>
  <c r="BD15" i="8"/>
  <c r="BD14" i="8" s="1"/>
  <c r="W36" i="8"/>
  <c r="AE36" i="8"/>
  <c r="H39" i="7"/>
  <c r="BI77" i="8"/>
  <c r="AI76" i="8"/>
  <c r="BD76" i="8"/>
  <c r="AZ97" i="8"/>
  <c r="BI98" i="8"/>
  <c r="H48" i="7" s="1"/>
  <c r="BI106" i="8"/>
  <c r="BI105" i="8" s="1"/>
  <c r="W141" i="8"/>
  <c r="AI141" i="8"/>
  <c r="AU141" i="8"/>
  <c r="BD141" i="8"/>
  <c r="BD140" i="8" s="1"/>
  <c r="H73" i="7"/>
  <c r="BI154" i="8"/>
  <c r="H25" i="11" s="1"/>
  <c r="W195" i="8"/>
  <c r="W194" i="8" s="1"/>
  <c r="AA195" i="8"/>
  <c r="AA194" i="8" s="1"/>
  <c r="F101" i="7"/>
  <c r="H148" i="7"/>
  <c r="Z8" i="8"/>
  <c r="Z7" i="8" s="1"/>
  <c r="AL8" i="8"/>
  <c r="AL7" i="8" s="1"/>
  <c r="AX8" i="8"/>
  <c r="AX7" i="8" s="1"/>
  <c r="BD8" i="8"/>
  <c r="BD7" i="8" s="1"/>
  <c r="AZ15" i="8"/>
  <c r="AZ14" i="8" s="1"/>
  <c r="F19" i="7"/>
  <c r="AA36" i="8"/>
  <c r="AI36" i="8"/>
  <c r="AQ36" i="8"/>
  <c r="AY36" i="8"/>
  <c r="BG37" i="8"/>
  <c r="V49" i="8"/>
  <c r="Z49" i="8"/>
  <c r="AD49" i="8"/>
  <c r="AH49" i="8"/>
  <c r="AL49" i="8"/>
  <c r="AP49" i="8"/>
  <c r="AT49" i="8"/>
  <c r="AX49" i="8"/>
  <c r="BB49" i="8"/>
  <c r="BF49" i="8"/>
  <c r="AY54" i="8"/>
  <c r="BC54" i="8"/>
  <c r="U54" i="8"/>
  <c r="Y54" i="8"/>
  <c r="AC54" i="8"/>
  <c r="AG54" i="8"/>
  <c r="AK54" i="8"/>
  <c r="AO54" i="8"/>
  <c r="AS54" i="8"/>
  <c r="BA97" i="8"/>
  <c r="BA75" i="8" s="1"/>
  <c r="X113" i="8"/>
  <c r="X112" i="8" s="1"/>
  <c r="AB113" i="8"/>
  <c r="AB112" i="8" s="1"/>
  <c r="AF113" i="8"/>
  <c r="AF112" i="8" s="1"/>
  <c r="AJ113" i="8"/>
  <c r="AJ112" i="8" s="1"/>
  <c r="AN113" i="8"/>
  <c r="AN112" i="8" s="1"/>
  <c r="AR113" i="8"/>
  <c r="AR112" i="8" s="1"/>
  <c r="AV113" i="8"/>
  <c r="AV112" i="8" s="1"/>
  <c r="BI121" i="8"/>
  <c r="H59" i="7" s="1"/>
  <c r="BB125" i="8"/>
  <c r="BB124" i="8" s="1"/>
  <c r="H62" i="7"/>
  <c r="BH135" i="8"/>
  <c r="BI135" i="8"/>
  <c r="H65" i="7" s="1"/>
  <c r="AO141" i="8"/>
  <c r="H79" i="7"/>
  <c r="AF172" i="8"/>
  <c r="AZ172" i="8"/>
  <c r="H88" i="7"/>
  <c r="V222" i="8"/>
  <c r="V221" i="8" s="1"/>
  <c r="H143" i="7"/>
  <c r="H150" i="7"/>
  <c r="G155" i="7"/>
  <c r="F126" i="7"/>
  <c r="H140" i="7"/>
  <c r="G143" i="7"/>
  <c r="G150" i="7"/>
  <c r="H7" i="7"/>
  <c r="W15" i="8"/>
  <c r="W14" i="8" s="1"/>
  <c r="AI15" i="8"/>
  <c r="AI14" i="8" s="1"/>
  <c r="AU15" i="8"/>
  <c r="AU14" i="8" s="1"/>
  <c r="H17" i="7"/>
  <c r="W49" i="8"/>
  <c r="AA49" i="8"/>
  <c r="AE49" i="8"/>
  <c r="AI49" i="8"/>
  <c r="AM49" i="8"/>
  <c r="AQ49" i="8"/>
  <c r="AU49" i="8"/>
  <c r="AY49" i="8"/>
  <c r="BC49" i="8"/>
  <c r="X54" i="8"/>
  <c r="AF54" i="8"/>
  <c r="AN54" i="8"/>
  <c r="AV54" i="8"/>
  <c r="BD54" i="8"/>
  <c r="F31" i="7"/>
  <c r="BG64" i="8"/>
  <c r="D47" i="11" s="1"/>
  <c r="E47" i="11" s="1"/>
  <c r="G51" i="7"/>
  <c r="T113" i="8"/>
  <c r="T112" i="8" s="1"/>
  <c r="BC113" i="8"/>
  <c r="BC112" i="8" s="1"/>
  <c r="AY125" i="8"/>
  <c r="AY124" i="8" s="1"/>
  <c r="G63" i="7"/>
  <c r="BI161" i="8"/>
  <c r="H28" i="11" s="1"/>
  <c r="BI169" i="8"/>
  <c r="AQ195" i="8"/>
  <c r="AQ194" i="8" s="1"/>
  <c r="G97" i="7"/>
  <c r="BH218" i="8"/>
  <c r="BA222" i="8"/>
  <c r="BA221" i="8" s="1"/>
  <c r="G135" i="7"/>
  <c r="F147" i="7"/>
  <c r="BH342" i="8"/>
  <c r="F50" i="11" s="1"/>
  <c r="BH33" i="8"/>
  <c r="F8" i="7"/>
  <c r="F7" i="7" s="1"/>
  <c r="BG9" i="8"/>
  <c r="H19" i="7"/>
  <c r="F17" i="7"/>
  <c r="F11" i="7" s="1"/>
  <c r="BH39" i="8"/>
  <c r="F42" i="7"/>
  <c r="BG83" i="8"/>
  <c r="BH91" i="8"/>
  <c r="AI97" i="8"/>
  <c r="BG106" i="8"/>
  <c r="BG105" i="8" s="1"/>
  <c r="BG116" i="8"/>
  <c r="F55" i="7" s="1"/>
  <c r="BG18" i="8"/>
  <c r="BG82" i="8"/>
  <c r="AX81" i="8"/>
  <c r="AX76" i="8" s="1"/>
  <c r="W76" i="8"/>
  <c r="AU76" i="8"/>
  <c r="AU75" i="8" s="1"/>
  <c r="W97" i="8"/>
  <c r="BG122" i="8"/>
  <c r="BG121" i="8" s="1"/>
  <c r="D14" i="11" s="1"/>
  <c r="E14" i="11" s="1"/>
  <c r="AX121" i="8"/>
  <c r="AX113" i="8" s="1"/>
  <c r="AX112" i="8" s="1"/>
  <c r="G61" i="7"/>
  <c r="BH126" i="8"/>
  <c r="BG136" i="8"/>
  <c r="BG135" i="8" s="1"/>
  <c r="AX135" i="8"/>
  <c r="BG146" i="8"/>
  <c r="F69" i="7" s="1"/>
  <c r="AX142" i="8"/>
  <c r="F73" i="7"/>
  <c r="BG154" i="8"/>
  <c r="D25" i="11" s="1"/>
  <c r="E25" i="11" s="1"/>
  <c r="BG171" i="8"/>
  <c r="F79" i="7" s="1"/>
  <c r="AX169" i="8"/>
  <c r="F104" i="7"/>
  <c r="BG218" i="8"/>
  <c r="D22" i="11" s="1"/>
  <c r="E22" i="11" s="1"/>
  <c r="G108" i="7"/>
  <c r="BH226" i="8"/>
  <c r="BG299" i="8"/>
  <c r="F142" i="7" s="1"/>
  <c r="AF290" i="8"/>
  <c r="BG323" i="8"/>
  <c r="BG321" i="8" s="1"/>
  <c r="AI321" i="8"/>
  <c r="BH12" i="8"/>
  <c r="BA15" i="8"/>
  <c r="BA14" i="8" s="1"/>
  <c r="BH16" i="8"/>
  <c r="H11" i="7"/>
  <c r="BI18" i="8"/>
  <c r="G17" i="7"/>
  <c r="AZ32" i="8"/>
  <c r="AZ31" i="8" s="1"/>
  <c r="AZ30" i="8" s="1"/>
  <c r="V36" i="8"/>
  <c r="Z36" i="8"/>
  <c r="AD36" i="8"/>
  <c r="AH36" i="8"/>
  <c r="AL36" i="8"/>
  <c r="AP36" i="8"/>
  <c r="AT36" i="8"/>
  <c r="AX36" i="8"/>
  <c r="BB36" i="8"/>
  <c r="BF36" i="8"/>
  <c r="BI37" i="8"/>
  <c r="X36" i="8"/>
  <c r="AB36" i="8"/>
  <c r="AF36" i="8"/>
  <c r="AJ36" i="8"/>
  <c r="AN36" i="8"/>
  <c r="AR36" i="8"/>
  <c r="AV36" i="8"/>
  <c r="AZ36" i="8"/>
  <c r="BD36" i="8"/>
  <c r="T40" i="8"/>
  <c r="BH41" i="8"/>
  <c r="BH43" i="8"/>
  <c r="BH45" i="8"/>
  <c r="BH47" i="8"/>
  <c r="BH50" i="8"/>
  <c r="W54" i="8"/>
  <c r="AA54" i="8"/>
  <c r="AE54" i="8"/>
  <c r="AI54" i="8"/>
  <c r="AM54" i="8"/>
  <c r="AQ54" i="8"/>
  <c r="AU54" i="8"/>
  <c r="T70" i="8"/>
  <c r="X70" i="8"/>
  <c r="AB70" i="8"/>
  <c r="AF70" i="8"/>
  <c r="AJ70" i="8"/>
  <c r="AN70" i="8"/>
  <c r="AR70" i="8"/>
  <c r="AV70" i="8"/>
  <c r="AZ70" i="8"/>
  <c r="BD70" i="8"/>
  <c r="F40" i="7"/>
  <c r="BG79" i="8"/>
  <c r="D5" i="11" s="1"/>
  <c r="E5" i="11" s="1"/>
  <c r="BG94" i="8"/>
  <c r="F45" i="7" s="1"/>
  <c r="AY97" i="8"/>
  <c r="BG99" i="8"/>
  <c r="BG98" i="8" s="1"/>
  <c r="AX98" i="8"/>
  <c r="AX97" i="8" s="1"/>
  <c r="F51" i="7"/>
  <c r="BG127" i="8"/>
  <c r="F61" i="7" s="1"/>
  <c r="AX126" i="8"/>
  <c r="F62" i="7"/>
  <c r="F63" i="7"/>
  <c r="BA141" i="8"/>
  <c r="BI145" i="8"/>
  <c r="AZ142" i="8"/>
  <c r="AZ141" i="8" s="1"/>
  <c r="AX154" i="8"/>
  <c r="T141" i="8"/>
  <c r="AF141" i="8"/>
  <c r="AR141" i="8"/>
  <c r="AX156" i="8"/>
  <c r="G74" i="7"/>
  <c r="BH156" i="8"/>
  <c r="BG156" i="8"/>
  <c r="D26" i="11" s="1"/>
  <c r="E26" i="11" s="1"/>
  <c r="AX163" i="8"/>
  <c r="G77" i="7"/>
  <c r="BH163" i="8"/>
  <c r="BG163" i="8"/>
  <c r="D29" i="11" s="1"/>
  <c r="E29" i="11" s="1"/>
  <c r="H81" i="7"/>
  <c r="BI175" i="8"/>
  <c r="T172" i="8"/>
  <c r="AR172" i="8"/>
  <c r="AR140" i="8" s="1"/>
  <c r="BG191" i="8"/>
  <c r="AX189" i="8"/>
  <c r="AX188" i="8" s="1"/>
  <c r="AX187" i="8" s="1"/>
  <c r="BI196" i="8"/>
  <c r="BG208" i="8"/>
  <c r="BG196" i="8" s="1"/>
  <c r="AX218" i="8"/>
  <c r="AX195" i="8" s="1"/>
  <c r="AX194" i="8" s="1"/>
  <c r="AR222" i="8"/>
  <c r="AR221" i="8" s="1"/>
  <c r="AZ222" i="8"/>
  <c r="AZ221" i="8" s="1"/>
  <c r="BD222" i="8"/>
  <c r="BD221" i="8" s="1"/>
  <c r="W222" i="8"/>
  <c r="W221" i="8" s="1"/>
  <c r="AC222" i="8"/>
  <c r="AC221" i="8" s="1"/>
  <c r="AI222" i="8"/>
  <c r="AI221" i="8" s="1"/>
  <c r="AU222" i="8"/>
  <c r="AU221" i="8" s="1"/>
  <c r="BG227" i="8"/>
  <c r="AX226" i="8"/>
  <c r="F116" i="7"/>
  <c r="H116" i="7"/>
  <c r="BI237" i="8"/>
  <c r="BG244" i="8"/>
  <c r="F121" i="7" s="1"/>
  <c r="AX237" i="8"/>
  <c r="BG249" i="8"/>
  <c r="F124" i="7" s="1"/>
  <c r="AX245" i="8"/>
  <c r="BI245" i="8"/>
  <c r="H18" i="11" s="1"/>
  <c r="G130" i="7"/>
  <c r="BH259" i="8"/>
  <c r="BG269" i="8"/>
  <c r="AF266" i="8"/>
  <c r="BG271" i="8"/>
  <c r="AI266" i="8"/>
  <c r="BG368" i="8"/>
  <c r="F177" i="7" s="1"/>
  <c r="T367" i="8"/>
  <c r="T366" i="8"/>
  <c r="T365" i="8" s="1"/>
  <c r="AW54" i="8"/>
  <c r="BA54" i="8"/>
  <c r="BE54" i="8"/>
  <c r="T76" i="8"/>
  <c r="T75" i="8" s="1"/>
  <c r="Z76" i="8"/>
  <c r="Z75" i="8" s="1"/>
  <c r="AF76" i="8"/>
  <c r="AF75" i="8" s="1"/>
  <c r="AR76" i="8"/>
  <c r="AR75" i="8" s="1"/>
  <c r="BG85" i="8"/>
  <c r="F43" i="7" s="1"/>
  <c r="AC76" i="8"/>
  <c r="AC75" i="8" s="1"/>
  <c r="AO76" i="8"/>
  <c r="AO75" i="8" s="1"/>
  <c r="H52" i="7"/>
  <c r="BH106" i="8"/>
  <c r="U113" i="8"/>
  <c r="U112" i="8" s="1"/>
  <c r="Y113" i="8"/>
  <c r="Y112" i="8" s="1"/>
  <c r="AC113" i="8"/>
  <c r="AC112" i="8" s="1"/>
  <c r="AG113" i="8"/>
  <c r="AG112" i="8" s="1"/>
  <c r="AK113" i="8"/>
  <c r="AK112" i="8" s="1"/>
  <c r="AO113" i="8"/>
  <c r="AO112" i="8" s="1"/>
  <c r="AS113" i="8"/>
  <c r="AS112" i="8" s="1"/>
  <c r="AW113" i="8"/>
  <c r="AW112" i="8" s="1"/>
  <c r="BA113" i="8"/>
  <c r="BA112" i="8" s="1"/>
  <c r="BE113" i="8"/>
  <c r="BE112" i="8" s="1"/>
  <c r="BI115" i="8"/>
  <c r="BI114" i="8" s="1"/>
  <c r="F56" i="7"/>
  <c r="Z141" i="8"/>
  <c r="AL141" i="8"/>
  <c r="BG161" i="8"/>
  <c r="D28" i="11" s="1"/>
  <c r="E28" i="11" s="1"/>
  <c r="F76" i="7"/>
  <c r="AC172" i="8"/>
  <c r="AO172" i="8"/>
  <c r="AY172" i="8"/>
  <c r="BH175" i="8"/>
  <c r="T188" i="8"/>
  <c r="T187" i="8" s="1"/>
  <c r="AF188" i="8"/>
  <c r="AF187" i="8" s="1"/>
  <c r="AR188" i="8"/>
  <c r="AR187" i="8" s="1"/>
  <c r="AZ188" i="8"/>
  <c r="AZ187" i="8" s="1"/>
  <c r="V195" i="8"/>
  <c r="V194" i="8" s="1"/>
  <c r="Z195" i="8"/>
  <c r="Z194" i="8" s="1"/>
  <c r="AD195" i="8"/>
  <c r="AD194" i="8" s="1"/>
  <c r="H93" i="7"/>
  <c r="H97" i="7"/>
  <c r="H102" i="7"/>
  <c r="AO222" i="8"/>
  <c r="AO221" i="8" s="1"/>
  <c r="Z222" i="8"/>
  <c r="Z221" i="8" s="1"/>
  <c r="AL222" i="8"/>
  <c r="AL221" i="8" s="1"/>
  <c r="F109" i="7"/>
  <c r="BG228" i="8"/>
  <c r="D16" i="11" s="1"/>
  <c r="E16" i="11" s="1"/>
  <c r="F122" i="7"/>
  <c r="H122" i="7"/>
  <c r="F128" i="7"/>
  <c r="BG255" i="8"/>
  <c r="AH290" i="8"/>
  <c r="BI291" i="8"/>
  <c r="H141" i="7" s="1"/>
  <c r="F144" i="7"/>
  <c r="G147" i="7"/>
  <c r="G148" i="7"/>
  <c r="F150" i="7"/>
  <c r="BG338" i="8"/>
  <c r="F161" i="7" s="1"/>
  <c r="AX337" i="8"/>
  <c r="AX336" i="8" s="1"/>
  <c r="BA348" i="8"/>
  <c r="BA347" i="8" s="1"/>
  <c r="BA346" i="8" s="1"/>
  <c r="BG356" i="8"/>
  <c r="F171" i="7" s="1"/>
  <c r="BG359" i="8"/>
  <c r="F172" i="7" s="1"/>
  <c r="H126" i="7"/>
  <c r="F135" i="7"/>
  <c r="F140" i="7"/>
  <c r="F146" i="7"/>
  <c r="BI314" i="8"/>
  <c r="H149" i="7" s="1"/>
  <c r="BG342" i="8"/>
  <c r="BG341" i="8" s="1"/>
  <c r="AZ76" i="8"/>
  <c r="AY76" i="8"/>
  <c r="BI85" i="8"/>
  <c r="H15" i="11" s="1"/>
  <c r="G45" i="7"/>
  <c r="BH93" i="8"/>
  <c r="G55" i="7"/>
  <c r="BH114" i="8"/>
  <c r="BC126" i="8"/>
  <c r="BC125" i="8" s="1"/>
  <c r="BC124" i="8" s="1"/>
  <c r="G122" i="7"/>
  <c r="AY114" i="8"/>
  <c r="AY113" i="8" s="1"/>
  <c r="AY112" i="8" s="1"/>
  <c r="AY245" i="8"/>
  <c r="AY222" i="8" s="1"/>
  <c r="AY221" i="8" s="1"/>
  <c r="AH266" i="8"/>
  <c r="AG290" i="8"/>
  <c r="AG265" i="8" s="1"/>
  <c r="AG264" i="8" s="1"/>
  <c r="AY290" i="8"/>
  <c r="AY265" i="8" s="1"/>
  <c r="AY264" i="8" s="1"/>
  <c r="AY18" i="8"/>
  <c r="AY15" i="8" s="1"/>
  <c r="AY14" i="8" s="1"/>
  <c r="BH351" i="8"/>
  <c r="BH245" i="8"/>
  <c r="F143" i="7"/>
  <c r="G146" i="7"/>
  <c r="G144" i="7"/>
  <c r="AC336" i="8"/>
  <c r="AO336" i="8"/>
  <c r="AY336" i="8"/>
  <c r="BI337" i="8"/>
  <c r="H36" i="11" s="1"/>
  <c r="BI380" i="8"/>
  <c r="BI379" i="8" s="1"/>
  <c r="AJ265" i="8"/>
  <c r="AJ264" i="8" s="1"/>
  <c r="AR265" i="8"/>
  <c r="AR264" i="8" s="1"/>
  <c r="AZ265" i="8"/>
  <c r="AZ264" i="8" s="1"/>
  <c r="BF265" i="8"/>
  <c r="BF264" i="8" s="1"/>
  <c r="AY330" i="8"/>
  <c r="W330" i="8"/>
  <c r="AI330" i="8"/>
  <c r="AU330" i="8"/>
  <c r="BA330" i="8"/>
  <c r="AC347" i="8"/>
  <c r="AC346" i="8" s="1"/>
  <c r="AO347" i="8"/>
  <c r="AO346" i="8" s="1"/>
  <c r="AC330" i="8"/>
  <c r="AX330" i="8"/>
  <c r="Z330" i="8"/>
  <c r="BI367" i="8"/>
  <c r="Z265" i="8"/>
  <c r="Z264" i="8" s="1"/>
  <c r="Z336" i="8"/>
  <c r="AL365" i="8"/>
  <c r="AX365" i="8"/>
  <c r="AX265" i="8"/>
  <c r="AX264" i="8" s="1"/>
  <c r="AI365" i="8"/>
  <c r="AU265" i="8"/>
  <c r="AU264" i="8" s="1"/>
  <c r="W347" i="8"/>
  <c r="W346" i="8" s="1"/>
  <c r="AI347" i="8"/>
  <c r="AI346" i="8" s="1"/>
  <c r="AU347" i="8"/>
  <c r="AU346" i="8" s="1"/>
  <c r="BC348" i="8"/>
  <c r="BC347" i="8" s="1"/>
  <c r="BC346" i="8" s="1"/>
  <c r="H172" i="7"/>
  <c r="BI366" i="8"/>
  <c r="BH380" i="8"/>
  <c r="BH337" i="8"/>
  <c r="BI369" i="8"/>
  <c r="BH266" i="8"/>
  <c r="BD336" i="8"/>
  <c r="AR347" i="8"/>
  <c r="AR346" i="8" s="1"/>
  <c r="AL336" i="8"/>
  <c r="AZ347" i="8"/>
  <c r="AZ346" i="8" s="1"/>
  <c r="AZ389" i="8" s="1"/>
  <c r="Z365" i="8"/>
  <c r="AK265" i="8"/>
  <c r="AK264" i="8" s="1"/>
  <c r="BA265" i="8"/>
  <c r="BA264" i="8" s="1"/>
  <c r="W336" i="8"/>
  <c r="AI336" i="8"/>
  <c r="AU336" i="8"/>
  <c r="BA336" i="8"/>
  <c r="BH366" i="8"/>
  <c r="BH384" i="8"/>
  <c r="BH290" i="8"/>
  <c r="V371" i="8"/>
  <c r="V365" i="8" s="1"/>
  <c r="V389" i="8" s="1"/>
  <c r="AR371" i="8"/>
  <c r="AR365" i="8" s="1"/>
  <c r="BB371" i="8"/>
  <c r="BB365" i="8" s="1"/>
  <c r="BG369" i="8"/>
  <c r="BG380" i="8"/>
  <c r="BG379" i="8" s="1"/>
  <c r="G136" i="7"/>
  <c r="BI266" i="8"/>
  <c r="H7" i="11" s="1"/>
  <c r="AL265" i="8"/>
  <c r="AL264" i="8" s="1"/>
  <c r="T330" i="8"/>
  <c r="AF330" i="8"/>
  <c r="AR330" i="8"/>
  <c r="AZ330" i="8"/>
  <c r="AO330" i="8"/>
  <c r="BG334" i="8"/>
  <c r="D12" i="11" s="1"/>
  <c r="E12" i="11" s="1"/>
  <c r="BI339" i="8"/>
  <c r="T347" i="8"/>
  <c r="T346" i="8" s="1"/>
  <c r="AF347" i="8"/>
  <c r="AF346" i="8" s="1"/>
  <c r="BI355" i="8"/>
  <c r="H170" i="7" s="1"/>
  <c r="U371" i="8"/>
  <c r="U365" i="8" s="1"/>
  <c r="U389" i="8" s="1"/>
  <c r="AC371" i="8"/>
  <c r="AC365" i="8" s="1"/>
  <c r="AO371" i="8"/>
  <c r="AO365" i="8" s="1"/>
  <c r="BA371" i="8"/>
  <c r="BA365" i="8" s="1"/>
  <c r="BG374" i="8"/>
  <c r="F180" i="7" s="1"/>
  <c r="BH367" i="8"/>
  <c r="W365" i="8"/>
  <c r="AU365" i="8"/>
  <c r="BC365" i="8"/>
  <c r="BI384" i="8"/>
  <c r="H40" i="11" s="1"/>
  <c r="W265" i="8"/>
  <c r="W264" i="8" s="1"/>
  <c r="BH369" i="8"/>
  <c r="BI321" i="8"/>
  <c r="AL330" i="8"/>
  <c r="BD330" i="8"/>
  <c r="T336" i="8"/>
  <c r="AF336" i="8"/>
  <c r="AR336" i="8"/>
  <c r="AZ336" i="8"/>
  <c r="BD347" i="8"/>
  <c r="BD346" i="8" s="1"/>
  <c r="BH355" i="8"/>
  <c r="Z347" i="8"/>
  <c r="Z346" i="8" s="1"/>
  <c r="AL347" i="8"/>
  <c r="AL346" i="8" s="1"/>
  <c r="AX347" i="8"/>
  <c r="AX346" i="8" s="1"/>
  <c r="BB347" i="8"/>
  <c r="BB346" i="8" s="1"/>
  <c r="BD365" i="8"/>
  <c r="BH372" i="8"/>
  <c r="F107" i="7"/>
  <c r="BG12" i="8"/>
  <c r="BI16" i="8"/>
  <c r="BG43" i="8"/>
  <c r="BI45" i="8"/>
  <c r="BG50" i="8"/>
  <c r="BG62" i="8"/>
  <c r="BH81" i="8"/>
  <c r="BI101" i="8"/>
  <c r="BG181" i="8"/>
  <c r="D43" i="11" s="1"/>
  <c r="E43" i="11" s="1"/>
  <c r="F85" i="7"/>
  <c r="BI12" i="8"/>
  <c r="BG16" i="8"/>
  <c r="BG41" i="8"/>
  <c r="BI62" i="8"/>
  <c r="BH83" i="8"/>
  <c r="BI126" i="8"/>
  <c r="F141" i="7"/>
  <c r="H145" i="7"/>
  <c r="BG32" i="8"/>
  <c r="BG31" i="8" s="1"/>
  <c r="BG30" i="8" s="1"/>
  <c r="C5" i="5" s="1"/>
  <c r="BH37" i="8"/>
  <c r="BH52" i="8"/>
  <c r="BI55" i="8"/>
  <c r="BH58" i="8"/>
  <c r="BG60" i="8"/>
  <c r="BH71" i="8"/>
  <c r="BG73" i="8"/>
  <c r="BI91" i="8"/>
  <c r="W125" i="8"/>
  <c r="W124" i="8" s="1"/>
  <c r="AI125" i="8"/>
  <c r="AI124" i="8" s="1"/>
  <c r="AU125" i="8"/>
  <c r="AU124" i="8" s="1"/>
  <c r="BA125" i="8"/>
  <c r="BA124" i="8" s="1"/>
  <c r="BE125" i="8"/>
  <c r="BE124" i="8" s="1"/>
  <c r="G89" i="7"/>
  <c r="BH189" i="8"/>
  <c r="AO195" i="8"/>
  <c r="AO194" i="8" s="1"/>
  <c r="AS195" i="8"/>
  <c r="AS194" i="8" s="1"/>
  <c r="AW195" i="8"/>
  <c r="AW194" i="8" s="1"/>
  <c r="BA195" i="8"/>
  <c r="BA194" i="8" s="1"/>
  <c r="BE195" i="8"/>
  <c r="BE194" i="8" s="1"/>
  <c r="G142" i="7"/>
  <c r="F173" i="7"/>
  <c r="BG361" i="8"/>
  <c r="D20" i="11" s="1"/>
  <c r="E20" i="11" s="1"/>
  <c r="G175" i="7"/>
  <c r="BH361" i="8"/>
  <c r="F28" i="7"/>
  <c r="F162" i="7"/>
  <c r="BG339" i="8"/>
  <c r="D37" i="11" s="1"/>
  <c r="E37" i="11" s="1"/>
  <c r="BH18" i="8"/>
  <c r="BI32" i="8"/>
  <c r="BI31" i="8" s="1"/>
  <c r="BI30" i="8" s="1"/>
  <c r="I5" i="5" s="1"/>
  <c r="BI39" i="8"/>
  <c r="BG55" i="8"/>
  <c r="BI60" i="8"/>
  <c r="BI73" i="8"/>
  <c r="BH77" i="8"/>
  <c r="BH85" i="8"/>
  <c r="H45" i="7"/>
  <c r="BI93" i="8"/>
  <c r="F52" i="7"/>
  <c r="G68" i="7"/>
  <c r="BH142" i="8"/>
  <c r="F80" i="7"/>
  <c r="BG173" i="8"/>
  <c r="W172" i="8"/>
  <c r="AI172" i="8"/>
  <c r="AU172" i="8"/>
  <c r="BA172" i="8"/>
  <c r="F93" i="7"/>
  <c r="H109" i="7"/>
  <c r="BI228" i="8"/>
  <c r="H16" i="11" s="1"/>
  <c r="G114" i="7"/>
  <c r="BH228" i="8"/>
  <c r="BI41" i="8"/>
  <c r="H87" i="7"/>
  <c r="BI185" i="8"/>
  <c r="H45" i="11" s="1"/>
  <c r="F91" i="7"/>
  <c r="BG192" i="8"/>
  <c r="BI43" i="8"/>
  <c r="BG45" i="8"/>
  <c r="BI47" i="8"/>
  <c r="BI50" i="8"/>
  <c r="BH79" i="8"/>
  <c r="BG101" i="8"/>
  <c r="D48" i="11" s="1"/>
  <c r="E48" i="11" s="1"/>
  <c r="F64" i="7"/>
  <c r="BI226" i="8"/>
  <c r="F44" i="7"/>
  <c r="G52" i="7"/>
  <c r="G71" i="7"/>
  <c r="F74" i="7"/>
  <c r="BH161" i="8"/>
  <c r="BH169" i="8"/>
  <c r="BI173" i="8"/>
  <c r="BI181" i="8"/>
  <c r="H43" i="11" s="1"/>
  <c r="BH183" i="8"/>
  <c r="BG185" i="8"/>
  <c r="D45" i="11" s="1"/>
  <c r="E45" i="11" s="1"/>
  <c r="BI192" i="8"/>
  <c r="BH196" i="8"/>
  <c r="G102" i="7"/>
  <c r="G109" i="7"/>
  <c r="G116" i="7"/>
  <c r="BH237" i="8"/>
  <c r="G120" i="7"/>
  <c r="BI255" i="8"/>
  <c r="AC265" i="8"/>
  <c r="AC264" i="8" s="1"/>
  <c r="AO265" i="8"/>
  <c r="AO264" i="8" s="1"/>
  <c r="BE265" i="8"/>
  <c r="BE264" i="8" s="1"/>
  <c r="G139" i="7"/>
  <c r="F156" i="7"/>
  <c r="G160" i="7"/>
  <c r="BH334" i="8"/>
  <c r="AY348" i="8"/>
  <c r="AY347" i="8" s="1"/>
  <c r="AY346" i="8" s="1"/>
  <c r="AY389" i="8" s="1"/>
  <c r="H69" i="7"/>
  <c r="H74" i="7"/>
  <c r="H77" i="7"/>
  <c r="F131" i="7"/>
  <c r="BG262" i="8"/>
  <c r="BG261" i="8" s="1"/>
  <c r="H11" i="11"/>
  <c r="H159" i="7"/>
  <c r="BG372" i="8"/>
  <c r="F179" i="7"/>
  <c r="F71" i="7"/>
  <c r="BH173" i="8"/>
  <c r="BG175" i="8"/>
  <c r="BH181" i="8"/>
  <c r="BG183" i="8"/>
  <c r="BI189" i="8"/>
  <c r="BH192" i="8"/>
  <c r="F102" i="7"/>
  <c r="F120" i="7"/>
  <c r="G126" i="7"/>
  <c r="BH255" i="8"/>
  <c r="T265" i="8"/>
  <c r="T264" i="8" s="1"/>
  <c r="BD265" i="8"/>
  <c r="BD264" i="8" s="1"/>
  <c r="G134" i="7"/>
  <c r="H136" i="7"/>
  <c r="F139" i="7"/>
  <c r="H142" i="7"/>
  <c r="H120" i="7"/>
  <c r="BG259" i="8"/>
  <c r="BH262" i="8"/>
  <c r="F136" i="7"/>
  <c r="H139" i="7"/>
  <c r="BH321" i="8"/>
  <c r="H156" i="7"/>
  <c r="BI334" i="8"/>
  <c r="H12" i="11" s="1"/>
  <c r="BH339" i="8"/>
  <c r="H173" i="7"/>
  <c r="BI361" i="8"/>
  <c r="BI372" i="8"/>
  <c r="BG384" i="8"/>
  <c r="H107" i="7"/>
  <c r="H134" i="7"/>
  <c r="G156" i="7"/>
  <c r="BH374" i="8"/>
  <c r="BI374" i="8"/>
  <c r="H180" i="7" s="1"/>
  <c r="H176" i="7" s="1"/>
  <c r="G172" i="7"/>
  <c r="G159" i="7" l="1"/>
  <c r="G88" i="7"/>
  <c r="G107" i="7"/>
  <c r="G106" i="7" s="1"/>
  <c r="F159" i="7"/>
  <c r="F11" i="11"/>
  <c r="G11" i="7"/>
  <c r="F12" i="11"/>
  <c r="G12" i="11" s="1"/>
  <c r="F8" i="11"/>
  <c r="F36" i="11"/>
  <c r="BH341" i="8"/>
  <c r="F22" i="11"/>
  <c r="G48" i="7"/>
  <c r="F45" i="11"/>
  <c r="G45" i="11" s="1"/>
  <c r="F16" i="11"/>
  <c r="G16" i="11" s="1"/>
  <c r="F6" i="11"/>
  <c r="G170" i="7"/>
  <c r="BH383" i="8"/>
  <c r="BH379" i="8"/>
  <c r="F33" i="11"/>
  <c r="F7" i="11"/>
  <c r="F18" i="11"/>
  <c r="F27" i="11"/>
  <c r="G27" i="11" s="1"/>
  <c r="G180" i="7"/>
  <c r="G176" i="7" s="1"/>
  <c r="F37" i="11"/>
  <c r="G37" i="11" s="1"/>
  <c r="BH261" i="8"/>
  <c r="F43" i="11"/>
  <c r="G43" i="11" s="1"/>
  <c r="F28" i="11"/>
  <c r="F5" i="11"/>
  <c r="G5" i="11" s="1"/>
  <c r="G168" i="7"/>
  <c r="BH105" i="8"/>
  <c r="F29" i="11"/>
  <c r="G29" i="11" s="1"/>
  <c r="F26" i="11"/>
  <c r="G26" i="11" s="1"/>
  <c r="F48" i="11"/>
  <c r="G48" i="11" s="1"/>
  <c r="F25" i="11"/>
  <c r="G25" i="11" s="1"/>
  <c r="G35" i="7"/>
  <c r="G22" i="7" s="1"/>
  <c r="F14" i="11"/>
  <c r="G14" i="11" s="1"/>
  <c r="BH113" i="8"/>
  <c r="G59" i="7"/>
  <c r="G54" i="7" s="1"/>
  <c r="H43" i="7"/>
  <c r="H38" i="7" s="1"/>
  <c r="I16" i="11"/>
  <c r="H14" i="11"/>
  <c r="I14" i="11" s="1"/>
  <c r="BG114" i="8"/>
  <c r="BG113" i="8" s="1"/>
  <c r="BG112" i="8" s="1"/>
  <c r="C8" i="5" s="1"/>
  <c r="BG366" i="8"/>
  <c r="BG367" i="8"/>
  <c r="Z140" i="8"/>
  <c r="BG195" i="8"/>
  <c r="BG194" i="8" s="1"/>
  <c r="C12" i="5" s="1"/>
  <c r="AZ140" i="8"/>
  <c r="D42" i="11"/>
  <c r="E42" i="11" s="1"/>
  <c r="G65" i="7"/>
  <c r="G60" i="7" s="1"/>
  <c r="T140" i="8"/>
  <c r="D15" i="11"/>
  <c r="E15" i="11" s="1"/>
  <c r="AF140" i="8"/>
  <c r="AM35" i="8"/>
  <c r="AM345" i="8" s="1"/>
  <c r="AM390" i="8" s="1"/>
  <c r="AJ35" i="8"/>
  <c r="AJ345" i="8" s="1"/>
  <c r="AJ390" i="8" s="1"/>
  <c r="G22" i="11"/>
  <c r="G163" i="7"/>
  <c r="W140" i="8"/>
  <c r="BI125" i="8"/>
  <c r="BI124" i="8" s="1"/>
  <c r="I9" i="5" s="1"/>
  <c r="H33" i="11"/>
  <c r="AA35" i="8"/>
  <c r="AA345" i="8" s="1"/>
  <c r="AA390" i="8" s="1"/>
  <c r="AX35" i="8"/>
  <c r="AH35" i="8"/>
  <c r="I25" i="11"/>
  <c r="I27" i="11"/>
  <c r="BH195" i="8"/>
  <c r="AX125" i="8"/>
  <c r="AX124" i="8" s="1"/>
  <c r="BG93" i="8"/>
  <c r="D21" i="11" s="1"/>
  <c r="E21" i="11" s="1"/>
  <c r="I22" i="11"/>
  <c r="BI113" i="8"/>
  <c r="BI112" i="8" s="1"/>
  <c r="I8" i="5" s="1"/>
  <c r="AF265" i="8"/>
  <c r="AF264" i="8" s="1"/>
  <c r="H42" i="11"/>
  <c r="AO35" i="8"/>
  <c r="BG266" i="8"/>
  <c r="D7" i="11" s="1"/>
  <c r="E7" i="11" s="1"/>
  <c r="F47" i="11"/>
  <c r="G47" i="11" s="1"/>
  <c r="AT35" i="8"/>
  <c r="AT345" i="8" s="1"/>
  <c r="AT390" i="8" s="1"/>
  <c r="AD35" i="8"/>
  <c r="AD345" i="8" s="1"/>
  <c r="AD390" i="8" s="1"/>
  <c r="G92" i="7"/>
  <c r="F44" i="11"/>
  <c r="G28" i="11"/>
  <c r="I5" i="11"/>
  <c r="F163" i="7"/>
  <c r="H55" i="7"/>
  <c r="H54" i="7" s="1"/>
  <c r="AV35" i="8"/>
  <c r="AV345" i="8" s="1"/>
  <c r="AV390" i="8" s="1"/>
  <c r="BH125" i="8"/>
  <c r="AI75" i="8"/>
  <c r="Y35" i="8"/>
  <c r="Y345" i="8" s="1"/>
  <c r="Y390" i="8" s="1"/>
  <c r="Z35" i="8"/>
  <c r="BI258" i="8"/>
  <c r="AC140" i="8"/>
  <c r="AK35" i="8"/>
  <c r="AK345" i="8" s="1"/>
  <c r="AK390" i="8" s="1"/>
  <c r="BC35" i="8"/>
  <c r="BC345" i="8" s="1"/>
  <c r="BI15" i="8"/>
  <c r="BI14" i="8" s="1"/>
  <c r="I4" i="5" s="1"/>
  <c r="F59" i="7"/>
  <c r="F54" i="7" s="1"/>
  <c r="I28" i="11"/>
  <c r="BG290" i="8"/>
  <c r="BI195" i="8"/>
  <c r="BI194" i="8" s="1"/>
  <c r="I12" i="5" s="1"/>
  <c r="BD75" i="8"/>
  <c r="F9" i="11"/>
  <c r="BI70" i="8"/>
  <c r="H92" i="7"/>
  <c r="AI265" i="8"/>
  <c r="AI264" i="8" s="1"/>
  <c r="F134" i="7"/>
  <c r="AO329" i="8"/>
  <c r="AY140" i="8"/>
  <c r="BE35" i="8"/>
  <c r="BE345" i="8" s="1"/>
  <c r="BE390" i="8" s="1"/>
  <c r="F30" i="11"/>
  <c r="H35" i="7"/>
  <c r="H22" i="7" s="1"/>
  <c r="AU140" i="8"/>
  <c r="BH70" i="8"/>
  <c r="BI290" i="8"/>
  <c r="H8" i="11" s="1"/>
  <c r="AW35" i="8"/>
  <c r="AW345" i="8" s="1"/>
  <c r="AW390" i="8" s="1"/>
  <c r="AQ35" i="8"/>
  <c r="AQ345" i="8" s="1"/>
  <c r="AQ390" i="8" s="1"/>
  <c r="BD35" i="8"/>
  <c r="X35" i="8"/>
  <c r="X345" i="8" s="1"/>
  <c r="X390" i="8" s="1"/>
  <c r="AF35" i="8"/>
  <c r="U35" i="8"/>
  <c r="U345" i="8" s="1"/>
  <c r="U390" i="8" s="1"/>
  <c r="AZ35" i="8"/>
  <c r="H44" i="11"/>
  <c r="F35" i="7"/>
  <c r="H4" i="11"/>
  <c r="AG35" i="8"/>
  <c r="AG345" i="8" s="1"/>
  <c r="AG390" i="8" s="1"/>
  <c r="BI188" i="8"/>
  <c r="BI187" i="8" s="1"/>
  <c r="I11" i="5" s="1"/>
  <c r="F17" i="11"/>
  <c r="D50" i="11"/>
  <c r="E50" i="11" s="1"/>
  <c r="BH97" i="8"/>
  <c r="F97" i="7"/>
  <c r="F92" i="7" s="1"/>
  <c r="BG169" i="8"/>
  <c r="F155" i="7"/>
  <c r="I43" i="11"/>
  <c r="I45" i="11"/>
  <c r="BG70" i="8"/>
  <c r="AY75" i="8"/>
  <c r="BG348" i="8"/>
  <c r="BG347" i="8" s="1"/>
  <c r="BG346" i="8" s="1"/>
  <c r="C17" i="5" s="1"/>
  <c r="AS35" i="8"/>
  <c r="AS345" i="8" s="1"/>
  <c r="AS390" i="8" s="1"/>
  <c r="AC35" i="8"/>
  <c r="D4" i="11"/>
  <c r="E4" i="11" s="1"/>
  <c r="BF35" i="8"/>
  <c r="BF345" i="8" s="1"/>
  <c r="BF390" i="8" s="1"/>
  <c r="AI140" i="8"/>
  <c r="AH265" i="8"/>
  <c r="AH264" i="8" s="1"/>
  <c r="AL140" i="8"/>
  <c r="BA35" i="8"/>
  <c r="H50" i="11"/>
  <c r="AU35" i="8"/>
  <c r="AE35" i="8"/>
  <c r="AE345" i="8" s="1"/>
  <c r="AE390" i="8" s="1"/>
  <c r="AR35" i="8"/>
  <c r="AB35" i="8"/>
  <c r="AB345" i="8" s="1"/>
  <c r="AB390" i="8" s="1"/>
  <c r="BB35" i="8"/>
  <c r="BB345" i="8" s="1"/>
  <c r="AL35" i="8"/>
  <c r="V35" i="8"/>
  <c r="V345" i="8" s="1"/>
  <c r="V390" i="8" s="1"/>
  <c r="AN35" i="8"/>
  <c r="AN345" i="8" s="1"/>
  <c r="AN390" i="8" s="1"/>
  <c r="H60" i="7"/>
  <c r="AP35" i="8"/>
  <c r="AP345" i="8" s="1"/>
  <c r="AP390" i="8" s="1"/>
  <c r="I29" i="11"/>
  <c r="AZ75" i="8"/>
  <c r="AO140" i="8"/>
  <c r="H163" i="7"/>
  <c r="H158" i="7" s="1"/>
  <c r="F51" i="11"/>
  <c r="BH15" i="8"/>
  <c r="I26" i="11"/>
  <c r="BG15" i="8"/>
  <c r="BG14" i="8" s="1"/>
  <c r="C4" i="5" s="1"/>
  <c r="BG142" i="8"/>
  <c r="D24" i="11" s="1"/>
  <c r="E24" i="11" s="1"/>
  <c r="BH8" i="8"/>
  <c r="BH7" i="8" s="1"/>
  <c r="G3" i="5" s="1"/>
  <c r="E3" i="5" s="1"/>
  <c r="W35" i="8"/>
  <c r="BG126" i="8"/>
  <c r="BG125" i="8" s="1"/>
  <c r="BG124" i="8" s="1"/>
  <c r="C9" i="5" s="1"/>
  <c r="I47" i="11"/>
  <c r="AI35" i="8"/>
  <c r="AX75" i="8"/>
  <c r="AY35" i="8"/>
  <c r="F66" i="7"/>
  <c r="BI36" i="8"/>
  <c r="H17" i="11"/>
  <c r="F39" i="11"/>
  <c r="BG245" i="8"/>
  <c r="D18" i="11" s="1"/>
  <c r="E18" i="11" s="1"/>
  <c r="G66" i="7"/>
  <c r="BA140" i="8"/>
  <c r="F20" i="11"/>
  <c r="G20" i="11" s="1"/>
  <c r="BG337" i="8"/>
  <c r="D36" i="11" s="1"/>
  <c r="E36" i="11" s="1"/>
  <c r="W75" i="8"/>
  <c r="F13" i="11"/>
  <c r="G20" i="7"/>
  <c r="G19" i="7" s="1"/>
  <c r="BH32" i="8"/>
  <c r="BG97" i="8"/>
  <c r="F48" i="7"/>
  <c r="F32" i="11"/>
  <c r="H32" i="11"/>
  <c r="F108" i="7"/>
  <c r="F106" i="7" s="1"/>
  <c r="BG226" i="8"/>
  <c r="F90" i="7"/>
  <c r="F88" i="7" s="1"/>
  <c r="BG189" i="8"/>
  <c r="BG188" i="8" s="1"/>
  <c r="BG187" i="8" s="1"/>
  <c r="C11" i="5" s="1"/>
  <c r="BG40" i="8"/>
  <c r="T39" i="8"/>
  <c r="T36" i="8" s="1"/>
  <c r="T35" i="8" s="1"/>
  <c r="F41" i="7"/>
  <c r="BG81" i="8"/>
  <c r="D6" i="11" s="1"/>
  <c r="H106" i="7"/>
  <c r="F34" i="11"/>
  <c r="BH258" i="8"/>
  <c r="BG237" i="8"/>
  <c r="D17" i="11" s="1"/>
  <c r="E17" i="11" s="1"/>
  <c r="AX222" i="8"/>
  <c r="AX221" i="8" s="1"/>
  <c r="H68" i="7"/>
  <c r="H66" i="7" s="1"/>
  <c r="BI142" i="8"/>
  <c r="AX141" i="8"/>
  <c r="AX140" i="8" s="1"/>
  <c r="BH76" i="8"/>
  <c r="F21" i="11"/>
  <c r="BD389" i="8"/>
  <c r="AC329" i="8"/>
  <c r="AY329" i="8"/>
  <c r="BA329" i="8"/>
  <c r="W329" i="8"/>
  <c r="AX329" i="8"/>
  <c r="AO389" i="8"/>
  <c r="AC389" i="8"/>
  <c r="W389" i="8"/>
  <c r="BC389" i="8"/>
  <c r="AI329" i="8"/>
  <c r="AU329" i="8"/>
  <c r="Z329" i="8"/>
  <c r="BA389" i="8"/>
  <c r="AF389" i="8"/>
  <c r="AI389" i="8"/>
  <c r="AL389" i="8"/>
  <c r="F176" i="7"/>
  <c r="AU389" i="8"/>
  <c r="AX389" i="8"/>
  <c r="H10" i="11"/>
  <c r="D46" i="11"/>
  <c r="E46" i="11" s="1"/>
  <c r="AR389" i="8"/>
  <c r="F40" i="11"/>
  <c r="H46" i="11"/>
  <c r="BG330" i="8"/>
  <c r="AL329" i="8"/>
  <c r="I12" i="11"/>
  <c r="BI383" i="8"/>
  <c r="BI382" i="8" s="1"/>
  <c r="I19" i="5" s="1"/>
  <c r="T329" i="8"/>
  <c r="BD329" i="8"/>
  <c r="T389" i="8"/>
  <c r="H132" i="7"/>
  <c r="BH348" i="8"/>
  <c r="F166" i="7"/>
  <c r="G132" i="7"/>
  <c r="Z389" i="8"/>
  <c r="H166" i="7"/>
  <c r="BG371" i="8"/>
  <c r="BH265" i="8"/>
  <c r="H9" i="11"/>
  <c r="BB389" i="8"/>
  <c r="BI348" i="8"/>
  <c r="H19" i="11" s="1"/>
  <c r="AF329" i="8"/>
  <c r="AZ329" i="8"/>
  <c r="H37" i="11"/>
  <c r="I37" i="11" s="1"/>
  <c r="BI336" i="8"/>
  <c r="AR329" i="8"/>
  <c r="F41" i="11"/>
  <c r="BH172" i="8"/>
  <c r="D39" i="11"/>
  <c r="BG54" i="8"/>
  <c r="BI371" i="8"/>
  <c r="BI365" i="8" s="1"/>
  <c r="I18" i="5" s="1"/>
  <c r="D34" i="11"/>
  <c r="I34" i="11" s="1"/>
  <c r="BG258" i="8"/>
  <c r="BH336" i="8"/>
  <c r="BH222" i="8"/>
  <c r="BI330" i="8"/>
  <c r="H30" i="11"/>
  <c r="BI49" i="8"/>
  <c r="F15" i="11"/>
  <c r="G43" i="7"/>
  <c r="BH188" i="8"/>
  <c r="H39" i="11"/>
  <c r="BI54" i="8"/>
  <c r="F10" i="11"/>
  <c r="H48" i="11"/>
  <c r="I48" i="11" s="1"/>
  <c r="BI97" i="8"/>
  <c r="BH330" i="8"/>
  <c r="H20" i="11"/>
  <c r="I20" i="11" s="1"/>
  <c r="D41" i="11"/>
  <c r="E41" i="11" s="1"/>
  <c r="BG172" i="8"/>
  <c r="F24" i="11"/>
  <c r="BH141" i="8"/>
  <c r="H51" i="11"/>
  <c r="D51" i="11"/>
  <c r="E51" i="11" s="1"/>
  <c r="BG8" i="8"/>
  <c r="D40" i="11"/>
  <c r="E40" i="11" s="1"/>
  <c r="BG383" i="8"/>
  <c r="BG382" i="8" s="1"/>
  <c r="I11" i="11"/>
  <c r="H41" i="11"/>
  <c r="BI172" i="8"/>
  <c r="D33" i="11"/>
  <c r="E33" i="11" s="1"/>
  <c r="F65" i="7"/>
  <c r="F60" i="7" s="1"/>
  <c r="H21" i="11"/>
  <c r="D44" i="11"/>
  <c r="E44" i="11" s="1"/>
  <c r="BH49" i="8"/>
  <c r="F4" i="11"/>
  <c r="BH36" i="8"/>
  <c r="D10" i="11"/>
  <c r="E10" i="11" s="1"/>
  <c r="D30" i="11"/>
  <c r="BG49" i="8"/>
  <c r="H52" i="11"/>
  <c r="G11" i="11"/>
  <c r="BI76" i="8"/>
  <c r="BI222" i="8"/>
  <c r="H13" i="11"/>
  <c r="BH371" i="8"/>
  <c r="F46" i="11"/>
  <c r="F42" i="11"/>
  <c r="BH54" i="8"/>
  <c r="BI8" i="8"/>
  <c r="G158" i="7" l="1"/>
  <c r="F158" i="7"/>
  <c r="G166" i="7"/>
  <c r="G38" i="7"/>
  <c r="BH31" i="8"/>
  <c r="BH112" i="8"/>
  <c r="BH365" i="8"/>
  <c r="BH187" i="8"/>
  <c r="BH382" i="8"/>
  <c r="BH347" i="8"/>
  <c r="E3" i="9" s="1"/>
  <c r="BH14" i="8"/>
  <c r="BH194" i="8"/>
  <c r="BH264" i="8"/>
  <c r="BH124" i="8"/>
  <c r="D13" i="11"/>
  <c r="E13" i="11" s="1"/>
  <c r="G42" i="11"/>
  <c r="I42" i="11"/>
  <c r="G50" i="11"/>
  <c r="I15" i="11"/>
  <c r="BH140" i="8"/>
  <c r="AH345" i="8"/>
  <c r="AH390" i="8" s="1"/>
  <c r="G15" i="11"/>
  <c r="BG365" i="8"/>
  <c r="C18" i="5" s="1"/>
  <c r="D32" i="11"/>
  <c r="E32" i="11" s="1"/>
  <c r="AL345" i="8"/>
  <c r="AL390" i="8" s="1"/>
  <c r="AC345" i="8"/>
  <c r="AC390" i="8" s="1"/>
  <c r="D52" i="11"/>
  <c r="E52" i="11" s="1"/>
  <c r="I41" i="11"/>
  <c r="G21" i="11"/>
  <c r="BG76" i="8"/>
  <c r="BG75" i="8" s="1"/>
  <c r="C7" i="5" s="1"/>
  <c r="I21" i="11"/>
  <c r="G7" i="11"/>
  <c r="I50" i="11"/>
  <c r="BI221" i="8"/>
  <c r="I13" i="5" s="1"/>
  <c r="I7" i="11"/>
  <c r="BD345" i="8"/>
  <c r="BD390" i="8" s="1"/>
  <c r="BG265" i="8"/>
  <c r="BG264" i="8" s="1"/>
  <c r="C14" i="5" s="1"/>
  <c r="AF345" i="8"/>
  <c r="AF390" i="8" s="1"/>
  <c r="D19" i="11"/>
  <c r="E19" i="11" s="1"/>
  <c r="AO345" i="8"/>
  <c r="AO390" i="8" s="1"/>
  <c r="F132" i="7"/>
  <c r="I36" i="11"/>
  <c r="I18" i="11"/>
  <c r="D8" i="11"/>
  <c r="E8" i="11" s="1"/>
  <c r="BH221" i="8"/>
  <c r="Z345" i="8"/>
  <c r="Z390" i="8" s="1"/>
  <c r="I4" i="11"/>
  <c r="AZ345" i="8"/>
  <c r="AZ390" i="8" s="1"/>
  <c r="BI265" i="8"/>
  <c r="BI264" i="8" s="1"/>
  <c r="I14" i="5" s="1"/>
  <c r="AU345" i="8"/>
  <c r="AU390" i="8" s="1"/>
  <c r="I33" i="11"/>
  <c r="BB390" i="8"/>
  <c r="BH75" i="8"/>
  <c r="T345" i="8"/>
  <c r="T390" i="8" s="1"/>
  <c r="BA345" i="8"/>
  <c r="BA390" i="8" s="1"/>
  <c r="F38" i="7"/>
  <c r="G18" i="11"/>
  <c r="AY345" i="8"/>
  <c r="AY390" i="8" s="1"/>
  <c r="AR345" i="8"/>
  <c r="AR390" i="8" s="1"/>
  <c r="F52" i="11"/>
  <c r="F49" i="11" s="1"/>
  <c r="BG141" i="8"/>
  <c r="BG140" i="8" s="1"/>
  <c r="C10" i="5" s="1"/>
  <c r="BG336" i="8"/>
  <c r="BG329" i="8" s="1"/>
  <c r="C15" i="5" s="1"/>
  <c r="G36" i="11"/>
  <c r="AI345" i="8"/>
  <c r="AI390" i="8" s="1"/>
  <c r="BI75" i="8"/>
  <c r="I7" i="5" s="1"/>
  <c r="BC390" i="8"/>
  <c r="AX345" i="8"/>
  <c r="AX390" i="8" s="1"/>
  <c r="W345" i="8"/>
  <c r="W390" i="8" s="1"/>
  <c r="I44" i="11"/>
  <c r="H24" i="11"/>
  <c r="I24" i="11" s="1"/>
  <c r="BI141" i="8"/>
  <c r="BI140" i="8" s="1"/>
  <c r="I10" i="5" s="1"/>
  <c r="F24" i="7"/>
  <c r="F22" i="7" s="1"/>
  <c r="BG39" i="8"/>
  <c r="E6" i="9"/>
  <c r="E17" i="9" s="1"/>
  <c r="G17" i="11"/>
  <c r="E6" i="11"/>
  <c r="I6" i="11"/>
  <c r="BG222" i="8"/>
  <c r="BG221" i="8" s="1"/>
  <c r="C13" i="5" s="1"/>
  <c r="G6" i="11"/>
  <c r="I17" i="11"/>
  <c r="I46" i="11"/>
  <c r="H164" i="7"/>
  <c r="BH329" i="8"/>
  <c r="H183" i="7"/>
  <c r="H182" i="7" s="1"/>
  <c r="H184" i="7" s="1"/>
  <c r="E4" i="9"/>
  <c r="E15" i="9" s="1"/>
  <c r="G46" i="11"/>
  <c r="F19" i="11"/>
  <c r="BI347" i="8"/>
  <c r="BI346" i="8" s="1"/>
  <c r="H3" i="11"/>
  <c r="G10" i="11"/>
  <c r="BI329" i="8"/>
  <c r="G40" i="11"/>
  <c r="G6" i="9"/>
  <c r="BI7" i="8"/>
  <c r="I3" i="5" s="1"/>
  <c r="G33" i="11"/>
  <c r="I51" i="11"/>
  <c r="G24" i="11"/>
  <c r="F23" i="11"/>
  <c r="F38" i="11"/>
  <c r="I40" i="11"/>
  <c r="C5" i="9"/>
  <c r="BI35" i="8"/>
  <c r="I6" i="5" s="1"/>
  <c r="BH35" i="8"/>
  <c r="C6" i="9"/>
  <c r="BG7" i="8"/>
  <c r="C3" i="5" s="1"/>
  <c r="G4" i="11"/>
  <c r="F183" i="7"/>
  <c r="F182" i="7" s="1"/>
  <c r="F184" i="7" s="1"/>
  <c r="G51" i="11"/>
  <c r="G5" i="9"/>
  <c r="I10" i="11"/>
  <c r="I30" i="11"/>
  <c r="E30" i="11"/>
  <c r="G30" i="11"/>
  <c r="E39" i="11"/>
  <c r="D38" i="11"/>
  <c r="E38" i="11" s="1"/>
  <c r="G39" i="11"/>
  <c r="E5" i="9"/>
  <c r="H49" i="11"/>
  <c r="I39" i="11"/>
  <c r="H38" i="11"/>
  <c r="E34" i="11"/>
  <c r="G34" i="11"/>
  <c r="G41" i="11"/>
  <c r="G44" i="11"/>
  <c r="G164" i="7" l="1"/>
  <c r="BH346" i="8"/>
  <c r="G14" i="5"/>
  <c r="E14" i="5" s="1"/>
  <c r="F14" i="5" s="1"/>
  <c r="G4" i="5"/>
  <c r="G8" i="5"/>
  <c r="G10" i="5"/>
  <c r="E10" i="5" s="1"/>
  <c r="F10" i="5" s="1"/>
  <c r="G7" i="5"/>
  <c r="E7" i="5" s="1"/>
  <c r="F7" i="5" s="1"/>
  <c r="G18" i="5"/>
  <c r="H18" i="5" s="1"/>
  <c r="G13" i="5"/>
  <c r="E13" i="5" s="1"/>
  <c r="F13" i="5" s="1"/>
  <c r="G6" i="5"/>
  <c r="J6" i="5" s="1"/>
  <c r="G9" i="5"/>
  <c r="G12" i="5"/>
  <c r="G19" i="5"/>
  <c r="G183" i="7"/>
  <c r="G182" i="7" s="1"/>
  <c r="G184" i="7" s="1"/>
  <c r="G11" i="5"/>
  <c r="BH30" i="8"/>
  <c r="BH345" i="8" s="1"/>
  <c r="I13" i="11"/>
  <c r="G13" i="11"/>
  <c r="D23" i="11"/>
  <c r="E23" i="11" s="1"/>
  <c r="BG389" i="8"/>
  <c r="G32" i="11"/>
  <c r="I32" i="11"/>
  <c r="C20" i="5"/>
  <c r="I19" i="11"/>
  <c r="I52" i="11"/>
  <c r="D49" i="11"/>
  <c r="E49" i="11" s="1"/>
  <c r="F164" i="7"/>
  <c r="F185" i="7" s="1"/>
  <c r="G4" i="9"/>
  <c r="G15" i="9" s="1"/>
  <c r="G52" i="11"/>
  <c r="C4" i="9"/>
  <c r="C15" i="9" s="1"/>
  <c r="D15" i="9" s="1"/>
  <c r="G19" i="11"/>
  <c r="G8" i="11"/>
  <c r="I8" i="11"/>
  <c r="BI345" i="8"/>
  <c r="H23" i="11"/>
  <c r="D9" i="11"/>
  <c r="BG36" i="8"/>
  <c r="G15" i="5"/>
  <c r="K15" i="5" s="1"/>
  <c r="L15" i="5" s="1"/>
  <c r="H185" i="7"/>
  <c r="G3" i="9"/>
  <c r="G14" i="9" s="1"/>
  <c r="F3" i="11"/>
  <c r="F54" i="11" s="1"/>
  <c r="I15" i="5"/>
  <c r="I17" i="5"/>
  <c r="BI389" i="8"/>
  <c r="K3" i="5"/>
  <c r="H3" i="5"/>
  <c r="F3" i="5"/>
  <c r="J3" i="5"/>
  <c r="C17" i="9"/>
  <c r="D17" i="9" s="1"/>
  <c r="I38" i="11"/>
  <c r="G17" i="9"/>
  <c r="E16" i="9"/>
  <c r="G16" i="9"/>
  <c r="E14" i="9"/>
  <c r="E7" i="9"/>
  <c r="F3" i="9" s="1"/>
  <c r="C16" i="9"/>
  <c r="D16" i="9" s="1"/>
  <c r="G38" i="11"/>
  <c r="G185" i="7" l="1"/>
  <c r="H14" i="5"/>
  <c r="H7" i="5"/>
  <c r="J14" i="5"/>
  <c r="K13" i="5"/>
  <c r="L13" i="5" s="1"/>
  <c r="J7" i="5"/>
  <c r="E6" i="5"/>
  <c r="G23" i="11"/>
  <c r="J10" i="5"/>
  <c r="H10" i="5"/>
  <c r="I23" i="11"/>
  <c r="K10" i="5"/>
  <c r="L10" i="5" s="1"/>
  <c r="K14" i="5"/>
  <c r="L14" i="5" s="1"/>
  <c r="H13" i="5"/>
  <c r="K7" i="5"/>
  <c r="L7" i="5" s="1"/>
  <c r="G5" i="5"/>
  <c r="G16" i="5" s="1"/>
  <c r="C32" i="5" s="1"/>
  <c r="J19" i="5"/>
  <c r="K19" i="5"/>
  <c r="L19" i="5" s="1"/>
  <c r="H19" i="5"/>
  <c r="E19" i="5"/>
  <c r="F19" i="5" s="1"/>
  <c r="E9" i="5"/>
  <c r="F9" i="5" s="1"/>
  <c r="J9" i="5"/>
  <c r="K9" i="5"/>
  <c r="L9" i="5" s="1"/>
  <c r="H9" i="5"/>
  <c r="J18" i="5"/>
  <c r="E18" i="5"/>
  <c r="F18" i="5" s="1"/>
  <c r="E12" i="5"/>
  <c r="F12" i="5" s="1"/>
  <c r="H12" i="5"/>
  <c r="J12" i="5"/>
  <c r="K12" i="5"/>
  <c r="L12" i="5" s="1"/>
  <c r="E8" i="5"/>
  <c r="F8" i="5" s="1"/>
  <c r="K8" i="5"/>
  <c r="L8" i="5" s="1"/>
  <c r="H8" i="5"/>
  <c r="J8" i="5"/>
  <c r="J13" i="5"/>
  <c r="K11" i="5"/>
  <c r="L11" i="5" s="1"/>
  <c r="H11" i="5"/>
  <c r="E11" i="5"/>
  <c r="F11" i="5" s="1"/>
  <c r="J11" i="5"/>
  <c r="K18" i="5"/>
  <c r="L18" i="5" s="1"/>
  <c r="H4" i="5"/>
  <c r="J4" i="5"/>
  <c r="K4" i="5"/>
  <c r="L4" i="5" s="1"/>
  <c r="E4" i="5"/>
  <c r="F4" i="5" s="1"/>
  <c r="G17" i="5"/>
  <c r="J17" i="5" s="1"/>
  <c r="BH389" i="8"/>
  <c r="G49" i="11"/>
  <c r="I49" i="11"/>
  <c r="F15" i="9"/>
  <c r="H15" i="9"/>
  <c r="H54" i="11"/>
  <c r="BI390" i="8"/>
  <c r="E9" i="11"/>
  <c r="I9" i="11"/>
  <c r="D3" i="11"/>
  <c r="G3" i="11" s="1"/>
  <c r="G9" i="11"/>
  <c r="C3" i="9"/>
  <c r="BG35" i="8"/>
  <c r="E15" i="5"/>
  <c r="F15" i="5" s="1"/>
  <c r="H15" i="5"/>
  <c r="G7" i="9"/>
  <c r="H6" i="9" s="1"/>
  <c r="F17" i="9"/>
  <c r="J15" i="5"/>
  <c r="I16" i="5"/>
  <c r="H17" i="9"/>
  <c r="F5" i="9"/>
  <c r="I20" i="5"/>
  <c r="F16" i="9"/>
  <c r="H16" i="9"/>
  <c r="F7" i="9"/>
  <c r="F6" i="9"/>
  <c r="F4" i="9"/>
  <c r="L3" i="5"/>
  <c r="E18" i="9"/>
  <c r="G18" i="9"/>
  <c r="E17" i="5" l="1"/>
  <c r="H17" i="5"/>
  <c r="G20" i="5"/>
  <c r="H20" i="5" s="1"/>
  <c r="K17" i="5"/>
  <c r="E5" i="5"/>
  <c r="F5" i="5" s="1"/>
  <c r="K5" i="5"/>
  <c r="L5" i="5" s="1"/>
  <c r="H5" i="5"/>
  <c r="J5" i="5"/>
  <c r="BH390" i="8"/>
  <c r="C6" i="5"/>
  <c r="BG345" i="8"/>
  <c r="BG390" i="8" s="1"/>
  <c r="C14" i="9"/>
  <c r="C7" i="9"/>
  <c r="E3" i="11"/>
  <c r="I3" i="11"/>
  <c r="D54" i="11"/>
  <c r="J16" i="5"/>
  <c r="H18" i="9"/>
  <c r="G22" i="5"/>
  <c r="L32" i="5" s="1"/>
  <c r="C33" i="5"/>
  <c r="D33" i="5" s="1"/>
  <c r="E16" i="5"/>
  <c r="H5" i="9"/>
  <c r="H3" i="9"/>
  <c r="H7" i="9"/>
  <c r="H4" i="9"/>
  <c r="I22" i="5"/>
  <c r="L17" i="5" l="1"/>
  <c r="K20" i="5"/>
  <c r="L20" i="5" s="1"/>
  <c r="J20" i="5"/>
  <c r="F17" i="5"/>
  <c r="E20" i="5"/>
  <c r="F20" i="5" s="1"/>
  <c r="D4" i="9"/>
  <c r="D6" i="9"/>
  <c r="D5" i="9"/>
  <c r="D3" i="9"/>
  <c r="E54" i="11"/>
  <c r="G54" i="11"/>
  <c r="I54" i="11"/>
  <c r="H14" i="9"/>
  <c r="F14" i="9"/>
  <c r="D14" i="9"/>
  <c r="C18" i="9"/>
  <c r="C16" i="5"/>
  <c r="H6" i="5"/>
  <c r="K6" i="5"/>
  <c r="F6" i="5"/>
  <c r="J22" i="5"/>
  <c r="C31" i="5"/>
  <c r="L33" i="5"/>
  <c r="M33" i="5" s="1"/>
  <c r="E22" i="5" l="1"/>
  <c r="L31" i="5" s="1"/>
  <c r="D7" i="9"/>
  <c r="L6" i="5"/>
  <c r="K16" i="5"/>
  <c r="C30" i="5"/>
  <c r="C22" i="5"/>
  <c r="H16" i="5"/>
  <c r="D18" i="9"/>
  <c r="F18" i="9"/>
  <c r="F16" i="5"/>
  <c r="F22" i="5" l="1"/>
  <c r="K22" i="5"/>
  <c r="C34" i="5"/>
  <c r="D34" i="5" s="1"/>
  <c r="L16" i="5"/>
  <c r="D30" i="5"/>
  <c r="D32" i="5"/>
  <c r="L30" i="5"/>
  <c r="H22" i="5"/>
  <c r="D31" i="5"/>
  <c r="M30" i="5" l="1"/>
  <c r="M32" i="5"/>
  <c r="M31" i="5"/>
  <c r="L22" i="5"/>
  <c r="L34" i="5"/>
  <c r="M34" i="5" s="1"/>
</calcChain>
</file>

<file path=xl/sharedStrings.xml><?xml version="1.0" encoding="utf-8"?>
<sst xmlns="http://schemas.openxmlformats.org/spreadsheetml/2006/main" count="3122" uniqueCount="1548">
  <si>
    <t>Implementación del Sistema Departamental de Servicio a la Ciudadanía SDSC   en la Administración Departamental.</t>
  </si>
  <si>
    <t>INCLUSIÓN SOCIAL Y EQUIDAD</t>
  </si>
  <si>
    <t>PRODUCTIVIDAD Y COMPETITIVIDAD</t>
  </si>
  <si>
    <t>TERRITORIO, AMBIENTE Y DESARROLLO SOSTENIBLE</t>
  </si>
  <si>
    <t>Implementación de procesos productivos agropecuarios familiares campesinos en busca de la soberanía y seguridad alimentaria.</t>
  </si>
  <si>
    <t>Implementación de procesos de extensión agropecuaria e inocuidad (estatus sanitario, BPA, BPG) alimentaria.</t>
  </si>
  <si>
    <t>Implementación de acciones de Gestión del Cambio Climatico en el marco del PIGCC.</t>
  </si>
  <si>
    <t>Fortalecimiento territoral para una gestión educativa integral en la Secretaría de Educación Departamental del Quindío</t>
  </si>
  <si>
    <t>Aplicación funcionamiento y prestación del servicio educativo de las instituciones educativas.</t>
  </si>
  <si>
    <t>Prestación de Servicios a la Población no Afiliada al Sistema General de Seguridad Social en Salud  y en los no POS  a la Población Afiliada al Régimen Subsidiado.</t>
  </si>
  <si>
    <t>Aprovechamiento biológico y consumo de  alimentos idóneos  en el Departamento del Quindío</t>
  </si>
  <si>
    <t xml:space="preserve">Asistencia atención a las personas y prioridades en salud pública en el  Departamento del Quindío- Plan de Intervenciones Colectivas PIC. </t>
  </si>
  <si>
    <t>UNIDAD EJECUTORA</t>
  </si>
  <si>
    <t>APROPIACION DEFINITIVA</t>
  </si>
  <si>
    <t>% PD</t>
  </si>
  <si>
    <t>COMPROMISOS</t>
  </si>
  <si>
    <t xml:space="preserve">OBLIGACIONES </t>
  </si>
  <si>
    <t>% OBLIG</t>
  </si>
  <si>
    <t>SALDO DISPONIBLE</t>
  </si>
  <si>
    <t>% SALDO DISP.</t>
  </si>
  <si>
    <t>Administrativa</t>
  </si>
  <si>
    <t>Planeación</t>
  </si>
  <si>
    <t>Hacienda</t>
  </si>
  <si>
    <t>Aguas e Infraestructura</t>
  </si>
  <si>
    <t>Interior</t>
  </si>
  <si>
    <t>Cultura</t>
  </si>
  <si>
    <t>Turismo Industria y Comercio</t>
  </si>
  <si>
    <t>Agricultura, Desarrollo Rural y Medio Ambiente</t>
  </si>
  <si>
    <t>Oficina Privada</t>
  </si>
  <si>
    <t>Educación</t>
  </si>
  <si>
    <t>Familia</t>
  </si>
  <si>
    <t>Salud</t>
  </si>
  <si>
    <t>Tecnología de la Información y las Comunicaciones</t>
  </si>
  <si>
    <t>SUB TOTAL SECTOR CENTRAL</t>
  </si>
  <si>
    <t>Indeportes</t>
  </si>
  <si>
    <t>Promotora</t>
  </si>
  <si>
    <t>IDTQ</t>
  </si>
  <si>
    <t xml:space="preserve">SUBTOTAL SECTOR DESCENTRALIZADO </t>
  </si>
  <si>
    <t>TOTAL INVERSION</t>
  </si>
  <si>
    <t>Presupuesto</t>
  </si>
  <si>
    <t>Valor</t>
  </si>
  <si>
    <t>%</t>
  </si>
  <si>
    <t>Definitivo</t>
  </si>
  <si>
    <t>Compromisos</t>
  </si>
  <si>
    <t>Obligaciones</t>
  </si>
  <si>
    <t>Disponible</t>
  </si>
  <si>
    <t>TOTAL DEPARTAMENTO INVERSION QUINDIO</t>
  </si>
  <si>
    <t>TOTAL DEPARTAMENTO INVERSION SECTOR CENTRAL</t>
  </si>
  <si>
    <t xml:space="preserve">CODIGO:  </t>
  </si>
  <si>
    <t xml:space="preserve">VERSIÓN: </t>
  </si>
  <si>
    <t xml:space="preserve">FECHA: </t>
  </si>
  <si>
    <t>PÁGINA:</t>
  </si>
  <si>
    <t>1 de 1</t>
  </si>
  <si>
    <t>LÍNEA ESTRATÉGICA</t>
  </si>
  <si>
    <t>No. PROGRAMA INTERNO</t>
  </si>
  <si>
    <t>CÓDIGO DEL PROGRAMA KPT</t>
  </si>
  <si>
    <t>PROGRAMA</t>
  </si>
  <si>
    <t>INDICADOR DE RESULTADO Y/O BIENESTAR</t>
  </si>
  <si>
    <t>No. PRODUCTO INTERNO</t>
  </si>
  <si>
    <t>CODIGO DEL PRODUCTO KPT</t>
  </si>
  <si>
    <t>META PRODUCTO</t>
  </si>
  <si>
    <t>No. INDICADOR PRODUCTO INTERNO</t>
  </si>
  <si>
    <t>CÓDIGO INDICADOR PRODUCTO KPT</t>
  </si>
  <si>
    <t>INDICADOR DEL PRODUCTO</t>
  </si>
  <si>
    <t>TIPO DE META I/M/R</t>
  </si>
  <si>
    <t>META 2020</t>
  </si>
  <si>
    <t>CÓDIGO SECTOR FUT</t>
  </si>
  <si>
    <t>CÓDIGO BPIN</t>
  </si>
  <si>
    <t>NOMBRE DEL PROYECTO</t>
  </si>
  <si>
    <t xml:space="preserve">ESTAMPILLAS 
PRO - CULTURA
PRO - ADULTO MAYOR
PRO - DESARROLLO
 </t>
  </si>
  <si>
    <t xml:space="preserve">CONTRIBUCION ESPECIAL
(FONDO DE SEGURIDAD 5%) 
 </t>
  </si>
  <si>
    <t xml:space="preserve">SOBRETASA AL ACPM  
</t>
  </si>
  <si>
    <t xml:space="preserve">SGP PRESTACIÓN DE SERVICIOS - EDUCACIÓN  - Y CONECTIVIDAD
</t>
  </si>
  <si>
    <t>SGP APORTES PATRONALES - CANCELACIÓN DE PRESTACIONES SOCIALES -EDUCACIÓN</t>
  </si>
  <si>
    <t xml:space="preserve">FONDO DE EDUCACION,  PAE, CONVENIO MEN 
</t>
  </si>
  <si>
    <t xml:space="preserve">SGP AGUA POTABLE Y SANEAMIENTO BÁSICO
</t>
  </si>
  <si>
    <t xml:space="preserve">RECURSO ORDINARIO
</t>
  </si>
  <si>
    <t xml:space="preserve">TOTAL
</t>
  </si>
  <si>
    <t>p</t>
  </si>
  <si>
    <t>E</t>
  </si>
  <si>
    <t>COMPROMISO</t>
  </si>
  <si>
    <t xml:space="preserve">304 -SECRETARÍA ADMINISTRATIVA </t>
  </si>
  <si>
    <t xml:space="preserve">LIDERAZGO, GOBERNABILIDAD Y TRANSPARENCIA.   </t>
  </si>
  <si>
    <t>DNP</t>
  </si>
  <si>
    <t>Fortalecimiento de la Gestión  y Desempeño Institucional. "Quindío con una administración al servicio de la ciudadanía "</t>
  </si>
  <si>
    <t>Índice de Gestión del Modelo Integrado de Planeación y de Gestión MIPG  de la Administración Departamental</t>
  </si>
  <si>
    <t>45.1</t>
  </si>
  <si>
    <t>45.1.1</t>
  </si>
  <si>
    <t>Número de Dimensiones y Políticas   de MIPG implementadas.</t>
  </si>
  <si>
    <t>M</t>
  </si>
  <si>
    <t xml:space="preserve">17. Fortalecimiento Institucional </t>
  </si>
  <si>
    <t>202000363-0003</t>
  </si>
  <si>
    <t>Implementación del  Modelo Integrado de Planeación y de Gestión MIPG  de la  Administración Departamental del Quindío (Dimensiones  de Talento humano,  Información y Comunicación y Gestión del Conocimiento).</t>
  </si>
  <si>
    <t>45.9</t>
  </si>
  <si>
    <t>Estrategias  de actualización, depuración, seguimiento y evaluación de las bases de datos  del Pasivo Pensional  de la Administración Departamental.</t>
  </si>
  <si>
    <t>45.9.1</t>
  </si>
  <si>
    <t>Estrategias  de actualización, depuración, seguimiento y evaluación de las bases de datos  del Pasivo Pensional  de la Administración Departamental</t>
  </si>
  <si>
    <t>202000363-0004</t>
  </si>
  <si>
    <t>Actualización, depuración, seguimiento y evaluación   del  Pasivo Pensional  de la Administración Departamental del Quindío</t>
  </si>
  <si>
    <t>Participación ciudadana y política y respeto por los derechos humanos y diversidad de creencias. "Quindío integrado y participativo"</t>
  </si>
  <si>
    <t>Porcentaje promedio  de participación de ciudadanos en los eventos de elección popular.</t>
  </si>
  <si>
    <t>42.3</t>
  </si>
  <si>
    <t>Implementación del Plan de Acción del Sistema Departamental de Servicio a la Ciudadanía SDSC</t>
  </si>
  <si>
    <t>42.3.1</t>
  </si>
  <si>
    <t xml:space="preserve">Plan de Acción del Sistema Departamental de Servicio a la Ciudadanía SDSC implementado. </t>
  </si>
  <si>
    <t>16. Desarrollo Comunitario</t>
  </si>
  <si>
    <t>202000363-0005</t>
  </si>
  <si>
    <t xml:space="preserve">305 SECRETARÍA DE PLANEACIÓN </t>
  </si>
  <si>
    <t>LIDERAZGO, GOBERNABILIDAD Y TRANSPARENCIA</t>
  </si>
  <si>
    <t>Porcentaje promedio  de participación de ciudadanos en los eventos de elección popular</t>
  </si>
  <si>
    <t>42.2</t>
  </si>
  <si>
    <t>Fortalecimiento técnico y logístico del  Consejo Territorial de Planeación Departamental, como representantes de la sociedad civil en la planeación  del desarrollo integral  de la entidad territorial</t>
  </si>
  <si>
    <t>42.2.1</t>
  </si>
  <si>
    <t xml:space="preserve">Consejo Territorial de Planeación Departamental fortalecido.   </t>
  </si>
  <si>
    <t>201663000-0007</t>
  </si>
  <si>
    <t>Asistencia al Consejo Territorial de Planeación del Departamento del Quindío</t>
  </si>
  <si>
    <t>Fortalecimiento de la Gestión  y Desempeño Institucional. "Quindío con una administración al servicio de la ciudadanía"</t>
  </si>
  <si>
    <t>45.5</t>
  </si>
  <si>
    <t>45.5.1</t>
  </si>
  <si>
    <t xml:space="preserve">Instrumentos de planificación de ordenamiento y gestión territorial departamental implementados. </t>
  </si>
  <si>
    <t>201900363-0002</t>
  </si>
  <si>
    <t>Formulación  e implementación del  Plan de Desarrollo Departamental 2020-2023</t>
  </si>
  <si>
    <t>Instrumentos de planificación para el ordenamiento y la gestión territorial departamental (Plan de Desarrollo Departamental PDD, Ordenamiento Territorial, Sistema de Información Geográfica, Mecanismos de Integración, Catastro multipropósito etc.).</t>
  </si>
  <si>
    <t>201663000-0009</t>
  </si>
  <si>
    <t>Diseño e implementación instrumentos de  planificación para el  ordenamiento  territorial, social y económico del  Departamento del Quindío</t>
  </si>
  <si>
    <t>45.4</t>
  </si>
  <si>
    <t>Observatorio económico del departamento, con procesos de fortalecimiento</t>
  </si>
  <si>
    <t>45.4.1</t>
  </si>
  <si>
    <t>Observatorio económico del Departamento del Quindío actualizado y dotado.</t>
  </si>
  <si>
    <t>201663000-0010</t>
  </si>
  <si>
    <t xml:space="preserve">Diseño e implementación del Observatorio  de Desarrollo Humano en el Departamento del Quindío </t>
  </si>
  <si>
    <t>45.3</t>
  </si>
  <si>
    <t>Banco de Programas y Proyectos del Departamento  con procesos de fortalecimiento.</t>
  </si>
  <si>
    <t>45.3.1</t>
  </si>
  <si>
    <t>Banco de Programas y Proyectos del Departamento fortalecido</t>
  </si>
  <si>
    <t>201663000-0012</t>
  </si>
  <si>
    <t>Implementación Sistema de Cooperación Internacional y  de Gestión de proyectos  del Depratamento del Quindío - "Fabrica de Proyectos"</t>
  </si>
  <si>
    <t>Índice de Gestión del Modelo Integrado de Planeación y de Gestión MIPG   Departamental (Entes Territoriales Municipales)</t>
  </si>
  <si>
    <t>45.17</t>
  </si>
  <si>
    <t xml:space="preserve">Entes territoriales  con servicio de asistencia técnica de los Instrumentos de Planificación para  el Ordenamiento y la Gestión Territorial departamental. </t>
  </si>
  <si>
    <t>45.17.1</t>
  </si>
  <si>
    <t>Entes territoriales con procesos de asistencia técnica realizadas.</t>
  </si>
  <si>
    <t>201663000-0014</t>
  </si>
  <si>
    <t>Asistencia  técnica, seguimiento y evaluación  de la gestión  territorial en los  municipios del Departamento del  Quindío</t>
  </si>
  <si>
    <t>45.12</t>
  </si>
  <si>
    <t>Entes territoriales con servicio de asistencia  técnica del Modelo Integrado de Planeación y de Gestión MIPG</t>
  </si>
  <si>
    <t>45.12.1</t>
  </si>
  <si>
    <t>Entes Territoriales con procesos de asistencia técnica realizadas.</t>
  </si>
  <si>
    <t>45.13</t>
  </si>
  <si>
    <t>Entes territoriales  con servicio de asistencia técnica en la Medición del Desempeño Municipal.</t>
  </si>
  <si>
    <t>45.13.1</t>
  </si>
  <si>
    <t>45.15</t>
  </si>
  <si>
    <t xml:space="preserve">Entes territoriales  con servicio de asistencia técnica  en el Sistema de Identificación de Potenciales Beneficiarios de Programas Sociales (SISBEN). </t>
  </si>
  <si>
    <t>45.15.1</t>
  </si>
  <si>
    <t>45.16</t>
  </si>
  <si>
    <t>Entes territoriales con servicio de asistencia técnica en la formulación, preparación, seguimiento y evaluación de las políticas públicas.</t>
  </si>
  <si>
    <t>45.16.1</t>
  </si>
  <si>
    <t>45.14</t>
  </si>
  <si>
    <t xml:space="preserve">Entes territoriales  con servicio de asistencia técnica en Banco de Programas y Proyectos de Inversión Nacional (BPIN).  </t>
  </si>
  <si>
    <t>45.14.1</t>
  </si>
  <si>
    <t>202000363-0006</t>
  </si>
  <si>
    <t xml:space="preserve">Implementación  del Modelo Integrado de Planeación y de Gestión MIPG en la Administración Departamental del Quindío </t>
  </si>
  <si>
    <t>45.2</t>
  </si>
  <si>
    <t>Estrategia para el mejoramiento del Índice de Desempeño Fiscal en la Administración Departamental.</t>
  </si>
  <si>
    <t>45.2.1</t>
  </si>
  <si>
    <t>Estrategia  de fortalecimiento  del Índice de Desempeño  Fiscal implementadas.</t>
  </si>
  <si>
    <t>201663000-0016</t>
  </si>
  <si>
    <t>Mejoramiento de la sostenibilidad de los procesos de fiscalización liquidación control y cobranza de los tributos en el Departamento del Quindío</t>
  </si>
  <si>
    <t>45.11</t>
  </si>
  <si>
    <t xml:space="preserve">Programa para el cumplimiento de las políticas y prácticas contables para la administración departamental         </t>
  </si>
  <si>
    <t>45.11.1</t>
  </si>
  <si>
    <t>Programa para el cumplimiento de las políticas y prácticas contables implementado</t>
  </si>
  <si>
    <t>201663000-0017</t>
  </si>
  <si>
    <t>Promoción al acceso a la justicia."Tú y yo con justicia"</t>
  </si>
  <si>
    <t>Tasa de homicidio por cada 100.000 habitantes
Tasa de hurto a personas  por cada 100.000 habitantes
Tasa de hurto a residencias por cada 100.000 habitantes
Tasa de hurto a comercio por cada 100.000 habitantes
Tasa de violencia intrafamiliar x cada 100.000 habitantes
Tasa  de delitos sexuales x 100.000 habitantes</t>
  </si>
  <si>
    <t>1.2</t>
  </si>
  <si>
    <t>Infraestructura de las Instituciones de Seguridad del Estado con procesos constructivos, y/o mejorados, y/o ampliados, y/o mantenidos, y/o reforzados</t>
  </si>
  <si>
    <t>1.2.1</t>
  </si>
  <si>
    <t>Infraestructura de las Instituciones de Seguridad del Estado construida, mejorada, ampliada, mantenida, y/o reforzada</t>
  </si>
  <si>
    <t>I</t>
  </si>
  <si>
    <t>202000363-0007</t>
  </si>
  <si>
    <t>Construcción y/o mejoramiento de las instituciones públicas y/o de seguridad y  justicia  del estado en el Departamento Quindío</t>
  </si>
  <si>
    <t>Prestación de servicios de salud. "Tú y yo con servicios de salud"</t>
  </si>
  <si>
    <t>Índice Departamental de Competitividad</t>
  </si>
  <si>
    <t>13.11</t>
  </si>
  <si>
    <t xml:space="preserve">Infraestructura hospitalaria con procesos constructivos, mejorados, ampliados, mantenidos, y/o reforzados </t>
  </si>
  <si>
    <t>13.11.1</t>
  </si>
  <si>
    <t>Infraestructura hospitalaria con procesos constructivos, mejorados, ampliados, mantenidos, y/o reforzados realizados</t>
  </si>
  <si>
    <t>2. Salud</t>
  </si>
  <si>
    <t>202000363-0008</t>
  </si>
  <si>
    <t>Construcción y/o mejoramiento de la infraestructura física de las instituciones de salud pública y bienestar social del departamento del Quindío</t>
  </si>
  <si>
    <t>Calidad, cobertura y fortalecimiento de la educación inicial, prescolar, básica y media." Tú y yo con educación y de calidad"</t>
  </si>
  <si>
    <t>mantenidos, y/o reforzados</t>
  </si>
  <si>
    <t>Tasa de cobertura bruta en transición
Tasa de cobertura bruta en educación básica
Tasa de cobertura en educación media
Tasa de deserción escolar intra-anual</t>
  </si>
  <si>
    <t>15.32</t>
  </si>
  <si>
    <t>Infraestructura de Instituciones Educativas con procesos constructivos, mejorados, ampliados, mantenidos, y/o reforzados.</t>
  </si>
  <si>
    <t>15.32.1</t>
  </si>
  <si>
    <t>Infraestructura de Instituciones Educativas construida, mejorada, ampliada, mantenida, y/o reforzada.</t>
  </si>
  <si>
    <t>1. Educación</t>
  </si>
  <si>
    <t>201663000-0021</t>
  </si>
  <si>
    <t>Construir, mantener, mejorar y/o rehabilitar la infraestructura social del Departamento del Quindío</t>
  </si>
  <si>
    <t>Promoción y acceso efectivo a procesos culturales y artísticos. "Tú y yo somos cultura Quindiana"</t>
  </si>
  <si>
    <t>25.3</t>
  </si>
  <si>
    <t>3301068</t>
  </si>
  <si>
    <t>Servicio de mantenimiento de infraestructura cultural</t>
  </si>
  <si>
    <t>25.3.1</t>
  </si>
  <si>
    <t>330106800</t>
  </si>
  <si>
    <t>Infraestructura cultural intervenida</t>
  </si>
  <si>
    <t xml:space="preserve">5. Cultura </t>
  </si>
  <si>
    <t>Fomento a la recreación, la actividad física y el deporte. "Tú y yo en la recreación y el deporte"</t>
  </si>
  <si>
    <t>Cobertura de municipios que participan en programas de recreación, actividad física y deporte social y comunitario en el Departamento del Quindío.
Cobertura de ligas apoyadas en el departamento del Quindío.
Porcentaje de medallería del departamento del Quindío en los Juegos Nacionales.</t>
  </si>
  <si>
    <t>39.4</t>
  </si>
  <si>
    <t xml:space="preserve">Infraestructura  deportiva y/o recreativa con procesos   constructivos ,  y/o mejorados, y/o ampliados, y/o mantenidos, y/o  reforzados </t>
  </si>
  <si>
    <t>39.4.1</t>
  </si>
  <si>
    <t xml:space="preserve">Infraestructura   deportiva y/o recreativa construída y/o mejorada, y/o ampliada, y/o mantenida, y/o  reforzada </t>
  </si>
  <si>
    <t>4. Deporte y Recreación</t>
  </si>
  <si>
    <t>Formación y preparación de deportistas. "Tú y yo campeones"</t>
  </si>
  <si>
    <t>40.1</t>
  </si>
  <si>
    <t>Piscinas construidas y dotadas</t>
  </si>
  <si>
    <t>40.1.1</t>
  </si>
  <si>
    <t>Infraestructura productiva y comercialización. "Tú y yo con agro competitivo"</t>
  </si>
  <si>
    <t>Crecimiento económico del sector agropecuario (PIB)</t>
  </si>
  <si>
    <t>10.4</t>
  </si>
  <si>
    <t>Plazas de mercado adecuadas</t>
  </si>
  <si>
    <t>10.4.1</t>
  </si>
  <si>
    <t>13. Promoción del Desarrollo</t>
  </si>
  <si>
    <t>202000363-0009</t>
  </si>
  <si>
    <t>Construcción y/o mejoramiento  de la infraestructura turística y/o  productiva y  competitiva para el desarrollo del Departamento del Quindío</t>
  </si>
  <si>
    <t xml:space="preserve">Productividad y competitividad de las empresas colombianas. "Tú y yo con empresas competitivas" </t>
  </si>
  <si>
    <t>27.8</t>
  </si>
  <si>
    <t>Mirador turístico construido</t>
  </si>
  <si>
    <t>27.8.1</t>
  </si>
  <si>
    <t>Construcción y/o mejoramiento  de la infraestructura turística y/o  productiva y  competitiva para el desarrollo del Departamento del Quindío.</t>
  </si>
  <si>
    <t>Infraestructura red vial regional. "Tú y yo con movilidad vial"</t>
  </si>
  <si>
    <t>18.2</t>
  </si>
  <si>
    <t>Infraestructura   vial  con procesos  de construcción, mejoramiento, ampliación, mantenimiento y/o  reforzamiento.</t>
  </si>
  <si>
    <t>18.2.1</t>
  </si>
  <si>
    <t>9. Transporte</t>
  </si>
  <si>
    <t>201663000-0019</t>
  </si>
  <si>
    <t>Mantener, mejorar, rehabilitar y/o atender las vías y sus emergencias, en cumplimiento del Plan Vial del Departamento del Quindío</t>
  </si>
  <si>
    <t>3202</t>
  </si>
  <si>
    <t>Conservación de la biodiversidad y sus servicios ecosistémicos. "Tú y yo en territorios biodiversos"</t>
  </si>
  <si>
    <t xml:space="preserve">Porcentaje de Ecosistemas protegidos y/o en procesos de restauración en el Departamento </t>
  </si>
  <si>
    <t>21.3</t>
  </si>
  <si>
    <t xml:space="preserve">Infraestructura ecoturística construida </t>
  </si>
  <si>
    <t>21.3.1</t>
  </si>
  <si>
    <t>Ordenamiento Ambiental Territorial. "Tú y yo planificamos con sentido ambiental"</t>
  </si>
  <si>
    <t>23.5.1</t>
  </si>
  <si>
    <t>Obras de infraestructura para mitigación y atención a desastres</t>
  </si>
  <si>
    <t xml:space="preserve">Obras de infraestructura para mitigación y atención a desastres realizadas </t>
  </si>
  <si>
    <t>Acceso a soluciones de vivienda. "Tú y yo con vivienda digna"</t>
  </si>
  <si>
    <t>33.3</t>
  </si>
  <si>
    <t>Viviendas de interés social urbanas mejoradas</t>
  </si>
  <si>
    <t>33.3.1</t>
  </si>
  <si>
    <t>Viviendas de Interés Social urbanas mejoradas</t>
  </si>
  <si>
    <t>7. Vivienda</t>
  </si>
  <si>
    <t>Acceso de la población a los servicios de agua potable y saneamiento básico. "Tú y yo con calidad del agua"</t>
  </si>
  <si>
    <t xml:space="preserve">Cobertura de acueducto
Cobertura  de alcantarillado </t>
  </si>
  <si>
    <t>34.6</t>
  </si>
  <si>
    <t xml:space="preserve">Adoptar e implementar la Política Pública de Producción Consumo Sostenible y Gestión Integral de Aseo  </t>
  </si>
  <si>
    <t>34.6.1</t>
  </si>
  <si>
    <t>Política Pública de Producción Consumo Sostenible y Gestión Integral de Aseo  adoptada e implementada.</t>
  </si>
  <si>
    <t>3. Agua Potable y Saneamiento Básico</t>
  </si>
  <si>
    <t>202000363-0010</t>
  </si>
  <si>
    <t>Implementación del plan departamental para el mamenjo empresarial de los servicios de agua y saneamiento básico en el Departameno del Quindío</t>
  </si>
  <si>
    <t>34.1</t>
  </si>
  <si>
    <t>Alcantarillados construidos</t>
  </si>
  <si>
    <t>34.1.1</t>
  </si>
  <si>
    <t>Plantas de tratamiento de aguas residuales  construidas</t>
  </si>
  <si>
    <t>34.2</t>
  </si>
  <si>
    <t>Servicios de apoyo financiero para la ejecución de proyectos de acueductos y alcantarillado</t>
  </si>
  <si>
    <t>34.2.1</t>
  </si>
  <si>
    <t>Proyectos de acueducto y alcantarillado en área urbana financiados</t>
  </si>
  <si>
    <t>34.4</t>
  </si>
  <si>
    <t>Servicios de educación informal en agua potable y saneamiento básico</t>
  </si>
  <si>
    <t>34.4.1</t>
  </si>
  <si>
    <t>Eventos de educación informal en agua y saneamiento básico realizados</t>
  </si>
  <si>
    <t>34.5</t>
  </si>
  <si>
    <t>Estudios de pre inversión e inversión</t>
  </si>
  <si>
    <t>34.5.1</t>
  </si>
  <si>
    <t xml:space="preserve">Estudios o diseños realizados </t>
  </si>
  <si>
    <t>45.10</t>
  </si>
  <si>
    <t>Infraestructura institucional o  de edificios públicos de atención  de servicios ciudadanos con procesos constructivos y/o mejorados, y/o ampliados, y/o mantenidos, y/o  reforzados</t>
  </si>
  <si>
    <t>45.10.1</t>
  </si>
  <si>
    <t>Infraestructura Institucional o edificios públicos construida mejorada, ampliada, mantenida, y/o reforzada</t>
  </si>
  <si>
    <t>42.7</t>
  </si>
  <si>
    <t>Salones comunales adecuados</t>
  </si>
  <si>
    <t>42.7.1</t>
  </si>
  <si>
    <t xml:space="preserve">309  SECRETARÍA DEL INTERIOR </t>
  </si>
  <si>
    <t>1.1</t>
  </si>
  <si>
    <t>1.1.1</t>
  </si>
  <si>
    <t>Entidades territoriales asistidas técnicamente</t>
  </si>
  <si>
    <t>18. Justicia y Seguridad</t>
  </si>
  <si>
    <t>201663000-0029</t>
  </si>
  <si>
    <t>Apoyo a la convivencia, justicia y cultura de paz en el Departamento del  Quindío</t>
  </si>
  <si>
    <t>Promoción de los métodos de resolución de conflictos. "Tú y yo resolvemos los conflictos"</t>
  </si>
  <si>
    <t>2.1</t>
  </si>
  <si>
    <t>Servicio de asistencia técnica para la implementación de los métodos de resolución de conflictos</t>
  </si>
  <si>
    <t>2.1.1</t>
  </si>
  <si>
    <t>Instituciones públicas y privadas asistidas técnicamente en métodos de resolución de conflictos</t>
  </si>
  <si>
    <t>201663000-0028</t>
  </si>
  <si>
    <t xml:space="preserve">Construcción integral de la seguridad humana en el Departamento de Quindío  </t>
  </si>
  <si>
    <t>Sistema penitenciario y carcelario en el marco de los derechos humanos. "Quindío respeta derechos penitenciarios"</t>
  </si>
  <si>
    <t>3.1</t>
  </si>
  <si>
    <t>Servicio de resocialización de personas privadas de la libertad</t>
  </si>
  <si>
    <t>3.1.1</t>
  </si>
  <si>
    <t>Personas privadas de la libertad (PPL) que reciben Servicio de resocialización</t>
  </si>
  <si>
    <t>15.28</t>
  </si>
  <si>
    <t>Servicio de gestión de riesgos y desastres en establecimientos educativos</t>
  </si>
  <si>
    <t>15.28.1</t>
  </si>
  <si>
    <t>Establecimientos educativos con acciones de gestión del riesgo implementadas</t>
  </si>
  <si>
    <t>201663000-0036</t>
  </si>
  <si>
    <t xml:space="preserve">Administración del  riesgo mediante el conocimiento, la reducción y el manejo del desastre  en el Departamento del Quindío </t>
  </si>
  <si>
    <t>Atención, asistencia y reparación integral a las víctimas. "Tú y yo con reparación integral"</t>
  </si>
  <si>
    <t>Cobertura de la población victima atendida con procesos de atención, prevención y asistencia humanitaria</t>
  </si>
  <si>
    <t>35.2</t>
  </si>
  <si>
    <t>Servicio de orientación y comunicación a las víctimas</t>
  </si>
  <si>
    <t>35.2.1</t>
  </si>
  <si>
    <t>Solicitudes tramitadas</t>
  </si>
  <si>
    <t>14. Atención a Grupos Vulnerables Promoción Social</t>
  </si>
  <si>
    <t>201663000-0030</t>
  </si>
  <si>
    <t>Implementación del Plan de Acción Territorial para la prevención, protección, asistencia, atención, reparación integral en el Departamento del Quindío</t>
  </si>
  <si>
    <t>35.3</t>
  </si>
  <si>
    <t>Servicio de ayuda y atención humanitaria</t>
  </si>
  <si>
    <t>35.3.1</t>
  </si>
  <si>
    <t>Personas víctimas con ayuda humanitaria</t>
  </si>
  <si>
    <t>35.4</t>
  </si>
  <si>
    <t>Servicio de asistencia técnica para la participación de las víctimas</t>
  </si>
  <si>
    <t>35.4.1</t>
  </si>
  <si>
    <t>Eventos de participación realizados</t>
  </si>
  <si>
    <t>Cobertura de víctimas atendidas con la línea de emprendimiento y fortalecimiento.</t>
  </si>
  <si>
    <t>35.5</t>
  </si>
  <si>
    <t>Servicio de apoyo para la generación de ingresos</t>
  </si>
  <si>
    <t>35.5.1</t>
  </si>
  <si>
    <t>Hogares con asistencia técnica para la generación de ingresos</t>
  </si>
  <si>
    <t>Cobertura de Personas víctimas del conflicto beneficiadas con medidas de satisfacción (Construcción de memoria, Reparación simbólica y Construcción de lugares de memoria)</t>
  </si>
  <si>
    <t>35.1</t>
  </si>
  <si>
    <t>Servicio de asistencia técnica para la realización de iniciativas de memoria histórica</t>
  </si>
  <si>
    <t>35.1.1</t>
  </si>
  <si>
    <t>Iniciativas de memoria histórica asistidas técnicamente</t>
  </si>
  <si>
    <t>Inclusión social y productiva para la población en situación de vulnerabilidad. "Tú y yo, población vulnerable incluida"</t>
  </si>
  <si>
    <t>Cobertura de la población excombatiente atendida con procesos de atención y asistencia humanitaria</t>
  </si>
  <si>
    <t>37.8</t>
  </si>
  <si>
    <t>Servicio de atención y asistencia para la población excombatiente del Departamento del Quindío</t>
  </si>
  <si>
    <t>37.8.1</t>
  </si>
  <si>
    <t>Población excombatiente beneficiada</t>
  </si>
  <si>
    <t>201663000-0032</t>
  </si>
  <si>
    <t>Implementación del Plan Integral de prevención de vulneraciones de los Derechos Humanos DDHH e infracciones  al Derecho Internacional Humanitario DIH en el Departamento del Quindío</t>
  </si>
  <si>
    <t>Fortalecimiento de la convivencia y la seguridad ciudadana. "Tú y yo seguros"</t>
  </si>
  <si>
    <t>41.3</t>
  </si>
  <si>
    <t>Fortalecimiento institucional a organismos de seguridad</t>
  </si>
  <si>
    <t>41.3.1</t>
  </si>
  <si>
    <t>Organismos de seguridad fortalecidos</t>
  </si>
  <si>
    <t>41.2</t>
  </si>
  <si>
    <t>Servicio de apoyo para la implementación de medidas en derechos humanos y derecho internacional humanitario</t>
  </si>
  <si>
    <t>41.2.1</t>
  </si>
  <si>
    <t>Medidas implementadas en cumplimiento de las obligaciones internacionales en materia de Derechos Humanos y Derecho Internacional Humanitario</t>
  </si>
  <si>
    <t>41.1</t>
  </si>
  <si>
    <t>Servicio de asistencia técnica</t>
  </si>
  <si>
    <t>41.1.1</t>
  </si>
  <si>
    <t>Instancias territoriales de coordinación institucional asistidas y apoyadas</t>
  </si>
  <si>
    <t>201663000-0039</t>
  </si>
  <si>
    <t>Construcción de la participación ciudadana y control social en el Departamento del Quindío</t>
  </si>
  <si>
    <t>23.1</t>
  </si>
  <si>
    <t>Documentos de estudios técnicos para el ordenamiento ambiental territorial</t>
  </si>
  <si>
    <t>23.1.1</t>
  </si>
  <si>
    <t>Documentos de estudios técnicos para el conocimiento y reducción del riesgo de desastres elaborados</t>
  </si>
  <si>
    <t>12. Prevención y Atención de Desastres</t>
  </si>
  <si>
    <t>23.5</t>
  </si>
  <si>
    <t>Prevención y atención de desastres y emergencias. "Tú y yo preparados en gestión del riesgo"</t>
  </si>
  <si>
    <t>43.1</t>
  </si>
  <si>
    <t>Servicio de educación informal</t>
  </si>
  <si>
    <t>43.1.1</t>
  </si>
  <si>
    <t>Personas capacitadas</t>
  </si>
  <si>
    <t>Cobertura de atención  del Sistema Departamental de Gestión del Riesgo de Desastres del Quindío.</t>
  </si>
  <si>
    <t>43.2</t>
  </si>
  <si>
    <t>43.2.1</t>
  </si>
  <si>
    <t>Instancias territoriales asistidas</t>
  </si>
  <si>
    <t>43.3</t>
  </si>
  <si>
    <t>Servicio de atención a emergencias y desastres</t>
  </si>
  <si>
    <t>43.3.1</t>
  </si>
  <si>
    <t>Centro de reserva  para la atención a emergencias y desastres dotado</t>
  </si>
  <si>
    <t>201663000-0038</t>
  </si>
  <si>
    <t>Apoyo institucional en la gestión del riesgo  en el Departamento del Quindío</t>
  </si>
  <si>
    <t>42.8</t>
  </si>
  <si>
    <t>Servicio de promoción a la participación ciudadana</t>
  </si>
  <si>
    <t>42.8.1</t>
  </si>
  <si>
    <t>Iniciativas para la promoción de la participación ciudadana implementada.</t>
  </si>
  <si>
    <t>42.9</t>
  </si>
  <si>
    <t>Implementar la Política de Libertad Religiosa</t>
  </si>
  <si>
    <t>42.9.1</t>
  </si>
  <si>
    <t>Política de Libertad Religiosa Implementado</t>
  </si>
  <si>
    <t>42.5</t>
  </si>
  <si>
    <t>Fortalecimiento de los organismos  de acción comunal (OAC)  de los doce municipios del Departamento en lo relacionado a sus procesos formativos, participativos, de organización y  gestión.</t>
  </si>
  <si>
    <t>42.5.1</t>
  </si>
  <si>
    <t>201663000-0040</t>
  </si>
  <si>
    <t xml:space="preserve">Desarrollo de los Organismos Comunales en el Departamento del Quindío </t>
  </si>
  <si>
    <t>42.6</t>
  </si>
  <si>
    <t xml:space="preserve">Formulación de la  Política Pública Departamental para la  Acción Comunal </t>
  </si>
  <si>
    <t>42.6.1</t>
  </si>
  <si>
    <t>Una Política Pública formulada.</t>
  </si>
  <si>
    <t>201663000-0042</t>
  </si>
  <si>
    <t xml:space="preserve">Fortalecimiento de las veedurias ciudadanas en el Departamento del Quindío </t>
  </si>
  <si>
    <t xml:space="preserve">310 SECRETARÍA DE CULTURA </t>
  </si>
  <si>
    <t>25.6</t>
  </si>
  <si>
    <t>Servicio de educación informal en áreas artísticas y culturales</t>
  </si>
  <si>
    <t>25.6.1</t>
  </si>
  <si>
    <t>201663000-0046</t>
  </si>
  <si>
    <t>Apoyo al arte y la cultura en todo el Departamento del Quindío</t>
  </si>
  <si>
    <t>25.4</t>
  </si>
  <si>
    <t>Servicio de circulación artística y cultural</t>
  </si>
  <si>
    <t>25.4.1</t>
  </si>
  <si>
    <t>Producciones artísticas en circulación</t>
  </si>
  <si>
    <t>25.5</t>
  </si>
  <si>
    <t>Servicios bibliotecarios</t>
  </si>
  <si>
    <t>25.5.1</t>
  </si>
  <si>
    <t>330108500</t>
  </si>
  <si>
    <t>Usuarios atendidos</t>
  </si>
  <si>
    <t>202000363-0011</t>
  </si>
  <si>
    <t xml:space="preserve">Implementación del programa "Tú y Yo Somos Cultura", para el fortalecimiento a la léctura,  escitura  y bibliotecas en el Departamento del Quindío </t>
  </si>
  <si>
    <t>25.9</t>
  </si>
  <si>
    <t>Servicio de divulgación y publicaciones</t>
  </si>
  <si>
    <t>25.9.1</t>
  </si>
  <si>
    <t>330110000</t>
  </si>
  <si>
    <t>Publicaciones realizadas</t>
  </si>
  <si>
    <t>25.8</t>
  </si>
  <si>
    <t>Servicio de información para el sector artístico y cultural</t>
  </si>
  <si>
    <t>25.8.1</t>
  </si>
  <si>
    <t>330109900</t>
  </si>
  <si>
    <t>Sistema de información del sector artístico y cultural en operación</t>
  </si>
  <si>
    <t>202000363-0012</t>
  </si>
  <si>
    <t xml:space="preserve"> Implementación de la "Ruta de la felicidad y la identidad quindiana", para  el fortalecimiento y visibilización de los procesos   artisticos  y culturales   en el Departamento del Quindío</t>
  </si>
  <si>
    <t>25.7</t>
  </si>
  <si>
    <t>Servicio de asistencia técnica en gestión artística y cultural</t>
  </si>
  <si>
    <t>25.7.1</t>
  </si>
  <si>
    <t>330109500</t>
  </si>
  <si>
    <t>Personas asistidas técnicamente</t>
  </si>
  <si>
    <t>201663000-0045</t>
  </si>
  <si>
    <t xml:space="preserve">Apoyo a seguridad social del creador y gestor cultural del Departamento del Quindío </t>
  </si>
  <si>
    <t>Gestión, protección y salvaguardia del patrimonio cultural colombiano. "Tú y yo protectores del patrimonio cultural"</t>
  </si>
  <si>
    <t>26.1</t>
  </si>
  <si>
    <t>Servicio de asistencia técnica en el manejo y gestión del patrimonio arqueológico, antropológico e histórico.</t>
  </si>
  <si>
    <t>26.1.1</t>
  </si>
  <si>
    <t>330204200</t>
  </si>
  <si>
    <t xml:space="preserve">Asistencias técnicas realizadas a entidades territoriales </t>
  </si>
  <si>
    <t>201663000-0049</t>
  </si>
  <si>
    <t>Apoyo al reconocimiento, apropiación y salvaguardia y difusión del patrimonio cultural en todo el Departamento del Quindío</t>
  </si>
  <si>
    <t>26.2</t>
  </si>
  <si>
    <t>Servicio de divulgación y publicación del Patrimonio cultural</t>
  </si>
  <si>
    <t>26.2.1</t>
  </si>
  <si>
    <t>330207000</t>
  </si>
  <si>
    <t xml:space="preserve">311 SECRETARÍA DE TURISMO INDUSTRIA Y COMERCIO </t>
  </si>
  <si>
    <t>27.1</t>
  </si>
  <si>
    <t>Servicio de apoyo y consolidación de las Comisiones Regionales de Competitividad - CRC</t>
  </si>
  <si>
    <t>27.1.1</t>
  </si>
  <si>
    <t>350200600</t>
  </si>
  <si>
    <t xml:space="preserve">Planes de trabajo concertados con las CRC para su consolidación </t>
  </si>
  <si>
    <t>201663000-0051</t>
  </si>
  <si>
    <t>Apoyo al mejoramiento de la competitividad a iniciativas  productivas en el  Departamento del Quindío</t>
  </si>
  <si>
    <t>27.2</t>
  </si>
  <si>
    <t>27.2.1</t>
  </si>
  <si>
    <t>350200700</t>
  </si>
  <si>
    <t>Clústeres asistidos en la implementación de los planes de acción</t>
  </si>
  <si>
    <t>27.4</t>
  </si>
  <si>
    <t>Servicio de asistencia técnica a las Mipymes para el acceso a nuevos mercados</t>
  </si>
  <si>
    <t>27.4.1</t>
  </si>
  <si>
    <t>350202200</t>
  </si>
  <si>
    <t>Empresas asistidas técnicamente</t>
  </si>
  <si>
    <t>201663000-0056</t>
  </si>
  <si>
    <t xml:space="preserve">Fortalecimiento del sector empresarial  hacia mercados globales en el Departamento del Quindío .   </t>
  </si>
  <si>
    <t>27.7</t>
  </si>
  <si>
    <t>Documentos de planeación</t>
  </si>
  <si>
    <t>27.7.1</t>
  </si>
  <si>
    <t>350204700</t>
  </si>
  <si>
    <t>Documentos de planeación elaborados</t>
  </si>
  <si>
    <t>27.5</t>
  </si>
  <si>
    <t>Servicio de asistencia técnica a los entes territoriales para el desarrollo turístico</t>
  </si>
  <si>
    <t>27.5.1</t>
  </si>
  <si>
    <t>350203900</t>
  </si>
  <si>
    <t>201663000-0059</t>
  </si>
  <si>
    <t>Fortalecimiento de la oferta de prestadores de servicos, productos y atractivos turísticos en el Departamento del Quindío</t>
  </si>
  <si>
    <t>27.5.2</t>
  </si>
  <si>
    <t>350203910</t>
  </si>
  <si>
    <t>Proyectos de infraestructura turística apoyados</t>
  </si>
  <si>
    <t>27.6</t>
  </si>
  <si>
    <t>Servicio de promoción turística</t>
  </si>
  <si>
    <t>27.6.1</t>
  </si>
  <si>
    <t>350204600</t>
  </si>
  <si>
    <t>Campañas realizadas</t>
  </si>
  <si>
    <t>201663000-0062</t>
  </si>
  <si>
    <t>Apoyo a la promoción nacional e internacional como destino  turísmo del Departamento del Quindío</t>
  </si>
  <si>
    <t>Generación y formalización del empleo. "Tú y yo con empleo de calidad"</t>
  </si>
  <si>
    <t>28.1</t>
  </si>
  <si>
    <t>Servicios de apoyo financiero para la creación de empresas</t>
  </si>
  <si>
    <t>28.1.1</t>
  </si>
  <si>
    <t>Planes de negocio financiados</t>
  </si>
  <si>
    <t>201663000-0053</t>
  </si>
  <si>
    <t>Apoyo al emprendimiento, empresarismo, asociatividad y generación de empleo en el departamento del Quindío</t>
  </si>
  <si>
    <t>28.4</t>
  </si>
  <si>
    <t>Servicio de asesoría técnica para el emprendimiento.</t>
  </si>
  <si>
    <t>28.4.1</t>
  </si>
  <si>
    <t>Emprendimientos fortalecidos</t>
  </si>
  <si>
    <t>28.2</t>
  </si>
  <si>
    <t>28.2.1</t>
  </si>
  <si>
    <t>Talleres de oferta institucional realizados</t>
  </si>
  <si>
    <t>28.3</t>
  </si>
  <si>
    <t>Servicio de información y monitoreo del mercado de trabajo</t>
  </si>
  <si>
    <t>28.3.1</t>
  </si>
  <si>
    <t>360203000</t>
  </si>
  <si>
    <t>Reportes realizados</t>
  </si>
  <si>
    <t xml:space="preserve">312 SECRETARÍA DE AGRICULTURA, DESARROLLO RURAL Y MEDIO AMBIENTE </t>
  </si>
  <si>
    <t>Inclusión productiva de pequeños productores rurales. "Tú y yo con oportunidades para el pequeño campesino"</t>
  </si>
  <si>
    <t>4.3</t>
  </si>
  <si>
    <t>Servicio de asesoría para el fortalecimiento de la asociatividad</t>
  </si>
  <si>
    <t>4.3.1</t>
  </si>
  <si>
    <t>170201100</t>
  </si>
  <si>
    <t>Asociaciones fortalecidas</t>
  </si>
  <si>
    <t>201663000-0075</t>
  </si>
  <si>
    <t xml:space="preserve">Fomento al emprendimiento y  al empleo rural en el Departamento del Quindío  </t>
  </si>
  <si>
    <t>4.1</t>
  </si>
  <si>
    <t>Servicio de apoyo financiero para proyectos productivos</t>
  </si>
  <si>
    <t>4.1.1</t>
  </si>
  <si>
    <t>170200700</t>
  </si>
  <si>
    <t>Proyectos productivos cofinanciados</t>
  </si>
  <si>
    <t>4.5</t>
  </si>
  <si>
    <t>Servicio de apoyo para el fomento organizativo de la agricultura campesina, familiar y comunitaria</t>
  </si>
  <si>
    <t>4.5.1</t>
  </si>
  <si>
    <t>170201700</t>
  </si>
  <si>
    <t>Productores agropecuarios apoyados</t>
  </si>
  <si>
    <t>8. Agropecuario</t>
  </si>
  <si>
    <t>201663000-0079</t>
  </si>
  <si>
    <t>Fomento a la agricultura familiar , urbana y  mercados campesinos para la soberanía y  Seguridad alimentaria en el Departamento del Quindío</t>
  </si>
  <si>
    <t>4.10</t>
  </si>
  <si>
    <t>Servicio de apoyo a la comercialización</t>
  </si>
  <si>
    <t>4.10.1</t>
  </si>
  <si>
    <t>170203800</t>
  </si>
  <si>
    <t>Organizaciones de productores formales apoyadas</t>
  </si>
  <si>
    <t>201663000-0078</t>
  </si>
  <si>
    <t>Fortalecimiento a la competitividad productiva y empresarial del sector rural en el Departamento del Quindío</t>
  </si>
  <si>
    <t>4.10.2</t>
  </si>
  <si>
    <t>170203801</t>
  </si>
  <si>
    <t>Productores apoyados para la participación en mercados campesinos</t>
  </si>
  <si>
    <t>4.7</t>
  </si>
  <si>
    <t>4.7.1</t>
  </si>
  <si>
    <t>170202301</t>
  </si>
  <si>
    <t>Planes de Desarrollo Agropecuario y Rural elaborados</t>
  </si>
  <si>
    <t>Implementación de procesos de extensión agropecuaria e inocuidad (estatus sanitario, BPA, BPG) alimentaria; en el Departamento del Quindío</t>
  </si>
  <si>
    <t>4.8</t>
  </si>
  <si>
    <t>Servicios de acompañamiento en la implementación de planes de desarrollo agropecuario y rural</t>
  </si>
  <si>
    <t>4.8.1</t>
  </si>
  <si>
    <t>170202400</t>
  </si>
  <si>
    <t>Planes de Desarrollo Agropecuario y Rural acompañados</t>
  </si>
  <si>
    <t>4.4</t>
  </si>
  <si>
    <t>Servicio de apoyo para el acceso a maquinaria y equipos</t>
  </si>
  <si>
    <t>4.4.1</t>
  </si>
  <si>
    <t>170201400</t>
  </si>
  <si>
    <t>Productores beneficiados con acceso a maquinaria y equipo</t>
  </si>
  <si>
    <t>202000363-0014</t>
  </si>
  <si>
    <t>Implementación de procesos productivos agropecuarios familiares campesinos en busca de la soberanía y seguridad alimentaria en el Departamento del Quindío</t>
  </si>
  <si>
    <t>Servicio de apoyo para el fomento organizativo de la Agricultura Campesina, Familiar y Comunitaria</t>
  </si>
  <si>
    <t>4.6</t>
  </si>
  <si>
    <t>Servicio de acompañamiento productivo y empresarial</t>
  </si>
  <si>
    <t>4.6.1</t>
  </si>
  <si>
    <t>170202100</t>
  </si>
  <si>
    <t>Unidades productivas beneficiadas</t>
  </si>
  <si>
    <t>4.9</t>
  </si>
  <si>
    <t>Servicio de apoyo en la formulación y estructuración de proyectos</t>
  </si>
  <si>
    <t>4.9.1</t>
  </si>
  <si>
    <t>170202500</t>
  </si>
  <si>
    <t>Proyectos estructurados</t>
  </si>
  <si>
    <t>202000363-0015</t>
  </si>
  <si>
    <t xml:space="preserve">Implementación de procesos de agro industrialización con calidad e inocuidad en el Departamento del Quindío </t>
  </si>
  <si>
    <t>Servicios financieros y gestión del riesgo para las actividades agropecuarias y rurales. "Tú y yo con un campo protegido"</t>
  </si>
  <si>
    <t>5.1</t>
  </si>
  <si>
    <t>Servicio de apoyo a la implementación de mecanismos y herramientas para el conocimiento, reducción y manejo de riesgos agropecuarios</t>
  </si>
  <si>
    <t>5.1.1</t>
  </si>
  <si>
    <t>170301300</t>
  </si>
  <si>
    <t>Personas beneficiadas</t>
  </si>
  <si>
    <t>Ordenamiento social y uso productivo del territorio rural. "Tú y yo con un campo planificado"</t>
  </si>
  <si>
    <t>6.1</t>
  </si>
  <si>
    <t>Documentos de lineamientos técnicos</t>
  </si>
  <si>
    <t>6.1.1</t>
  </si>
  <si>
    <t>170400203</t>
  </si>
  <si>
    <t>Documentos de lineamientos para el ordenamiento social y productivo elaborados</t>
  </si>
  <si>
    <t>202000363-0016</t>
  </si>
  <si>
    <t>Implementación de procesos de ordenamiento productivo y social territorial</t>
  </si>
  <si>
    <t>6.2</t>
  </si>
  <si>
    <t>Servicio de apoyo para el fomento de la formalidad</t>
  </si>
  <si>
    <t>6.2.1</t>
  </si>
  <si>
    <t>170401700</t>
  </si>
  <si>
    <t xml:space="preserve">Personas sensibilizadas en la formalización </t>
  </si>
  <si>
    <t>Aprovechamiento de mercados externos. "Tú y yo a los mercados internacionales"</t>
  </si>
  <si>
    <t>7.1</t>
  </si>
  <si>
    <t>Servicio de apoyo financiero para la participación en ferias nacionales e internacionales</t>
  </si>
  <si>
    <t>7.1.1</t>
  </si>
  <si>
    <t>170600400</t>
  </si>
  <si>
    <t>Participaciones en ferias nacionales e internacionales</t>
  </si>
  <si>
    <t>Sanidad agropecuaria e inocuidad agroalimentaria. "Tú y yo con un agro saludable"</t>
  </si>
  <si>
    <t>8.1</t>
  </si>
  <si>
    <t>Servicio de divulgación y socialización</t>
  </si>
  <si>
    <t>8.1.1</t>
  </si>
  <si>
    <t>170706900</t>
  </si>
  <si>
    <t>Eventos realizados</t>
  </si>
  <si>
    <t>Ciencia, tecnología e innovación agropecuaria. "Tú y yo con un agro interconectado"</t>
  </si>
  <si>
    <t>9.1</t>
  </si>
  <si>
    <t>9.1.1</t>
  </si>
  <si>
    <t>170801600</t>
  </si>
  <si>
    <t>Documentos de lineamientos técnicos elaborados</t>
  </si>
  <si>
    <t>202000363-0017</t>
  </si>
  <si>
    <t xml:space="preserve">Implementación de procesos de innovación, ciencia y tecnología agropecuario en el Departamento del Quindío </t>
  </si>
  <si>
    <t>10.1</t>
  </si>
  <si>
    <t>Centros logísticos agropecuarios adecuados</t>
  </si>
  <si>
    <t>10.1.1</t>
  </si>
  <si>
    <t>170901900</t>
  </si>
  <si>
    <t>Implementación de procesos de agro industrialización con calidad e inocuidad en el Departamento del Quindío</t>
  </si>
  <si>
    <t>10.2</t>
  </si>
  <si>
    <t>Infraestructura de pos cosecha adecuada</t>
  </si>
  <si>
    <t>10.2.1</t>
  </si>
  <si>
    <t>170903400</t>
  </si>
  <si>
    <t>Crecimiento económico del sector agropecuario (PIB)
Tasa desempleo</t>
  </si>
  <si>
    <t>27.3</t>
  </si>
  <si>
    <t>Servicio de asistencia técnica para emprendedores y/o empresas en edad temprana</t>
  </si>
  <si>
    <t>27.3.1</t>
  </si>
  <si>
    <t>350201701</t>
  </si>
  <si>
    <t xml:space="preserve">Necesidades empresariales atendidas a partir de emprendimientos </t>
  </si>
  <si>
    <t>Servicio de asistencia técnica para el desarrollo de iniciativas clústeres</t>
  </si>
  <si>
    <t>3201</t>
  </si>
  <si>
    <t>Fortalecimiento del desempeño ambiental de los sectores productivos. "Tú y yo guardianes de la biodiversidad.</t>
  </si>
  <si>
    <t>20.2</t>
  </si>
  <si>
    <t>Documentos de lineamientos técnicos para mejorar la calidad ambiental de las áreas urbanas</t>
  </si>
  <si>
    <t>20.2.1</t>
  </si>
  <si>
    <t>320101300</t>
  </si>
  <si>
    <t>10. Ambiental</t>
  </si>
  <si>
    <t>202000363-0018</t>
  </si>
  <si>
    <t xml:space="preserve">Fortalecimiento de los procesos de gestión ambiental urbana y rural para la protección del paisaje y la biodiversidad en el Departamento del Quindío </t>
  </si>
  <si>
    <t>21.2</t>
  </si>
  <si>
    <t>Servicio apoyo financiero para la implementación de esquemas de pago por servicio ambientales</t>
  </si>
  <si>
    <t>21.2.1</t>
  </si>
  <si>
    <t>320201700</t>
  </si>
  <si>
    <t>201663000-0067</t>
  </si>
  <si>
    <t>Gestón integral de cuencas hidrográficas en el Departamento del Quindío</t>
  </si>
  <si>
    <t>21.4</t>
  </si>
  <si>
    <t>Servicio de recuperación de cuerpos de agua lénticos y lóticos</t>
  </si>
  <si>
    <t>21.4.1</t>
  </si>
  <si>
    <t>320203704</t>
  </si>
  <si>
    <t>Bosque ripario recuperado</t>
  </si>
  <si>
    <t>201663000-0068</t>
  </si>
  <si>
    <t>Aplicación de mecanismos de protección ambiental en el Departamento del Quindío</t>
  </si>
  <si>
    <t>21.7</t>
  </si>
  <si>
    <t>21.7.1</t>
  </si>
  <si>
    <t xml:space="preserve">Numero de Hectáreas intervenidas </t>
  </si>
  <si>
    <t>21.5</t>
  </si>
  <si>
    <t xml:space="preserve">Estrategia  departamental para la protección y bienestar de los animales domésticos y silvestres del Departamento </t>
  </si>
  <si>
    <t>21.5.1</t>
  </si>
  <si>
    <t>Estrategia  para la protección y bienestar de los animales domésticos y silvestres adoptada</t>
  </si>
  <si>
    <t>202000363-0019</t>
  </si>
  <si>
    <t>Apoyo a la generación de entornos  amigables para nuestros animales en el departamento del Quindío</t>
  </si>
  <si>
    <t>21.6</t>
  </si>
  <si>
    <t>Realizar  campaña  de sensibilización y apropiación del patrimonio ambiental en el Departamento</t>
  </si>
  <si>
    <t>21.6.1</t>
  </si>
  <si>
    <t>Campaña  de sensibilización y apropiación del patrimonio ambiental realizada</t>
  </si>
  <si>
    <t>201663000-0069</t>
  </si>
  <si>
    <t>Fortalecimiento  y potencialización de los servicios ecosistemicos en el Departamento del Quindío</t>
  </si>
  <si>
    <t>3204</t>
  </si>
  <si>
    <t>Gestión de la información y el conocimiento ambiental. "Tú y yo conscientes con la naturaleza"</t>
  </si>
  <si>
    <t>22.1</t>
  </si>
  <si>
    <t>Servicio de apoyo financiero a emprendimientos</t>
  </si>
  <si>
    <t>22.1.1</t>
  </si>
  <si>
    <t>320401200</t>
  </si>
  <si>
    <t xml:space="preserve">Emprendimientos apoyados </t>
  </si>
  <si>
    <t>202000363-0020</t>
  </si>
  <si>
    <t xml:space="preserve">Apoyo a nuevos modelos de vida sostenibles, sustentables y eficientes en el suelo rural y urbano en el Departamento del Quindío </t>
  </si>
  <si>
    <t>Obras para estabilización de taludes</t>
  </si>
  <si>
    <t>23.3.1</t>
  </si>
  <si>
    <t>320501000</t>
  </si>
  <si>
    <t>Obras para estabilización de taludes realizadas</t>
  </si>
  <si>
    <t>3206</t>
  </si>
  <si>
    <t>Gestión del cambio climático para un desarrollo bajo en carbono y resiliente al clima. "Tú y yo preparados para el cambio climático"</t>
  </si>
  <si>
    <t>24.2</t>
  </si>
  <si>
    <t>Servicio de producción de plántulas en viveros</t>
  </si>
  <si>
    <t>24.2.1</t>
  </si>
  <si>
    <t>320601400</t>
  </si>
  <si>
    <t>Plántulas producidas</t>
  </si>
  <si>
    <t>202000363-0021</t>
  </si>
  <si>
    <t xml:space="preserve">313 DIRECCIÓN OFICINA PRIVADA </t>
  </si>
  <si>
    <t>Fortalecimiento de la Gestión  y Desempeño Institucional</t>
  </si>
  <si>
    <t>45.8</t>
  </si>
  <si>
    <t>Desarrollo de  la Política  de Transparencia, Acceso a la Información Pública y Lucha Contra la Corrupción del Modelo Integrado de Planificación y Gestión MIPG, articulada con el "Pacto por la Integridad , Transparencia y Legalidad" del Gobierno Nacional</t>
  </si>
  <si>
    <t>45.8.1</t>
  </si>
  <si>
    <t>201663000-0082</t>
  </si>
  <si>
    <t>Desarrollar y fortalecer la cultura de la transparencia, participación, buen gobierno  y valores éticos y morales en el Departamento del Quindío</t>
  </si>
  <si>
    <t>45.7</t>
  </si>
  <si>
    <t>Desarrollo e implementación de la estrategia de comunicaciones para la Administración Departamental</t>
  </si>
  <si>
    <t>45.7.1</t>
  </si>
  <si>
    <t>Estrategia de comunicaciones desarrollada e implementada</t>
  </si>
  <si>
    <t>201663000-0081</t>
  </si>
  <si>
    <t>Implementación de  la estrategia de comunicaciones para  la divulgación de  los programas, proyectos,  actividades y servicios del Departamento del Quindío</t>
  </si>
  <si>
    <t>42.4</t>
  </si>
  <si>
    <t>42.4.1</t>
  </si>
  <si>
    <t>Encuentros  ciudadanos realizados.</t>
  </si>
  <si>
    <t>202000363-0022</t>
  </si>
  <si>
    <t>Fortalecimiento de  las capacidades institucionales de la administración departamental del Quindío, para generar condiciones de gobernanza territorial, participación, administración eficiente y transparente.</t>
  </si>
  <si>
    <t xml:space="preserve">314 SECRETARÍA DE EDUCACIÓN </t>
  </si>
  <si>
    <t>Tasa de deserción escolar intra -anual</t>
  </si>
  <si>
    <t>15.13</t>
  </si>
  <si>
    <t>Servicio de fomento para la permanencia en programas de educación formal</t>
  </si>
  <si>
    <t>15.13.1</t>
  </si>
  <si>
    <t>Personas beneficiarias de estrategias de permanencia</t>
  </si>
  <si>
    <t>201663000-0084</t>
  </si>
  <si>
    <t xml:space="preserve">Fortalecimiento de las estrategias para el acceso,  permanencia y seguridad  de los niños, niñas y jóvenes en el  sistema educativo del Departamento del Quindío </t>
  </si>
  <si>
    <t>Tasa de cobertura bruta en transición
Tasa de cobertura bruta en educación básica
Tasa de cobertura en educación media
Tasa de deserción escolar intra-anual
Tasa de repitencia</t>
  </si>
  <si>
    <t>15.9</t>
  </si>
  <si>
    <t>Servicio de apoyo a la permanencia con alimentación escolar</t>
  </si>
  <si>
    <t>15.9.1</t>
  </si>
  <si>
    <t>Beneficiarios de la alimentación escolar</t>
  </si>
  <si>
    <t xml:space="preserve">Tasa de cobertura bruta en educación básica
Tasa de cobertura en educación media
</t>
  </si>
  <si>
    <t>15.22</t>
  </si>
  <si>
    <t>Servicio de apoyo para la implementación de la estrategia educativa del sistema de responsabilidad penal para adolescentes</t>
  </si>
  <si>
    <t>15.22.1</t>
  </si>
  <si>
    <t>Entidades Territoriales certificadas con asistencia técnica para el fortalecimiento de la estrategia educativa del sistema de responsabilidad penal para adolescentes</t>
  </si>
  <si>
    <t>201663000-0086</t>
  </si>
  <si>
    <t>Implementación de estrategias de inclusión para garantizar la atención educativa a población vulnerable en el  Departamento del  Quindío</t>
  </si>
  <si>
    <t>Tasa de cobertura bruta en educación básica
Tasa de cobertura en educación media
Tasa de Analfabetismo
Tasa de deserción escolar intra-anual
Tasa de repitencia</t>
  </si>
  <si>
    <t>15.11</t>
  </si>
  <si>
    <t>Servicio educación formal por modelos educativos flexibles</t>
  </si>
  <si>
    <t>15.11.1</t>
  </si>
  <si>
    <t>Beneficiarios atendidos con modelos educativos flexibles</t>
  </si>
  <si>
    <t xml:space="preserve">Tasa de cobertura bruta en transición
Tasa de cobertura bruta en educación básica
Tasa de cobertura en educación media
</t>
  </si>
  <si>
    <t>15.30</t>
  </si>
  <si>
    <t>Servicio educativo</t>
  </si>
  <si>
    <t>15.30.1</t>
  </si>
  <si>
    <t>Establecimientos educativos en operación</t>
  </si>
  <si>
    <t>201663000-0087</t>
  </si>
  <si>
    <t>201663000-0098</t>
  </si>
  <si>
    <t>Funcionamiento y prestación de servicios del sector educativo del nivel central en el Departamento del Quindío</t>
  </si>
  <si>
    <t>Tasa de cobertura bruta en transición
Tasa de cobertura bruta en educación básica
Tasa de cobertura en educación media
Tasa de Analfabetismo
Tasa de deserción escolar intra-anual
Tasa de repitencia</t>
  </si>
  <si>
    <t>15.2</t>
  </si>
  <si>
    <t>Servicio de asistencia técnica en educación inicial, preescolar, básica y media</t>
  </si>
  <si>
    <t>15.2.1</t>
  </si>
  <si>
    <t>Entidades y organizaciones asistidas técnicamente</t>
  </si>
  <si>
    <t>201663000-0090</t>
  </si>
  <si>
    <t>Mejoramiento de ambientes escolares y  fortalecimiento de modelos educativos articuladores de la ciencia, los lenguajes, las artes y el deporte en el Departamento del Quindío</t>
  </si>
  <si>
    <t>15.18</t>
  </si>
  <si>
    <t>Servicios de asistencia técnica en innovación educativa en la educación inicial, preescolar, básica y media</t>
  </si>
  <si>
    <t>15.18.1</t>
  </si>
  <si>
    <t>Instituciones educativas asistidas técnicamente en innovación educativa</t>
  </si>
  <si>
    <t xml:space="preserve">Tasa de cobertura bruta en transición
Tasa de cobertura bruta en educación básica
Tasa de cobertura en educación media 
Tasa de deserción escolar intra-anual </t>
  </si>
  <si>
    <t>Servicio de acondicionamiento de ambientes de aprendizaje</t>
  </si>
  <si>
    <t>15.8.1</t>
  </si>
  <si>
    <t>Ambientes de aprendizaje en funcionamiento</t>
  </si>
  <si>
    <t>201663000-0093</t>
  </si>
  <si>
    <t>Mejoramiento de estrategias que permitan una mayor eficiencia en la gestión de procesos y proyectos de las instituciones educativas del Departamento del Quindío</t>
  </si>
  <si>
    <t>201663000-0095</t>
  </si>
  <si>
    <t xml:space="preserve">Fortalecimiento de los niveles de educación  básica y media para la articulación con la educación terciaria en el Departamento del Quindío </t>
  </si>
  <si>
    <t>Tasa de cobertura bruta en transición</t>
  </si>
  <si>
    <t>15.16</t>
  </si>
  <si>
    <t>Servicio de atención integral para la primera infancia</t>
  </si>
  <si>
    <t>15.16.1</t>
  </si>
  <si>
    <t>Instituciones educativas oficiales que implementan el nivel preescolar en el marco de la atención integral</t>
  </si>
  <si>
    <t>201663000-0101</t>
  </si>
  <si>
    <t xml:space="preserve">Implementación del modelo de atención integral de la educación inicial en el Departamento del  Quindío </t>
  </si>
  <si>
    <t>15.20</t>
  </si>
  <si>
    <t>Servicio de accesibilidad a contenidos web para fines pedagógicos</t>
  </si>
  <si>
    <t>15.20.2</t>
  </si>
  <si>
    <t>Establecimientos educativos conectados a internet</t>
  </si>
  <si>
    <t>201663000-0097</t>
  </si>
  <si>
    <t xml:space="preserve">Fortalecimiento de las herramientas tecnológicas en las Instituciones Educativas del Departamento del Quindío </t>
  </si>
  <si>
    <t>15.20.1</t>
  </si>
  <si>
    <t>Estudiantes con acceso a contenidos web en el establecimiento educativo</t>
  </si>
  <si>
    <t>Porcentaje de estudiantes de grado 11 con dominio de inglés a nivel B1 (preintermedio)</t>
  </si>
  <si>
    <t>15.14</t>
  </si>
  <si>
    <t>15.14.1</t>
  </si>
  <si>
    <t>Estudiantes beneficiados con estrategias de promoción del bilingüismo</t>
  </si>
  <si>
    <t>202000363-0023</t>
  </si>
  <si>
    <t>Fortalecer las competencias comunicativas en lengua extranjera en estudiantes y docentes de las instituciones educativas oficiales del Departamento del Quindío</t>
  </si>
  <si>
    <t>15.14.2</t>
  </si>
  <si>
    <t>Instituciones educativas fortalecidas en competencias comunicativas en un segundo idioma</t>
  </si>
  <si>
    <t>15.23</t>
  </si>
  <si>
    <t>Servicio educativo de promoción del bilingüismo para docentes</t>
  </si>
  <si>
    <t>15.23.1</t>
  </si>
  <si>
    <t>Docentes beneficiados con estrategias de promoción del bilingüismo</t>
  </si>
  <si>
    <t>15.6</t>
  </si>
  <si>
    <t>Servicio de monitoreo y seguimiento a la gestión del sector educativo</t>
  </si>
  <si>
    <t>15.6.1</t>
  </si>
  <si>
    <t>Entidades territoriales con seguimiento y evaluación a la gestión.</t>
  </si>
  <si>
    <t>202000363-0024</t>
  </si>
  <si>
    <t>Fortalecimiento de la educación media para la articulación con la educación superior o terciaria. "Tú y yo preparados para la educación superior"</t>
  </si>
  <si>
    <t>Tasa de cobertura en educación superior</t>
  </si>
  <si>
    <t>44.1</t>
  </si>
  <si>
    <t>Servicio de apoyo para el acceso y la permanencia a la educación superior o terciaria</t>
  </si>
  <si>
    <t>44.1.1</t>
  </si>
  <si>
    <t>Estrategias o programas de  fomento para  acceso y  permanencia a la educación superior o terciaria implementados</t>
  </si>
  <si>
    <t>Fortalecimiento de los niveles de educación  básica y media para la articulación con la educación terciaria en el Departamento del Quindío</t>
  </si>
  <si>
    <t>2017003630-122</t>
  </si>
  <si>
    <t>Implementación de un fondo de apoyo departamental para el acceso y la permanencia de la educacion técnica, tecnológica y superior en el Departamento del Quindío</t>
  </si>
  <si>
    <t>316 SECRETARÍA DE FAMILIA</t>
  </si>
  <si>
    <t>INCLUSION SOCIAL</t>
  </si>
  <si>
    <t>Salud Pública, "Tú y yo con salud de calidad"</t>
  </si>
  <si>
    <t>Razón de mortalidad materna (por 100.000 nacidos vivos)
Porcentaje de atención institucional del parto.
Tasa  de mujeres de 10 a 14 años que han sido madres o están en embarazo.
Tasa de mujeres de 15 a 19 años que han sido madres o están en embarazo.
Prevalencia de VIH/SIDA en población de 15 a 49 años de edad.
Tasa de mortalidad asociada a VIH/SIDA.
Porcentaje transmisión materno -infantil del VIH.
Cobertura de tratamiento antiretroviral</t>
  </si>
  <si>
    <t>12.6</t>
  </si>
  <si>
    <t xml:space="preserve">Servicio de gestión del riesgo en temas de salud sexual y reproductiva </t>
  </si>
  <si>
    <t>12.6.1</t>
  </si>
  <si>
    <t>Campañas de gestión del riesgo en temas de salud sexual y reproductiva implementadas.</t>
  </si>
  <si>
    <t>202000363-0025</t>
  </si>
  <si>
    <t>Diseño e implementación de campañas para la promoción de la vida y prevención del consumo de sustancias psicoactivas "TU Y YO UNIDOS POR LA VIDA".</t>
  </si>
  <si>
    <t>12.7</t>
  </si>
  <si>
    <t xml:space="preserve">Servicio de gestión del riesgo en temas de trastornos mentales </t>
  </si>
  <si>
    <t>12.7.1</t>
  </si>
  <si>
    <t>Campañas de gestión del riesgo en temas de trastornos mentales implementadas</t>
  </si>
  <si>
    <t>25.1</t>
  </si>
  <si>
    <t>Servicio de educación informal al sector artístico y cultural</t>
  </si>
  <si>
    <t>25.1.1</t>
  </si>
  <si>
    <t>Capacitaciones de educación informal realizadas</t>
  </si>
  <si>
    <t>201663000-0110</t>
  </si>
  <si>
    <t>Desarrollo de acciones encaminadas a la atención integral  de los adolescentes y jóvenes del Departamento del Quindío</t>
  </si>
  <si>
    <t>Desarrollo Integral de Niños, Niñas, Adolescentes y sus Familias. "Tú y yo niños, niñas y adolescentes con desarrollo integral"</t>
  </si>
  <si>
    <t>36.4</t>
  </si>
  <si>
    <t xml:space="preserve">Diseñar e implementar un modelo de atención integral en entornos protectores para la primera infancia </t>
  </si>
  <si>
    <t>36.4.1</t>
  </si>
  <si>
    <t>Modelo de atención integral de entornos protectores implementado</t>
  </si>
  <si>
    <t>201663000-0102</t>
  </si>
  <si>
    <t>Implementación de un modelo de atención integral a niños y niñas en entornos protectores en el Departamento del Quindìo</t>
  </si>
  <si>
    <t xml:space="preserve">Cobertura  en la  implementación y seguimiento de las   Rutas integrales de atención  a la primera infancia </t>
  </si>
  <si>
    <t>36.3</t>
  </si>
  <si>
    <t xml:space="preserve">Implementar y realizar seguimiento a las rutas integrales de atención </t>
  </si>
  <si>
    <t>36.3.1</t>
  </si>
  <si>
    <t xml:space="preserve">Numero de rutas integrales de atención  a la  primera infancia implementadas y con seguimiento </t>
  </si>
  <si>
    <t>Tasa de Violencia Intrafamiliar x 100.000 Habitantes en el Departamento del Quindío.
Tasa de violencia de pareja cuando la víctima está entre los 18 y 28 años 
Tasa de violencia de Género
Tasa de Suicidio  x 100.000 Habitantes en el Departamento del Quindío.
Tasa  de Niños, Niñas y Adolescentes que participan en una actividad remunerada  o no  x cada 100.000 habitantes  en el departamento del Quindío
Tasa  de mujeres de 12 a 14 años que han sido madres o están en embarazo X 100.000 habitantes en el Departamento del Quindío
Cobertura a los grupos de adulto mayor del departamento del Quindío en articulación con los Municipios, en el marco de garantizar estimulación física, cognitiva, emocional y social en bienestar de una vejez activa y saludable</t>
  </si>
  <si>
    <t>36.8</t>
  </si>
  <si>
    <t xml:space="preserve">Implementar la  política pública para la protección, el fortalecimiento y el desarrollo integral de la familia Quindiana </t>
  </si>
  <si>
    <t>36.8.1</t>
  </si>
  <si>
    <t>Política Pública de Familia  implementada</t>
  </si>
  <si>
    <t>201663000-0103</t>
  </si>
  <si>
    <t>Formulación e implementación de  la politica pública  de la familia en el departamento del Quindío</t>
  </si>
  <si>
    <t>.- Tasa de violencia contra niños y niñas o a 5 años       
.- Tasa de violencia contra niños y niñas de 6 a 11 años
.- Tasa de violencia contra niños y niñas de 12 a 17 años
-Tasa de niños, niñas y adolescentes víctimas de violencia sexual  x 100 mil habitantes   en el Departamento del Quindío
-Tasa de suicidios en adolescentes (12 a 17 años)
-Tasa  de Niños, Niñas y Adolescentes que participan en una actividad remunerada  o no  x cada 100.000 habitantes  en el departamento del Quindío
-Tasa  de mujeres de 12 a 14 años que han sido madres o están en embarazo X 100.000 habitantes en el Departamento del Quindío
-Tasa de Consumo de Sustancias Psicoactivas  x 100.000 Habitantes en el Departamento del Quindío.</t>
  </si>
  <si>
    <t>36.7</t>
  </si>
  <si>
    <t>Revisar, ajustar e implementar  la política pública de primera infancia, infancia y adolescencia</t>
  </si>
  <si>
    <t>36.7.1</t>
  </si>
  <si>
    <t xml:space="preserve">Política Pública de Primera Infancia, Infancia y Adolescencia, revisada, ajustada e implementada. </t>
  </si>
  <si>
    <t>201663000-0109</t>
  </si>
  <si>
    <t>Implementación de la política de primera infancia, infancia y adolescencia en el Departamento del Quindío</t>
  </si>
  <si>
    <t>Tasa de Suicidio  x 100.000 Habitantes en el Departamento del Quindío.
Tasa de violencia de pareja cuando la víctima está entre los 18 y 28 años 
Tasa de violencia de Género
Tasa de Violencia Intrafamiliar x 100.000 Habitantes en el Departamento del Quindío.
Tasa de Consumo de Sustancias Psicoactivas  x 100.000 Habitantes en el Departamento del Quindío.
Cobertura de adolescentes y jóvenes atendidos en Post egreso, en los servicios de restablecimiento en la administración de justicia.
Cobertura  de municipios   con  jóvenes en riesgo psicosocial impactados en los  Barrios vulnerables del Departamento del Quindío</t>
  </si>
  <si>
    <t>36.9</t>
  </si>
  <si>
    <t xml:space="preserve">Implementar  la política pública de juventud </t>
  </si>
  <si>
    <t>36.9.1</t>
  </si>
  <si>
    <t>Política Pública de Juventud implementada</t>
  </si>
  <si>
    <t>Tasa de Violencia Intrafamiliar x 100.000 Habitantes en el Departamento del Quindío.
Tasa de violencia de Género</t>
  </si>
  <si>
    <t>36.2</t>
  </si>
  <si>
    <t>Rutas integrales de atención en violencia intrafamiliar y  violencia de género</t>
  </si>
  <si>
    <t>36.2.1</t>
  </si>
  <si>
    <t>Capacitación en activación de las Rutas Integrales de Atención en Violencia Intrafamiliar y de Género, a trabajadores de Supermercados y Tenderos de los Municipios realizadas</t>
  </si>
  <si>
    <t>202000363-0026</t>
  </si>
  <si>
    <t>Diseño e implementación de programa de acompañamiento familiar y comunitario con enfoque preventivo en los tipos de violencias en el Departamento del Quindío "TU Y YO COMPROMETIDOS CON LA FAMILIA"</t>
  </si>
  <si>
    <t>36.1</t>
  </si>
  <si>
    <t>Servicio de divulgación para la promoción y prevención de los derechos de los niños, niñas y adolescentes</t>
  </si>
  <si>
    <t>36.1.1</t>
  </si>
  <si>
    <t>410202200</t>
  </si>
  <si>
    <t xml:space="preserve">Eventos de divulgación realizados </t>
  </si>
  <si>
    <t>202000363-0027</t>
  </si>
  <si>
    <t>Diseño e implementación de programa comunitario para la prevención de los derechos de niños, niñas y adolescentes y su desarrollo integral. "TU Y YO COMPROMETIDOS CON LOS SUEÑOS".</t>
  </si>
  <si>
    <t>Cobertura de adolescentes y jóvenes atendidos en Post egreso, en los servicios de restablecimiento en la administración de justicia.</t>
  </si>
  <si>
    <t>36.6</t>
  </si>
  <si>
    <t>Servicios dirigidos a la atención de niños, niñas, adolescentes y jóvenes, con enfoque pedagógico y restaurativo encaminados a la inclusión social</t>
  </si>
  <si>
    <t>36.6.1</t>
  </si>
  <si>
    <t>Niños, niñas, adolescentes y jóvenes atendidos en los servicios de restablecimiento en la administración de justicia</t>
  </si>
  <si>
    <t>202000363-0028</t>
  </si>
  <si>
    <t>Atención post egreso de adolescentes y jóvenes, en los servicios de restablecimiento en la administración de justicia, con enfoque pedagógico y restaurativo encaminados a la inclusión social del Departamento del Quindío .</t>
  </si>
  <si>
    <t>Servicio de asistencia técnica para fortalecimiento de unidades productivas colectivas para la generación de ingresos</t>
  </si>
  <si>
    <t>37.4.1</t>
  </si>
  <si>
    <t>Unidades productivas colectivas con asistencia técnica</t>
  </si>
  <si>
    <t>Cobertura para la atención al ciudadano migrante a través del plan de atención y de repatriación.</t>
  </si>
  <si>
    <t>37.2</t>
  </si>
  <si>
    <t>Servicio de gestión de oferta social para la población vulnerable</t>
  </si>
  <si>
    <t>37.2.1</t>
  </si>
  <si>
    <t>201663000-0118</t>
  </si>
  <si>
    <t>Implementación del programa  para la atención y acompañamiento  del ciudadano migrante  y de repatriación en el Departamento del Quindío</t>
  </si>
  <si>
    <t>37.1</t>
  </si>
  <si>
    <t>Servicio de acompañamiento familiar y comunitario para la superación de la pobreza</t>
  </si>
  <si>
    <t>37.1.1</t>
  </si>
  <si>
    <t>Comunidades con acompañamiento familiar.</t>
  </si>
  <si>
    <t xml:space="preserve">Cobertura de municipios del departamento con procesos de implementación de proyectos  productivos  para las personas con discapacidad </t>
  </si>
  <si>
    <t>37.3</t>
  </si>
  <si>
    <t>Servicio de apoyo para el fortalecimiento de unidades productivas colectivas para la generación de ingresos</t>
  </si>
  <si>
    <t>37.3.1</t>
  </si>
  <si>
    <t>Unidades productivas colectivas fortalecidas</t>
  </si>
  <si>
    <t>202000363-0029</t>
  </si>
  <si>
    <t>Atención integral a población en condición de discapacidad en los municipios del Departamento del Quindío "TU Y YO JUNTOS EN LA INCLUSIÓN".</t>
  </si>
  <si>
    <t xml:space="preserve">Tasa planes de vida de los cabildos  indígenas construidos e implementados </t>
  </si>
  <si>
    <t>37.5</t>
  </si>
  <si>
    <t xml:space="preserve">Apoyar la construcción e Implementación de los  Planes de vida de los cabildos Indígenas asentados en el Departamento del Quindío </t>
  </si>
  <si>
    <t>37.5.1</t>
  </si>
  <si>
    <t xml:space="preserve">Planes de vida de los cabildos indígenas  construidos  e implementados </t>
  </si>
  <si>
    <t>202000363-0030</t>
  </si>
  <si>
    <t>Apoyo en la construcción e Implementación de los Planes de Vida de los Cabildos y Resguardos indígenas  asentados en el Departamento del Quindío "TU Y YO UNIDOS CON DIGNIDAD".</t>
  </si>
  <si>
    <t>Tasa de  planes de vida de los resguardos  indígenas construidos e implementados</t>
  </si>
  <si>
    <t>37.6</t>
  </si>
  <si>
    <t xml:space="preserve">Apoyar la construcción e Implementación de los  Planes de vida de los resguardos indígenas  asentados en el Departamento del Quindío </t>
  </si>
  <si>
    <t>37.6.1</t>
  </si>
  <si>
    <t xml:space="preserve">Planes de vida de los resguardos indígenas  construidos  e implementados </t>
  </si>
  <si>
    <t>37.7</t>
  </si>
  <si>
    <t>37.7.1</t>
  </si>
  <si>
    <t xml:space="preserve">Política Pública para la comunidad negra, afrocolombiana, raizal y palenquera residente en el departamento del Quindío formulada e implementada </t>
  </si>
  <si>
    <t>202000363-0031</t>
  </si>
  <si>
    <t xml:space="preserve">Formulación e implementación de la política pública para la comunidad negra, afrocolombiana, raizal y palenquera residente en el Departamento del Quindío </t>
  </si>
  <si>
    <t>Atención integral de población en situación permanente de desprotección social y/o familiar "Tú y yo con atención integral"</t>
  </si>
  <si>
    <t>38.3</t>
  </si>
  <si>
    <t>4104035</t>
  </si>
  <si>
    <t>Servicios de atención integral a población en condición de discapacidad</t>
  </si>
  <si>
    <t>38.3.1</t>
  </si>
  <si>
    <t xml:space="preserve">Personas atendidas con servicios integrales de atención </t>
  </si>
  <si>
    <t>38.3.2</t>
  </si>
  <si>
    <t xml:space="preserve">Estrategia de rehabilitación basada en la comunidad implementada en los municipios  </t>
  </si>
  <si>
    <t>Cobertura de municipios del departamento del Quindío, con programas de atención a la población habitante de calle.</t>
  </si>
  <si>
    <t>38.2</t>
  </si>
  <si>
    <t>4104026</t>
  </si>
  <si>
    <t>Servicio de articulación de oferta social para la población habitante de calle</t>
  </si>
  <si>
    <t>38.2.1</t>
  </si>
  <si>
    <t xml:space="preserve">Servicio de articulación habitante de calle implementado en los municipios </t>
  </si>
  <si>
    <t>202000363-0032</t>
  </si>
  <si>
    <t xml:space="preserve"> Apoyo en  la articulación de la  oferta social para la población habitante de calle del Departamento del Quindío</t>
  </si>
  <si>
    <t>Tasa de Suicidio  x 100.000 Habitantes en el Departamento del Quindío.
Tasa de Violencia Intrafamiliar x 100.000 Habitantes en el Departamento del Quindío.
Tasa de Consumo de Sustancias Psicoactivas  x 100.000 Habitantes en el Departamento del Quindío.
Tasa de violencia de Género</t>
  </si>
  <si>
    <t>38.7</t>
  </si>
  <si>
    <t>Implementar  la política  pública de diversidad sexual e identidad de género</t>
  </si>
  <si>
    <t>38.7.1</t>
  </si>
  <si>
    <t>Política pública de diversidad sexual implementada.</t>
  </si>
  <si>
    <t>201663000-0125</t>
  </si>
  <si>
    <t>Fomulación e implementación de la politica pública  de diversidad sexual en el Departamento del Quindío</t>
  </si>
  <si>
    <t xml:space="preserve">Tasa de Violencia Intrafamiliar x 100.000 Habitantes en el Departamento del Quindío.
Tasa de violencia de Género
Tasa  de mujeres de 12 a 14 años que han sido madres o están en embarazo X 100.000 habitantes en el Departamento del Quindío
Tasa de participación femenina en cargos de elección popular en el  departamento del Quindío
Cobertura de Asociaciones de mujeres fortalecidas  </t>
  </si>
  <si>
    <t>38.8</t>
  </si>
  <si>
    <t xml:space="preserve">Revisar, ajustar e implementar la política pública de equidad de género para la mujer </t>
  </si>
  <si>
    <t>38.8.1</t>
  </si>
  <si>
    <t>Política pública de la mujer y equidad de género revisada, ajustada e implementada.</t>
  </si>
  <si>
    <t>201663000-0128</t>
  </si>
  <si>
    <t>Implementación de la polìtica pùblica de equidad de género para la mujer en el Departamento del Quindìo</t>
  </si>
  <si>
    <t>38.9</t>
  </si>
  <si>
    <t xml:space="preserve">Formular e implementar la política pública de adulto mayor </t>
  </si>
  <si>
    <t>38.9.1</t>
  </si>
  <si>
    <t xml:space="preserve">Política Pública de Adulto Mayor  formulada e implementada </t>
  </si>
  <si>
    <t>201663000-0129</t>
  </si>
  <si>
    <t xml:space="preserve">Apoyo y bienestar integral a las personas mayores del Departamento del Quindío </t>
  </si>
  <si>
    <t xml:space="preserve">Cobertura a los grupos de adulto mayor del departamento del Quindío en articulación con los Municipios, en el marco de garantizar estimulación física, cognitiva, emocional y social en bienestar de una vejez activa y saludable </t>
  </si>
  <si>
    <t>38.1</t>
  </si>
  <si>
    <t>Servicios de atención y protección integral al adulto mayor</t>
  </si>
  <si>
    <t>38.1.1</t>
  </si>
  <si>
    <t xml:space="preserve">Adultos mayores atendidos con servicios integrales </t>
  </si>
  <si>
    <t>38.5</t>
  </si>
  <si>
    <t>Transferencia estampilla para el bienestar del adulto mayor</t>
  </si>
  <si>
    <t>38.5.1</t>
  </si>
  <si>
    <t>Municipios con recursos transferidos con la estampilla Departamental para el bienestar del adulto mayor</t>
  </si>
  <si>
    <t>Tasa de Suicidio  x 100.000 Habitantes en el Departamento del Quindío.
Tasa de Violencia Intrafamiliar x 100.000 Habitantes en el Departamento del Quindío.
Cobertura de municipios del departamento con procesos de implementación de proyectos  productivos  para las personas con discapacidad</t>
  </si>
  <si>
    <t>38.6</t>
  </si>
  <si>
    <t>Revisar, ajustar e implementar  la política pública de  discapacidad</t>
  </si>
  <si>
    <t>38.6.1</t>
  </si>
  <si>
    <t>201663000-0114</t>
  </si>
  <si>
    <t>Actualización e implementación  de   la política pública departamental de discapacidad  "Capacidad sin Limites" en el Quindío</t>
  </si>
  <si>
    <t xml:space="preserve">Mejorar las condiciones de calidad de vida de la población, el acceso incluyente y equitativo a la oferta de servicios del Estado y la ampliación de oportunidades para los Quindianos. </t>
  </si>
  <si>
    <t>41.2.2</t>
  </si>
  <si>
    <t>Casa de la Mujer Empoderada implementada</t>
  </si>
  <si>
    <t>202000363-0033</t>
  </si>
  <si>
    <t>Implementación de la Casa de la Mujer Empoderada para la promoción a la participación ciudadana de mujeres en escenarios sociales, políticos y el fortalecimiento de la Asociatividad en el departamento del Quindío "TU Y YO  CON LAS MUJERES EMPODERADAS".</t>
  </si>
  <si>
    <t>41.2.3</t>
  </si>
  <si>
    <t>Casa Refugio de la Mujer implementada</t>
  </si>
  <si>
    <t>202000363-0034</t>
  </si>
  <si>
    <t>Implementación de la Casa Refugio de la Mujer del Departamento del Quindío</t>
  </si>
  <si>
    <t>Derechos fundamentales del trabajo y fortalecimiento del diálogo social. "Tú y yo con una niñez protegida"</t>
  </si>
  <si>
    <t>Tasa  de Niños, Niñas y Adolescentes que participan en una actividad remunerada  o no  x cada 100.000 habitantes  en el departamento del Quindío</t>
  </si>
  <si>
    <t>29.1</t>
  </si>
  <si>
    <t>Servicio de educación informal para la prevención integral del trabajo infantil</t>
  </si>
  <si>
    <t>29.1.1</t>
  </si>
  <si>
    <t>360400600</t>
  </si>
  <si>
    <t>Diseño e Implementación de programa comunitario para la prevención de los derechos de niños, niñas y adolescentes y su desarrollo integral. "TU Y YO COMPROMETIDOS CON LOS SUEÑOS".</t>
  </si>
  <si>
    <t>Tasa de participación femenina en cargos de elección popular en el  departamento del Quindío</t>
  </si>
  <si>
    <t>42.8.2</t>
  </si>
  <si>
    <t>Iniciativas para la promoción de la participación femenina en escenarios sociales y políticos implementada.</t>
  </si>
  <si>
    <t xml:space="preserve">318 SECRETARIA DE SALUD </t>
  </si>
  <si>
    <t xml:space="preserve"> INCLUSION SOCIAL Y EQUIDAD</t>
  </si>
  <si>
    <t xml:space="preserve">Inspección, vigilancia y control. "Tú y yo con salud certificada" </t>
  </si>
  <si>
    <t>Mortalidad por diarreica aguda (EDA) menores 5 años (numero de muertes anual)</t>
  </si>
  <si>
    <t>11.19</t>
  </si>
  <si>
    <t>11.19.1</t>
  </si>
  <si>
    <t xml:space="preserve">Modelo de IVC sanitario operando </t>
  </si>
  <si>
    <t>201663000-0132</t>
  </si>
  <si>
    <t>11.2</t>
  </si>
  <si>
    <t>Servicio de concepto sanitario</t>
  </si>
  <si>
    <t>11.2.1</t>
  </si>
  <si>
    <t>Conceptos sanitarios expedidos</t>
  </si>
  <si>
    <t>201663000-0146</t>
  </si>
  <si>
    <t xml:space="preserve">Fortalecimiento de la autoridad sanitaria en el Departamento del Quindío </t>
  </si>
  <si>
    <t>Prevalencia de niños menores de 5 años con desnutrición aguda</t>
  </si>
  <si>
    <t>11.9</t>
  </si>
  <si>
    <t>Servicio de asistencia técnica en inspección, vigilancia y control</t>
  </si>
  <si>
    <t>11.9.1</t>
  </si>
  <si>
    <t>Asistencias técnica en Inspección, Vigilancia y Control realizadas</t>
  </si>
  <si>
    <t>Mortalidad por infección respiratoria aguda (IRA) menores 5 años (numero de muertes anual)</t>
  </si>
  <si>
    <t>11.18</t>
  </si>
  <si>
    <t>11.18.1</t>
  </si>
  <si>
    <t>Municipios con procesos de vigilancia epidemiológica de plaguicidas organofosforados y carbamatos realizados.</t>
  </si>
  <si>
    <t xml:space="preserve">Implementación del modelo operativo de Inspección, Vigilancia y Control IVC sanitario en los municipios de competencia departamental. </t>
  </si>
  <si>
    <t>Mortalidad por dengue (casos)</t>
  </si>
  <si>
    <t>11.15</t>
  </si>
  <si>
    <t>Servicio de promoción, prevención, vigilancia y control de vectores y zoonosis</t>
  </si>
  <si>
    <t>11.15.1</t>
  </si>
  <si>
    <t>Municipios categorías 4, 5 y 6 que formulen y ejecuten real y efectivamente acciones de promoción, prevención, vigilancia y control de vectores y zoonosis realizados</t>
  </si>
  <si>
    <t>Tasa de mortalidad en menores de 1 año (por 1000 nacidos vivos).</t>
  </si>
  <si>
    <t>11.11</t>
  </si>
  <si>
    <t>Servicio de evaluación, aprobación y seguimiento de planes de gestión integral del riesgo</t>
  </si>
  <si>
    <t>11.11.1</t>
  </si>
  <si>
    <t>Informes de evaluación, aprobación y seguimiento de Planes de Gestión Integral de Riesgo realizados</t>
  </si>
  <si>
    <t>Tasa mortalidad en menores de 5 años (por 1.000 nacidos vivos).</t>
  </si>
  <si>
    <t>11.4</t>
  </si>
  <si>
    <t>Servicio de inspección, vigilancia y control</t>
  </si>
  <si>
    <t>11.4.1</t>
  </si>
  <si>
    <t>visitas realizadas</t>
  </si>
  <si>
    <t>11.1</t>
  </si>
  <si>
    <t>11.1.1</t>
  </si>
  <si>
    <t>Documentos técnicos publicados y/o socializados</t>
  </si>
  <si>
    <t>201663000-0148</t>
  </si>
  <si>
    <t>Implementación de programas de promoción social en poblaciones  especiales en el Departamento del Quindío</t>
  </si>
  <si>
    <t>Tasa de violencia de género</t>
  </si>
  <si>
    <t>11.6</t>
  </si>
  <si>
    <t>Servicio de adopción y seguimiento de acciones y medidas especiales</t>
  </si>
  <si>
    <t>11.6.1</t>
  </si>
  <si>
    <t>Acciones y medidas especiales ejecutadas</t>
  </si>
  <si>
    <t>11.5</t>
  </si>
  <si>
    <t>Servicio de análisis de laboratorio</t>
  </si>
  <si>
    <t>11.5.1</t>
  </si>
  <si>
    <t>Análisis realizados</t>
  </si>
  <si>
    <t>201663000-0151</t>
  </si>
  <si>
    <t xml:space="preserve">Fortalecimiento de las actividades de vigilancia y control del laboratorio de salud pública en el Departamento del Quindío </t>
  </si>
  <si>
    <t>Tasa ajustada por edad de mortalidad asociada a cáncer de cuello uterino (por 100.000 mujeres).</t>
  </si>
  <si>
    <t>11.7</t>
  </si>
  <si>
    <t>Servicio de auditoría y visitas inspectivas</t>
  </si>
  <si>
    <t>11.7.1</t>
  </si>
  <si>
    <t>Auditorías y visitas inspectivas realizadas</t>
  </si>
  <si>
    <t>11.4.2</t>
  </si>
  <si>
    <t xml:space="preserve">Informes de los resultados obtenidos en la vigilancia sanitaria </t>
  </si>
  <si>
    <t>Servicio de información de vigilancia epidemiológica</t>
  </si>
  <si>
    <t>11.13.1</t>
  </si>
  <si>
    <t>Informes de evento generados en la vigencia</t>
  </si>
  <si>
    <t>201663000-0152</t>
  </si>
  <si>
    <t>Fortalecimiento del sistema de vigilancia en salud pública en el Departamento del Quindío</t>
  </si>
  <si>
    <t>11.14</t>
  </si>
  <si>
    <t>11.14.1</t>
  </si>
  <si>
    <t>Asistencias técnicas realizadas</t>
  </si>
  <si>
    <t>201663000-0155</t>
  </si>
  <si>
    <t xml:space="preserve">Asistencia técnica para el fortalecimiento de la gestión de las entidades territoriales del Departamento del Quindío </t>
  </si>
  <si>
    <t>Servicio de información para la gestión de la inspección, vigilancia y control sanitario</t>
  </si>
  <si>
    <t>11.16.1</t>
  </si>
  <si>
    <t>Usuarios del sistema</t>
  </si>
  <si>
    <t>201663000-0158</t>
  </si>
  <si>
    <t>Apoyo al proceso del sistema obligatorio de garantía de calidad a los prestadores de salud en el Departamento del Quindío</t>
  </si>
  <si>
    <t>Razón de mortalidad materna (por 100.000 nacidos vivos)</t>
  </si>
  <si>
    <t>11.3</t>
  </si>
  <si>
    <t>Servicio de certificaciones en buenas practicas</t>
  </si>
  <si>
    <t>11.3.1</t>
  </si>
  <si>
    <t>Certificaciones expedidas</t>
  </si>
  <si>
    <t>Porcentaje de atención institucional del parto por personal calificado.</t>
  </si>
  <si>
    <t>Porcentaje de población asegurada al SGSSS</t>
  </si>
  <si>
    <t>11.17</t>
  </si>
  <si>
    <t>Servicios de comunicación y divulgación en inspección, vigilancia y control</t>
  </si>
  <si>
    <t>11.17.1</t>
  </si>
  <si>
    <t>Eventos de rendición de cuentas realizados</t>
  </si>
  <si>
    <t>201663000-0160</t>
  </si>
  <si>
    <t>Apoyo operativo a la inversión social en salud en el Departamento del Quindío</t>
  </si>
  <si>
    <t>Porcentaje de nacidos vivos con 4 o mas controles prenatales</t>
  </si>
  <si>
    <t>11.8</t>
  </si>
  <si>
    <t>Servicio del ejercicio del procedimiento administrativo sancionatorio</t>
  </si>
  <si>
    <t>11.8.1</t>
  </si>
  <si>
    <t xml:space="preserve">Procesos con aplicación del procedimiento administrativo sancionatorio tramitados </t>
  </si>
  <si>
    <t>Porcentaje transmisión materno -infantil del VIH.</t>
  </si>
  <si>
    <t>Servicio de gestión de peticiones, quejas, reclamos y denuncias</t>
  </si>
  <si>
    <t>11.12.1</t>
  </si>
  <si>
    <t>Preguntas Quejas Reclamos y Denuncias Gestionadas</t>
  </si>
  <si>
    <t>11.10</t>
  </si>
  <si>
    <t>Servicio de implementación de estrategias para el fortalecimiento del control social en salud</t>
  </si>
  <si>
    <t>11.10.1</t>
  </si>
  <si>
    <t>Estrategias para el fortalecimiento del control social en salud implementadas</t>
  </si>
  <si>
    <t>Servicio de gestión del riesgo para temas de consumo, aprovechamiento biológico, calidad e inocuidad de los alimentos.</t>
  </si>
  <si>
    <t>12.12.1</t>
  </si>
  <si>
    <t>Campañas de gestión del riesgo para temas de consumo, aprovechamiento biológico, calidad e inocuidad de los alimentos implementadas</t>
  </si>
  <si>
    <t>12.14</t>
  </si>
  <si>
    <t>Servicios de promoción de la salud y prevención de riesgos asociados a condiciones no transmisibles</t>
  </si>
  <si>
    <t>12.14.1</t>
  </si>
  <si>
    <t>Campañas de promoción de la salud y prevención de riesgos asociados a condiciones no transmisibles implementadas</t>
  </si>
  <si>
    <t>Tasa de mortalidad por malaria.</t>
  </si>
  <si>
    <t xml:space="preserve">Servicio de educación informal en temas de salud pública </t>
  </si>
  <si>
    <t>12.4.1</t>
  </si>
  <si>
    <t>201663000-0133</t>
  </si>
  <si>
    <t>Control Salud Ambiental Departamento del Quindío</t>
  </si>
  <si>
    <t>Tasa  de mujeres de 10 a 14 años que han sido madres o están en embarazo.
Tasa de mujeres de 15 a 19 años que han sido madres o están en embarazo.</t>
  </si>
  <si>
    <t>12.16</t>
  </si>
  <si>
    <t xml:space="preserve">Realizar seguimiento y monitoreo a las Entidades Administradoras de Planes Básicos EAPB en la implementación de la Ruta Integral de Atención para la Promoción y Mantenimiento de la Salud y Materno Perinatal en el Departamento  </t>
  </si>
  <si>
    <t>12.16.1</t>
  </si>
  <si>
    <t>Entidades Administradoras de Planes Básicos EAPB con Rutas de obligatorio cumplimiento Implementadas</t>
  </si>
  <si>
    <t>Letalidad por dengue.</t>
  </si>
  <si>
    <t>12.20</t>
  </si>
  <si>
    <t>Formular el Plan de Fortalecimiento de Capacidades en Salud Ambiental en coordinación con el Consejo Territorial de Salud Ambiental COTSA</t>
  </si>
  <si>
    <t>12.20.1</t>
  </si>
  <si>
    <t>12.17</t>
  </si>
  <si>
    <t>Implementar el protocolo de vigilancia sanitaria y ambiental de los efectos en salud relacionados con la contaminación del aire en los 11 municipios de competencia departamental.</t>
  </si>
  <si>
    <t>12.17.1</t>
  </si>
  <si>
    <t>Protocolo implementado</t>
  </si>
  <si>
    <t>Mortalidad por dengue (casos)
Letalidad por dengue.</t>
  </si>
  <si>
    <t>12.19</t>
  </si>
  <si>
    <t>12.19.1</t>
  </si>
  <si>
    <t>Plan Departamental en Salud Ambiental de adaptación al cambio climático implementado</t>
  </si>
  <si>
    <t>12.18</t>
  </si>
  <si>
    <t>Implementar la estrategia de entornos saludables en articulación intersectorial y sectorial en los entornos de vivienda, educativo, institucional y comunitario con énfasis en la Atención Primaria en Salud Ambiental APSA.</t>
  </si>
  <si>
    <t>12.18.1</t>
  </si>
  <si>
    <t xml:space="preserve">Estrategia de entornos saludables en articulación intersectorial y sectorial implementada </t>
  </si>
  <si>
    <t>12.21</t>
  </si>
  <si>
    <t xml:space="preserve">Implementación de la estrategia de movilidad saludable, segura y sostenible </t>
  </si>
  <si>
    <t>12.21.1</t>
  </si>
  <si>
    <t xml:space="preserve">Estrategia de movilidad saludable, segura y sostenible   implementada </t>
  </si>
  <si>
    <t>201663000-0134</t>
  </si>
  <si>
    <t>Fortalecimiento de acciones de intervención inherentes a los derechos sexuales y reproductivos  en el Departamento del Quindío</t>
  </si>
  <si>
    <t xml:space="preserve">Realizar seguimiento y Monitoreo a las Entidades Administradoras de Planes Básicos EAPB en la implementación de la Ruta Integral de Atención para la Promoción y Mantenimiento de la Salud y Materno Perinatal en el Departamento  </t>
  </si>
  <si>
    <t>12.5</t>
  </si>
  <si>
    <t>Servicio de gestión del riesgo en temas de consumo de sustancias psicoactivas</t>
  </si>
  <si>
    <t>12.5.1</t>
  </si>
  <si>
    <t>Campañas de gestión del riesgo en temas de consumo de sustancias psicoactivas implementadas</t>
  </si>
  <si>
    <t>201663000-0135</t>
  </si>
  <si>
    <t>Fortalecimiento, promoción de la salud y prevención primaria en salud mental en el Departamento del Quindío</t>
  </si>
  <si>
    <t>Adaptar e implementar la política pública de salud mental para el Departamento del Quindío</t>
  </si>
  <si>
    <t>12.22.1</t>
  </si>
  <si>
    <t xml:space="preserve">Política pública en Salud Mental adaptada e Implementada  </t>
  </si>
  <si>
    <t>12.8</t>
  </si>
  <si>
    <t>Servicio de gestión del riesgo para abordar condiciones crónicas prevalentes</t>
  </si>
  <si>
    <t>12.8.1</t>
  </si>
  <si>
    <t>Campañas de gestión del riesgo para abordar condiciones crónicas prevalentes implementadas</t>
  </si>
  <si>
    <t>201663000-0138</t>
  </si>
  <si>
    <t xml:space="preserve">Control y vigilancia en las acciones de condiciones no transmisibles y promoción de estilos de vida saludable en el Quindío  </t>
  </si>
  <si>
    <t>Cobertura de vacunación con DPT en menores de 1 año
Cobertura de vacunación con Triple Viral en niños de 1 año
Cobertura útil con esquema completo de vacunación para la edad (triple viral a los 5 años)</t>
  </si>
  <si>
    <t>12.1</t>
  </si>
  <si>
    <t>Cuartos fríos adecuados</t>
  </si>
  <si>
    <t>12.1.1</t>
  </si>
  <si>
    <t>201663000-0139</t>
  </si>
  <si>
    <t>Fortalecimiento de las acciones de la prevención y protección en la población infantil en el Departamento del Quindío</t>
  </si>
  <si>
    <t>Cobertura útil con esquema completo de vacunación para la edad (triple viral a los 5 años)
Mortalidad por infección respiratoria aguda (IRA) menores 5 años (numero de muertes anual)
Mortalidad por diarreica aguda (EDA) menores 5 años (numero de muertes anual)
Tasa de mortalidad por malaria.</t>
  </si>
  <si>
    <t>12.10</t>
  </si>
  <si>
    <t>Servicio de gestión del riesgo para enfermedades emergentes, reemergentes y desatendidas</t>
  </si>
  <si>
    <t>12.10.1</t>
  </si>
  <si>
    <t>Campañas de gestión del riesgo para enfermedades emergentes, reemergentes y desatendidas implementadas.</t>
  </si>
  <si>
    <t>12.11</t>
  </si>
  <si>
    <t>Servicio de gestión del riesgo para enfermedades inmunoprevenibles</t>
  </si>
  <si>
    <t>12.11.1</t>
  </si>
  <si>
    <t>Campañas de gestión del riesgo para enfermedades inmunoprevenibles  implementadas</t>
  </si>
  <si>
    <t>Mortalidad por dengue (casos) 
Letalidad por dengue.</t>
  </si>
  <si>
    <t>Formulación e implementación del plan departamental en salud Ambiental de adaptación al cambio climático.</t>
  </si>
  <si>
    <t>201663000-0141</t>
  </si>
  <si>
    <t xml:space="preserve">Fortalecimiento de estrategia de gestión integral, vectores, cambio climático y zoonosis en el Departamento  del Quindío </t>
  </si>
  <si>
    <t>12.2</t>
  </si>
  <si>
    <t>12.2.1</t>
  </si>
  <si>
    <t>201663000-0142</t>
  </si>
  <si>
    <t xml:space="preserve">Fortalecimiento de la inclusión social para la disminución de riesgos de contraer enfermedades transmisibles  en el Departamento del Quindío </t>
  </si>
  <si>
    <t>Servicio de gestión del riesgo para enfermedades emergentes, reemergentes y desatendidas.</t>
  </si>
  <si>
    <t>202000363-0002</t>
  </si>
  <si>
    <t>Tu y Yo Contra  - COVID</t>
  </si>
  <si>
    <t>12.13</t>
  </si>
  <si>
    <t>Servicios de atención en salud pública en situaciones de emergencias y desastres</t>
  </si>
  <si>
    <t>12.13.1</t>
  </si>
  <si>
    <t>Personas en capacidad de ser atendidas</t>
  </si>
  <si>
    <t>201663000-0143</t>
  </si>
  <si>
    <t>Prevención en emergencias y desastres de eventos relacionados con la salud pública en el Departamento del  Quindío</t>
  </si>
  <si>
    <t>12.9</t>
  </si>
  <si>
    <t>Servicio de gestión del riesgo para abordar situaciones prevalentes de origen laboral</t>
  </si>
  <si>
    <t>12.9.1</t>
  </si>
  <si>
    <t>Campañas de gestión del riesgo para abordar situaciones prevalentes de origen laboral implementadas</t>
  </si>
  <si>
    <t>201663000-0145</t>
  </si>
  <si>
    <t xml:space="preserve"> Prevención vigilancia y control de eventos de origen laboral en el Departamento del Quindío</t>
  </si>
  <si>
    <t>12.3.1</t>
  </si>
  <si>
    <t xml:space="preserve">Documentos de planeación en epidemiología y demografía elaborados </t>
  </si>
  <si>
    <t>Porcentaje de atención institucional del parto.</t>
  </si>
  <si>
    <t>12.15</t>
  </si>
  <si>
    <t>Centros reguladores de urgencias, emergencias y desastres funcionando y dotados</t>
  </si>
  <si>
    <t>12.15.1</t>
  </si>
  <si>
    <t>Centros reguladores de urgencias, emergencias y desastres dotados y funcionando.</t>
  </si>
  <si>
    <t>201663000-0157</t>
  </si>
  <si>
    <t xml:space="preserve">Fortalecimiento de la red de urgencias y emergencias en el Departamento del Quindío </t>
  </si>
  <si>
    <t>201663000-0150</t>
  </si>
  <si>
    <t>13.7</t>
  </si>
  <si>
    <t>Servicio de promoción de afiliaciones al régimen contributivo del Sistema General de Seguridad Social de las personas con capacidad de pago</t>
  </si>
  <si>
    <t>13.7.1</t>
  </si>
  <si>
    <t>Personas con capacidad de pago afiliadas</t>
  </si>
  <si>
    <t>201663000-0153</t>
  </si>
  <si>
    <t>Subsidio afiliación al régimen subsidiado del Sistema General de Seguridad Social en Salud en el Departamento del Quindío</t>
  </si>
  <si>
    <t>Cobertura de tratamiento antiretroviral</t>
  </si>
  <si>
    <t>13.8</t>
  </si>
  <si>
    <t>13.8.1</t>
  </si>
  <si>
    <t>Personas afiliadas</t>
  </si>
  <si>
    <t>13.5</t>
  </si>
  <si>
    <t>Servicio de apoyo con tecnologías para prestación de servicios en salud</t>
  </si>
  <si>
    <t>13.5.1</t>
  </si>
  <si>
    <t>Población inimputable atendida</t>
  </si>
  <si>
    <t>201663000-0154</t>
  </si>
  <si>
    <t xml:space="preserve">Prestación de Servicios a la Población no Afiliada al Sistema General de Seguridad Social en Salud  y en los no POS  a la Población Afiliada al Régimen Subsidiado.
</t>
  </si>
  <si>
    <t>13.5.2</t>
  </si>
  <si>
    <t>Pacientes atendidos</t>
  </si>
  <si>
    <t>Servicios de reconocimientos para el cumplimiento de metas de calidad, financiera, producción y transferencias especiales.</t>
  </si>
  <si>
    <t>13.9.1</t>
  </si>
  <si>
    <t>Porcentaje de recursos transferidos</t>
  </si>
  <si>
    <t>13.10</t>
  </si>
  <si>
    <t>Servicios de reconocimientos de deuda</t>
  </si>
  <si>
    <t>13.10.1</t>
  </si>
  <si>
    <t>Porcentaje de recursos pagados</t>
  </si>
  <si>
    <t>Tasa de mujeres de 15 a 19 años que han sido madres o están en embarazo.</t>
  </si>
  <si>
    <t>13.6</t>
  </si>
  <si>
    <t>Servicio de asistencia técnica a Instituciones prestadoras de servicios de salud</t>
  </si>
  <si>
    <t>13.6.1</t>
  </si>
  <si>
    <t>Instituciones Prestadoras de Servicios de salud asistidas técnicamente</t>
  </si>
  <si>
    <t>201663000-0159</t>
  </si>
  <si>
    <t>Fortalecimiento de la red de prestación de servicios pública  del Departamento del Quindío</t>
  </si>
  <si>
    <t>Facilitar el acceso y uso de las Tecnologías de la Información y las Comunicaciones en todo el departamento del Quindio. "Tú y yo somos ciudadanos TIC"</t>
  </si>
  <si>
    <t>Tasa de crecimiento de puntos de acceso a internet gratis 
Índice Departamental de Competitividad
Tasa de Desempleo</t>
  </si>
  <si>
    <t>16.4</t>
  </si>
  <si>
    <t>Servicio de acceso y uso de tecnologías de la información y las comunicaciones</t>
  </si>
  <si>
    <t>16.4.2</t>
  </si>
  <si>
    <t>Soluciones de conectividad en instituciones públicas instaladas</t>
  </si>
  <si>
    <t>202000363-0035</t>
  </si>
  <si>
    <t>Fortalecimiento  y apoyo a las tecnologías de la información de las comunicaciones en el departamento del Quindío</t>
  </si>
  <si>
    <t>Nivel de avance alto en el Índice de Gobierno digital
Índice Departamental de Competitividad
Tasa de Desempleo</t>
  </si>
  <si>
    <t>Servicio de educación informal en tecnologías de la información y las comunicaciones.</t>
  </si>
  <si>
    <t>16.5.1</t>
  </si>
  <si>
    <t>Personas capacitadas en tecnologías de la información y las comunicaciones</t>
  </si>
  <si>
    <t>Fomento del desarrollo de aplicaciones, software y contenidos para impulsar la apropiación de las Tecnologías de la Información y las Comunicaciones (TIC) "Quindío paraiso empresarial TIC-Quindío TIC"</t>
  </si>
  <si>
    <t>17.8</t>
  </si>
  <si>
    <t>Servicio de promoción de la industria de tecnologías de la información</t>
  </si>
  <si>
    <t>17.8.1</t>
  </si>
  <si>
    <t xml:space="preserve">Eventos para  promoción  de productos y Servicio de la industria TI realizados </t>
  </si>
  <si>
    <t>202000363-0036</t>
  </si>
  <si>
    <t>Fortalecimiento del sector empresarial del departamento del Quindío</t>
  </si>
  <si>
    <t xml:space="preserve">PRODUCTIVIDAD Y COMPETITIVIDAD </t>
  </si>
  <si>
    <t>3903</t>
  </si>
  <si>
    <t xml:space="preserve">Desarrollo tecnológico e innovación para el crecimiento empresarial </t>
  </si>
  <si>
    <t>Tasa de crecimiento de empresas en el sector productivo transformadas digitalmente</t>
  </si>
  <si>
    <t>31.1</t>
  </si>
  <si>
    <t>Servicio de apoyo para la transferencia de conocimiento y tecnología</t>
  </si>
  <si>
    <t>31.1.1</t>
  </si>
  <si>
    <t>Nuevas tecnologías adoptadas</t>
  </si>
  <si>
    <t>201663000-0001</t>
  </si>
  <si>
    <t>Apoyo a la estrategia de gobierno en linea en el Departamento del Quindío</t>
  </si>
  <si>
    <t>Generación de una cultura que valora y gestiona el conocimiento y la innovación.</t>
  </si>
  <si>
    <t>32.2</t>
  </si>
  <si>
    <t>Servicios de comunicación con enfoque en ciencia tecnología y sociedad</t>
  </si>
  <si>
    <t>32.2.1</t>
  </si>
  <si>
    <t>Juguetes, juegos o videojuegos para la comunicación de la ciencia, tecnología e innovación producidos</t>
  </si>
  <si>
    <t>202000363-0037</t>
  </si>
  <si>
    <t xml:space="preserve">Implementación  y  divulgación de la estratégia    "Quindío innovador y competitivo" </t>
  </si>
  <si>
    <t>Nivel de avance alto en el Índice de Gobierno digital</t>
  </si>
  <si>
    <t>17.6</t>
  </si>
  <si>
    <t>Servicio de educación informal para la implementación de la estrategia de gobierno digital</t>
  </si>
  <si>
    <t>17.6.1</t>
  </si>
  <si>
    <t>Personas capacitadas para la implementación de la Estrategia de Gobierno digital</t>
  </si>
  <si>
    <t>201663000-0004</t>
  </si>
  <si>
    <t>Apoyo a la sostenibilidad de las tecnologías de la información y comunicación de la Gobernación del Quindío</t>
  </si>
  <si>
    <t>17.10</t>
  </si>
  <si>
    <t>Servicio de educación informal en Gestión TI y en Seguridad y Privacidad de la Información</t>
  </si>
  <si>
    <t>17.10.1</t>
  </si>
  <si>
    <t>Personas capacitadas para en Gestión TI y en Seguridad y Privacidad de la Información</t>
  </si>
  <si>
    <t>TOTAL ADMINISTRACIÓN CENTRAL:</t>
  </si>
  <si>
    <t xml:space="preserve">319 INDEPORTES QUINDÍO </t>
  </si>
  <si>
    <t>39.1</t>
  </si>
  <si>
    <t>Servicio de Escuelas Deportivas</t>
  </si>
  <si>
    <t>39.1.1</t>
  </si>
  <si>
    <t>Municipios con Escuelas Deportivas</t>
  </si>
  <si>
    <t>201663000-0163</t>
  </si>
  <si>
    <t>Apoyo al Deporte formativo, deporte social comunitario y juegos  tradicionales en el Departamento del Quindío</t>
  </si>
  <si>
    <t>39.2</t>
  </si>
  <si>
    <t>Servicio de promoción de la actividad física, la recreación y el deporte</t>
  </si>
  <si>
    <t>39.2.1</t>
  </si>
  <si>
    <t>Municipios vinculados al programa Supérate-Intercolegiados</t>
  </si>
  <si>
    <t>39.2.2</t>
  </si>
  <si>
    <t>430103704</t>
  </si>
  <si>
    <t>Municipios implementando  programas de recreación, actividad física y deporte social comunitario</t>
  </si>
  <si>
    <t>201663000-0162</t>
  </si>
  <si>
    <t>Apoyo a los juegos intercolegiados en el Deparrtamento del Quindìo</t>
  </si>
  <si>
    <t>201663000-0164</t>
  </si>
  <si>
    <t xml:space="preserve"> Apoyo a la recreación,  para el bien común en el Departamento del Quindío</t>
  </si>
  <si>
    <t>39.3</t>
  </si>
  <si>
    <t>Formular e  implementar una  política pública para el desarrollo y acceso al deporte, la recreación, la actividad física, la educación física y el uso adecuado del tiempo libre, como ejes de transformación humana y social en el departamento del Quindío</t>
  </si>
  <si>
    <t>39.3.1</t>
  </si>
  <si>
    <t>201663000-0166</t>
  </si>
  <si>
    <t>Apoyo a proyectos deportivos, recreativos y de actividad fisica, en el Departamento del Quindìo</t>
  </si>
  <si>
    <t>201663000-0165</t>
  </si>
  <si>
    <t>Apoyo a la actividad fisica, salud y productiva en el Departamento del Quindío</t>
  </si>
  <si>
    <t>40.2</t>
  </si>
  <si>
    <t>Servicio de asistencia técnica para la promoción del deporte</t>
  </si>
  <si>
    <t>40.2.1</t>
  </si>
  <si>
    <t xml:space="preserve">Organismos deportivos asistidos </t>
  </si>
  <si>
    <t>201663000-0161</t>
  </si>
  <si>
    <t>Apoyo al deporte asociado en el Departamento del Quindío</t>
  </si>
  <si>
    <t>40.2.2</t>
  </si>
  <si>
    <t>Juegos Deportivos Realizados</t>
  </si>
  <si>
    <t>202000363-0038</t>
  </si>
  <si>
    <t>Desarrollo de los  XXII JUEGOS DEPORTIVOS NACIONALES Y VI JUEGOS PARANACIONALES   2023</t>
  </si>
  <si>
    <t xml:space="preserve">320 PROMOTORA DE VIVIENDA </t>
  </si>
  <si>
    <t>201663000-0171</t>
  </si>
  <si>
    <t xml:space="preserve">Apoyo en la formulación y ejecucion de proyectos de vivienda, infraestructura y equipamientos colectivos y comunitarios en el Departamento del Quindío  </t>
  </si>
  <si>
    <t>33.1</t>
  </si>
  <si>
    <t xml:space="preserve">Servicio de asistencia técnica y jurídica en saneamiento y titulación de predios </t>
  </si>
  <si>
    <t>33.1.1</t>
  </si>
  <si>
    <t>400100100</t>
  </si>
  <si>
    <t>Entidades territoriales asistidas técnica y jurídicamente</t>
  </si>
  <si>
    <t xml:space="preserve">7. Vivienda </t>
  </si>
  <si>
    <t>33.4</t>
  </si>
  <si>
    <t>33.4.1</t>
  </si>
  <si>
    <t>400101700</t>
  </si>
  <si>
    <t>Viviendas de Interés Prioritario urbanas construidas</t>
  </si>
  <si>
    <t>33.5</t>
  </si>
  <si>
    <t xml:space="preserve">Viviendas de Interés Prioritario urbanas mejoradas </t>
  </si>
  <si>
    <t>33.5.1</t>
  </si>
  <si>
    <t>400101800</t>
  </si>
  <si>
    <t>Viviendas de Interés Prioritario urbanas mejoradas</t>
  </si>
  <si>
    <t>33.6</t>
  </si>
  <si>
    <t>Estudios de preinversión e inversión</t>
  </si>
  <si>
    <t>33.6.1</t>
  </si>
  <si>
    <t>400103000</t>
  </si>
  <si>
    <t>321 INSTITUTO DEPARTAMENTAL DE TRANSITO</t>
  </si>
  <si>
    <t xml:space="preserve"> TERRITORIO, AMBIENTE Y DESARROLLO SOSTENIBLE</t>
  </si>
  <si>
    <t>Seguridad de Transporte. "Tú y yo seguros en la vía"</t>
  </si>
  <si>
    <t>19.1</t>
  </si>
  <si>
    <t>Formular e Implementar una estrategia de movilidad saludable, segura y sostenible.</t>
  </si>
  <si>
    <t>19.1.1</t>
  </si>
  <si>
    <t xml:space="preserve">Estrategia de movilidad saludable, segura y sostenible  formulada e implementada </t>
  </si>
  <si>
    <t xml:space="preserve">9. Transporte </t>
  </si>
  <si>
    <t>201663000-0172</t>
  </si>
  <si>
    <t>Fortalecimiento de la seguridad vial  en el Departamento del Quindío</t>
  </si>
  <si>
    <t>19.2</t>
  </si>
  <si>
    <t>Formular e Implementar un programa de formación en normas de tránsito y fomento de cultura  de la seguridad en la vía.</t>
  </si>
  <si>
    <t>19.2.1</t>
  </si>
  <si>
    <t>Programa de formación cultural  de la seguridad en la vía formulado e implementado.</t>
  </si>
  <si>
    <t>19.3</t>
  </si>
  <si>
    <t>Formular e Implementar un programa de control, prevención y atención del tránsito y el transporte en los municipios y vías de jurisdicción del IDTQ.</t>
  </si>
  <si>
    <t>19.3.1</t>
  </si>
  <si>
    <t>Programa de control y atención del tránsito y el transporte formulado e implementado</t>
  </si>
  <si>
    <t>19.4</t>
  </si>
  <si>
    <t>Diseñar e Implementar un programa de señalización y demarcación en los municipios y vías de jurisdicción del IDTQ.</t>
  </si>
  <si>
    <t>19.4.1</t>
  </si>
  <si>
    <t>Programa de Señalización y demarcación en los municipios y vías de jurisdicción del IDTQ diseñado e Implementado</t>
  </si>
  <si>
    <t>TOTAL ENTIDADES DESCENTRALIZADAS</t>
  </si>
  <si>
    <t>TOTAL POAI:</t>
  </si>
  <si>
    <t>CÓDIGO BPPIN</t>
  </si>
  <si>
    <t xml:space="preserve">NOMBRE DEL PROYECTO </t>
  </si>
  <si>
    <t>PRESUPUESTO 2020</t>
  </si>
  <si>
    <t>ADMINISTRACIÓN CENTRAL</t>
  </si>
  <si>
    <t>304 -Secretaría Administrativa</t>
  </si>
  <si>
    <t>Formulación e implementación del programa de seguridad y salud en el trabajo, capacitación y bienestar social en el Departamento del Quindio</t>
  </si>
  <si>
    <t>305 Secretaría de Planeación</t>
  </si>
  <si>
    <t>307 Secretaría de Hacienda</t>
  </si>
  <si>
    <t xml:space="preserve"> Mejoramiento de la sostenibilidad de los procesos de fiscalización liquidación control y cobranza de los tributos en el Departamento del Quindío</t>
  </si>
  <si>
    <t xml:space="preserve">Implementación de un programa de gestión fianciera para la optimización de los procesos en el area de tesorería, presupuesto y contabilidad en el Departamento del Quindio </t>
  </si>
  <si>
    <t xml:space="preserve">308 Secretaría de Agua e Infraestructura </t>
  </si>
  <si>
    <t>309 Secretaría del Interior</t>
  </si>
  <si>
    <t>310 Secretaría de Cultura</t>
  </si>
  <si>
    <t xml:space="preserve">311 Secretaría de Turismo, Industria y Comercio </t>
  </si>
  <si>
    <t>312 Secretaría de Agricultura, Desarrollo Rural y Medio Ambiente</t>
  </si>
  <si>
    <t>313 Oficina Privada</t>
  </si>
  <si>
    <t xml:space="preserve">314 Secretaría de Educación - </t>
  </si>
  <si>
    <t>316 Secretaría de Familia</t>
  </si>
  <si>
    <t>318 Secretaría de Salud - 1801- Régimen Subsidiado - 1802 Prestación de Servicios -1803 Salud Pública - 1804 Otros Gastos en Salud</t>
  </si>
  <si>
    <t xml:space="preserve">Fortalecimiento de la red de urgencias y emergencias en el Departamento del Quindio </t>
  </si>
  <si>
    <t xml:space="preserve">324 Secretaría de Tecnologías de la Información y las Comunicaciones </t>
  </si>
  <si>
    <t>ENTIDADES DESCENTRALIZADAS</t>
  </si>
  <si>
    <t>319 Indeportes Quindío</t>
  </si>
  <si>
    <t>202000363-0039</t>
  </si>
  <si>
    <t>Fortalecimiento al deporte competitivo y de altos logros "TU Y    YO SOMOS salvaVIDAS POR UN QUINDIO GANADOR" en el Departamento del Quindio</t>
  </si>
  <si>
    <t>320 Promotora de Vivienda</t>
  </si>
  <si>
    <t xml:space="preserve">321 Instituto Departamental de Transito </t>
  </si>
  <si>
    <t>TOTAL ENTIDADES DESCENTRALIZADAS:</t>
  </si>
  <si>
    <t>GRAN TOTAL:</t>
  </si>
  <si>
    <t>JOSÉ IGNACIO ROJAS SEPÚLVEDA</t>
  </si>
  <si>
    <t>Secretario de Planeación Departamental</t>
  </si>
  <si>
    <t>OBLIGACIONES</t>
  </si>
  <si>
    <t>LINEA ESTRATEGICA</t>
  </si>
  <si>
    <t>TOTAL SECTOR CENTRAL</t>
  </si>
  <si>
    <t>SGP SALÚD PUBLICA - PRESTACIÓN DE SERVICIOS
 (171)(198)(61)(60)</t>
  </si>
  <si>
    <t>OTROS (IVA TELEFONIA MÓVIL  - REGISTRO - LEY 1816 (3% MONOPOLIO LICORES) (DEPORTES) EXTRACCION MATERIAL RIO  (47)</t>
  </si>
  <si>
    <t>NACIÓN  - COFINANCIACIÓN
CONV ANTICONTRABANDO
(111)(107)</t>
  </si>
  <si>
    <t>PRESUPUESTO</t>
  </si>
  <si>
    <t>PENDIENTE DNP</t>
  </si>
  <si>
    <t xml:space="preserve">308 SECRETARÍA DE AGUAS E INFRAESTRUCTURA </t>
  </si>
  <si>
    <t>.Tasa de participación en procesos y actividades artísticas y culturales.
.Tasa de consumo de sustancias sicoactivas por 100.000 habitantes en el departamento del Quindío.</t>
  </si>
  <si>
    <t>400101500</t>
  </si>
  <si>
    <t>.Cobertura en formación artística y cultural
.Tasa de consumo de sustancias sicoactivas por 100.000 habitantes en el departamento del Quindío.</t>
  </si>
  <si>
    <t>.Tasa de lectura
.Tasa de consumo de sustancias sicoactivas por 100.000 habitantes en el departamento del Quindío.</t>
  </si>
  <si>
    <t>Índice Departamental de Competitividad
Tasa desempleo</t>
  </si>
  <si>
    <t>360201800</t>
  </si>
  <si>
    <t>360203201</t>
  </si>
  <si>
    <t>360202904</t>
  </si>
  <si>
    <t xml:space="preserve">Esquemas de Pago por Servicio ambientales implementados </t>
  </si>
  <si>
    <t xml:space="preserve">mecanismos de articulación implementados para la gestión de oferta social </t>
  </si>
  <si>
    <t xml:space="preserve"> I </t>
  </si>
  <si>
    <t>390300501</t>
  </si>
  <si>
    <t>Fortalecimiento, Habitos y estilos de vida saludable como instrumento SALVAVIDAS en el Departamento del Quindio</t>
  </si>
  <si>
    <t>Cobertura de ligas apoyadas en el departamento del Quindío.
Porcentaje de medallería del departamento del Quindío en los Juegos Nacionales.</t>
  </si>
  <si>
    <t>202000363-0040</t>
  </si>
  <si>
    <t>202000363-0113</t>
  </si>
  <si>
    <t>SEPTIEMBRE 30 2020</t>
  </si>
  <si>
    <t>307 SECRETARÍA DE HACIENDA</t>
  </si>
  <si>
    <t>Índice de Desempeño Fiscal Administración Departamental</t>
  </si>
  <si>
    <t>Servicio de asistencia técnica para la articulación de los operadores de los servicios de justicia</t>
  </si>
  <si>
    <t>Cobertura de Instituciones Educativas con Planes Escolares de Gestión del Riesgo de Desastres-PEGERD</t>
  </si>
  <si>
    <t xml:space="preserve"> DNP</t>
  </si>
  <si>
    <t xml:space="preserve">Administración del  riesgo mediante el conocimiento, la reducción y el manejo del desastres en el Departamento del Quindío </t>
  </si>
  <si>
    <t>Fortalecimiento de la oferta de prestadores de servicios, productos y atractivos turísticos en el Departamento del Quindío</t>
  </si>
  <si>
    <t>9.2</t>
  </si>
  <si>
    <t>Servicio de información actualizado</t>
  </si>
  <si>
    <t>9.2.1</t>
  </si>
  <si>
    <t>Sistemas de información actualizados</t>
  </si>
  <si>
    <t>Documentos de lineamientos técnicos para mejorar la calidad ambiental de las áreas urbanas elaborados</t>
  </si>
  <si>
    <t>Gestión integral de cuencas hidrográficas en el Departamento del Quindío</t>
  </si>
  <si>
    <t>Implementación de  las Dimensiones y Políticas  del Modelo Integrado de Planeación y de Gestión MIPG</t>
  </si>
  <si>
    <t>Instrumentos de planificación para  el  Ordenamiento y la Gestión Territorial Departamental (Plan de Desarrollo Departamental PDD, Políticas y Directrices de Ordenamiento Territorial, Sistema de Información Geográfica, Catastro Multipropósito  y mecanismos de integración)</t>
  </si>
  <si>
    <t>Implementación Sistema de Cooperación Internacional y  de Gestión de proyectos  del Departamento del Quindío - "Fabrica de Proyectos"</t>
  </si>
  <si>
    <t xml:space="preserve">Implementación de un programa de gestión financiera para la optimización de los procesos en el área de tesorería, presupuesto y contabilidad en el Departamento del Quindío </t>
  </si>
  <si>
    <t>Promoción al acceso a la justicia. "Tú y yo con justicia"</t>
  </si>
  <si>
    <t xml:space="preserve">Índice de competitividad  en el sector de infraestructura vial </t>
  </si>
  <si>
    <t>Déficit cualitativo de viviendas por hogares</t>
  </si>
  <si>
    <t>Implementación del plan departamental para el manejo empresarial de los servicios de agua y saneamiento básico en el Departamento del Quindío</t>
  </si>
  <si>
    <t>Cobertura de asistencia a los municipios del departamento del Quindío en los procesos de la garantía y prevención de derechos humanos.</t>
  </si>
  <si>
    <t>Cobertura  de municipios del departamento del Quindío  atendidos con estudios y/o construcción de obras   para mitigación y atención a desastres realizadas.</t>
  </si>
  <si>
    <t>1.Cobertura  de municipios del departamento del Quindío  atendidos con estudios y/o construcción de obras   para mitigación y atención a desastres realizadas.
2.Ecosistemas protegidos y/o en procesos de restauración en el Departamento</t>
  </si>
  <si>
    <t>Cobertura de   personas capacitadas en Gestión del Riesgo de Desastres  en el Departamento del Quindío, bajo el marco de Ciudades resilientes</t>
  </si>
  <si>
    <t>Municipios con organismos de acción comunal fortalecidos.</t>
  </si>
  <si>
    <t xml:space="preserve">Fortalecimiento de las veedurías ciudadanas en el Departamento del Quindío </t>
  </si>
  <si>
    <t xml:space="preserve">Implementación del programa "Tú y Yo Somos Cultura", para el fortalecimiento a la lectura,  escritura  y bibliotecas en el Departamento del Quindío </t>
  </si>
  <si>
    <t xml:space="preserve"> Implementación de la "Ruta de la felicidad y la identidad quindiana", para  el fortalecimiento y visibilización de los procesos   artísticos  y culturales   en el Departamento del Quindío</t>
  </si>
  <si>
    <t>Servicio de asistencia técnica para el desarrollo de iniciativas Clústers</t>
  </si>
  <si>
    <t>Índice Departamental de Competitividad Turística
Tasa desempleo</t>
  </si>
  <si>
    <t>Apoyo a la promoción nacional e internacional como destino turismo del Departamento del Quindío</t>
  </si>
  <si>
    <t>Servicio de asistencia técnica para la generación y formalización del empleo</t>
  </si>
  <si>
    <t>Adquisición, mantenimiento y administración de áreas de importancia estratégica para la conservación y regulación del recurso hídrico.</t>
  </si>
  <si>
    <t>Fortalecimiento  y potencialización de los servicios ecosistémicos en el Departamento del Quindío</t>
  </si>
  <si>
    <t>Implementación de acciones de Gestión del Cambio Climático en el marco del PIGCC.</t>
  </si>
  <si>
    <t xml:space="preserve">Encuentros ciudadanos en el Departamento del Quindío en aplicación de la Política de Transparencia, Acceso a la Información Pública y Lucha contra la Corrupción.  </t>
  </si>
  <si>
    <t>Fortalecimiento territorial para una gestión educativa integral en la Secretaría de Educación Departamental del Quindío</t>
  </si>
  <si>
    <t>Implementación de un fondo de apoyo departamental para el acceso y la permanencia de la educación técnica, tecnológica y superior en el Departamento del Quindío</t>
  </si>
  <si>
    <t>Implementación de un modelo de atención integral a niños y niñas en entornos protectores en el Departamento del Quindío</t>
  </si>
  <si>
    <t>Formulación e implementación de  la política pública  de la familia en el departamento del Quindío</t>
  </si>
  <si>
    <t xml:space="preserve">Cobertura de municipios del departamento apoyados con  emprendimientos juveniles </t>
  </si>
  <si>
    <t>Formulación e implementación de la política pública  de diversidad sexual en el Departamento del Quindío</t>
  </si>
  <si>
    <t>Implementación de la política pública de equidad de género para la mujer en el Departamento del Quindío</t>
  </si>
  <si>
    <t>Porcentaje de población asegurada al SGSSS
Oportunidad en la presunción diagnóstica y tratamiento oncológico en menores de 18 años (alta y media)</t>
  </si>
  <si>
    <t>Mortalidad por diarreica aguda (EDA) menores 5 años (numero de muertes anual)
Prevalencia de niños menores de 5 años con desnutrición aguda
Índice de riesgo de la calidad de agua para consumo humano IRCA</t>
  </si>
  <si>
    <t>Oportunidad en la presunción diagnóstica y tratamiento oncológico en menores de 18 años (alta y media)</t>
  </si>
  <si>
    <t>Formulación e implementación del Plan Departamental en Salud Ambiental de adaptación al cambio climático.</t>
  </si>
  <si>
    <t>Tasa ajustada por edad de mortalidad asociada a cáncer de cuello uterino (por 100.000 mujeres).
Oportunidad en la presunción diagnóstica y tratamiento oncológico en menores de 18 años (alta y media)</t>
  </si>
  <si>
    <t>Facilitar el acceso y uso de las Tecnologías de la Información y las Comunicaciones en todo el departamento del Quindío. "Tú y yo somos ciudadanos TIC"</t>
  </si>
  <si>
    <t>Fomento del desarrollo de aplicaciones, software y contenidos para impulsar la apropiación de las Tecnologías de la Información y las Comunicaciones (TIC) "Quindío paraíso empresarial TIC-Quindío TIC"</t>
  </si>
  <si>
    <t>Apoyo a la estrategia de gobierno en línea en el Departamento del Quindío</t>
  </si>
  <si>
    <t>Incremento de emprendimientos y/o empresas de base tecnológica</t>
  </si>
  <si>
    <t xml:space="preserve">Implementación  y  divulgación de la estrategia    "Quindío innovador y competitivo" </t>
  </si>
  <si>
    <t>Apoyo a los juegos Intercolegiados en el Departamento del Quindío</t>
  </si>
  <si>
    <t>Apoyo a proyectos deportivos, recreativos y de actividad física, en el Departamento del Quindío</t>
  </si>
  <si>
    <t>Apoyo a la actividad física, salud y productiva en el Departamento del Quindío</t>
  </si>
  <si>
    <t xml:space="preserve">Apoyo en la formulación y ejecución de proyectos de vivienda, infraestructura y equipamientos colectivos y comunitarios en el Departamento del Quindío  </t>
  </si>
  <si>
    <t xml:space="preserve">índice de competitividad  en el sector de infraestructura vial </t>
  </si>
  <si>
    <t>Déficit cuantitativo de viviendas por hogares</t>
  </si>
  <si>
    <t xml:space="preserve">Viviendas de Interés Prioritario urbanas construidas </t>
  </si>
  <si>
    <t xml:space="preserve">Infraestructura Institucional de edificios públicos de atención de servicios ciudadanos con procesos constructivos, y/o mejorados, y/o ampliados, y/o mantenidos y/o reforzados </t>
  </si>
  <si>
    <r>
      <t xml:space="preserve">Política de Transparencia, Acceso a la Información Pública y Lucha Contra la Corrupción  articulada   con el "Pacto por la Integridad , Transparencia y Legalidad" del Gobierno Nacional desarrollada.                                                                           </t>
    </r>
    <r>
      <rPr>
        <sz val="12"/>
        <color rgb="FF000000"/>
        <rFont val="Arial"/>
        <family val="2"/>
      </rPr>
      <t xml:space="preserve">        </t>
    </r>
  </si>
  <si>
    <t>F-PLA-43</t>
  </si>
  <si>
    <t>Julio 30 de 2020</t>
  </si>
  <si>
    <t>Tasa de cobertura bruta en transición
Tasa de cobertura bruta en educación básica
Tasa de cobertura en educación media</t>
  </si>
  <si>
    <t>Servicios educativos de promoción del bilingüismo</t>
  </si>
  <si>
    <t>Tasa de participación en procesos y actividades artísticas y culturales.
Tasa de consumo de sustancias sicoactivas por 100.000 habitantes en el departamento del Quindío.</t>
  </si>
  <si>
    <t>Índice Departamental de Competitividad Turística
Tasa de desempleo</t>
  </si>
  <si>
    <t xml:space="preserve">Cobertura  de alcantarillado </t>
  </si>
  <si>
    <t xml:space="preserve">Cobertura en la  implementación del  modelo de entornos protectores y atención integral de la primera infancia </t>
  </si>
  <si>
    <t>Cobertura  de municipios   con  jóvenes en riesgo psicosocial impactados en los  barrios vulnerables del Departamento del Quindío</t>
  </si>
  <si>
    <t>Tasa de violencia de género.
Tasa de Suicidio  x 100.000 Habitantes en el Departamento del Quindío.
Tasa de suicidios en niños y niñas ( 6 a 11 años)
Tasa de suicidios en adolescentes (12 a 17 años)
Tasa de suicidios (18 - 28 años)
Tasa de Consumo de Sustancias Psicoactivas  x 100.000 habitantes en el Departamento del Quindío.</t>
  </si>
  <si>
    <t>Tasa de violencia Intrafamiliar x 100.000 Habitantes en el Departamento del Quindío.
Tasa de violencia contra niños y niñas 0 a 5 años       
Tasa de violencia contra niños y niñas de 6 a 11 años
Tasa de violencia contra niños y niñas de 12 a 17 años
Tasa de niños, niñas y adolescentes víctimas de violencia sexual  x 100 mil habitantes   en el Departamento del Quindío
Tasa de violencia de pareja cuando la víctima está entre los 18 y 28 años 
Tasa de violencia de Género</t>
  </si>
  <si>
    <t>Tasa de Violencia Intrafamiliar x 100.000 Habitantes en el Departamento del Quindío.
Tasa de violencia contra niños y niñas 0 a 5 años       
Tasa de violencia contra niños y niñas de 6 a 11 años
Tasa de violencia contra niños y niñas de 12 a 17 años
Tasa de niños, niñas y adolescentes víctimas de violencia sexual  x 100 mil habitantes   en el Departamento del Quindío
Tasa de violencia de pareja cuando la víctima está entre los 18 y 28 años 
Tasa de violencia de Género</t>
  </si>
  <si>
    <t>Cobertura  de población diferencial,  comunidades negras, afros raizales y palenqueras asentadas en el departamento del Quindío con una  política publica .</t>
  </si>
  <si>
    <t>Formular e implementar la política pública para la comunidad negra, afrocolombiana, raizal y palenquera residente en el Departamento del Quindío</t>
  </si>
  <si>
    <t>Cobertura de municipios atendidos  con el Banco de ayudas técnicas NO POS tipo Estándar, para las personas con discapacidad .</t>
  </si>
  <si>
    <t>Cobertura  de municipios del Departamento del Quindío  con el   Programas  de Rehabilitación Basada en la Comunidad  RBC</t>
  </si>
  <si>
    <t>Tasa de Suicidio  x 100.000 Habitantes en el Departamento del Quindío.
Tasa de Violencia Intrafamiliar x 100.000 Habitantes en el Departamento del Quindío.
Cobertura a los grupos de adulto mayor del departamento del Quindío en articulación con los Municipios, en el marco de garantizar estimulación física, cognitiva, emocional y social en bienestar de una vejez activa y saludable 
Cobertura  de  centros vida y centros de bienestar del adulto mayor (Legalmente constituidos)  apoyados con los recursos  de la  Estampilla Pro adulto Mayor .</t>
  </si>
  <si>
    <t>Cobertura  de  centros vida y centros de bienestar del adulto mayor (Legalmente constituidos)  apoyados con los recursos  de la  Estampilla Pro adulto Mayor .</t>
  </si>
  <si>
    <t xml:space="preserve">Política Pública de  Discapacidad  revisada, ajustada e implementada. </t>
  </si>
  <si>
    <t>FONDO LOCAL DE SALUD  - MONOPOLIO RENTAS CEDIDAS -LOTERIAS-RIFAS-PREMIO(152)(99)63)</t>
  </si>
  <si>
    <t>Realizar la vigilancia epidemiológica de plaguicidas en el marco del programa VEO (vigilancia epidemiológica de organofosforados y carbamatos) en los municipios de competencia departamental.</t>
  </si>
  <si>
    <t>Prevalencia de niños menores de 5 años con desnutrición aguda.</t>
  </si>
  <si>
    <t>Plan de Fortalecimiento de Capacidades en Salud Ambiental  formulado.</t>
  </si>
  <si>
    <t>Tasa de violencia de género.
Tasa de Suicidio  x 100.000 Habitantes en el Departamento del Quindío.
Tasa de suicidios en niños y niñas ( 6 a 11 años)
Tasa de suicidios en adolescentes (12 a 17 años)
Tasa de suicidios (18 - 28 años)
Tasa de Consumo de Sustancias Psicoactivas  x 100.000 Habitantes en el Departamento del Quindío.</t>
  </si>
  <si>
    <t xml:space="preserve">Infraestructura  vial    construida, mejorada, ampliada,  mantenida, y/o  reforzada </t>
  </si>
  <si>
    <t xml:space="preserve">Infraestructura   deportiva y/o recreativa construida y/o mejorada, y/o ampliada, y/o mantenida, y/o  reforzada </t>
  </si>
  <si>
    <t>324  SECRETARÍA TECNOLOGÍAS DE LA INFORMACIÓN Y COMUNICACIÓN</t>
  </si>
  <si>
    <t>37.4</t>
  </si>
  <si>
    <t>13.9</t>
  </si>
  <si>
    <t>12.22</t>
  </si>
  <si>
    <t>12.4</t>
  </si>
  <si>
    <t>12.12</t>
  </si>
  <si>
    <t>11.12</t>
  </si>
  <si>
    <t>11.16</t>
  </si>
  <si>
    <t>11.13</t>
  </si>
  <si>
    <t>16.5</t>
  </si>
  <si>
    <t>.Tasa de participación en procesos y actividades artísticas y culturales.
.Tasa de consumo de sustancias psicoactivas por 100.000 habitantes en el departamento del Quindío.</t>
  </si>
  <si>
    <t>.Tasa de lectura
.Tasa de consumo de sustancias psicoactivas por 100.000 habitantes en el departamento del Quindío.</t>
  </si>
  <si>
    <t>.Tasa de cumplimiento al Plan de Biocultura en patrimonio y del PCC.
.Tasa de consumo de sustancias picoactivas por 100.000 habitantes en el departamento del Quindío.</t>
  </si>
  <si>
    <t>.Tasa de cumplimiento al Plan de Biocultura en patrimonio y del PCC.
.Tasa de consumo de sustancias psicoactivas por 100.000 habitantes en el departamento del Quindío.</t>
  </si>
  <si>
    <t>Tasa de lesionados por siniestros viales por cada 100 habitantes.
Tasa de fallecidos por siniestros viales por cada 100 habitantes.</t>
  </si>
  <si>
    <t>Fortalecimiento, hábitos y estilos de vida saludable como instrumento SALVAVIDAS en el Departamento del Quindío</t>
  </si>
  <si>
    <t>Cobertura de municipios que participan en programas de recreación, actividad física y deporte social y comunitario en el Departamento del Quindío.
Tasa de Consumo de Sustancias Psicoactivas  x 100.000 Habitantes en el Departamento del Quindío.</t>
  </si>
  <si>
    <t>Fortalecimiento al deporte competitivo y de altos logros "TÚ Y  YO SOMOS SALVAVIDAS POR UN QUINDÍO GANADOR" en el Departamento del Quindío</t>
  </si>
  <si>
    <t>Política pública formulada e implementada</t>
  </si>
  <si>
    <t>0.92</t>
  </si>
  <si>
    <t>0.4</t>
  </si>
  <si>
    <t>0.45</t>
  </si>
  <si>
    <t>Liderazgo, Gobernabilidad y Transparencia</t>
  </si>
  <si>
    <t>Inclusión Social y Equidad</t>
  </si>
  <si>
    <t>Productividad y Competitividad</t>
  </si>
  <si>
    <t xml:space="preserve">Territorio, Ambiente y Desarrollo Sostenible </t>
  </si>
  <si>
    <t>Línea Estratégica</t>
  </si>
  <si>
    <t>Total</t>
  </si>
  <si>
    <t>% 
Paticipación</t>
  </si>
  <si>
    <t xml:space="preserve">% </t>
  </si>
  <si>
    <t>META
 2020 -2023</t>
  </si>
  <si>
    <t>Código KPT</t>
  </si>
  <si>
    <t>Nombre Programa</t>
  </si>
  <si>
    <t>PRESUPUESO</t>
  </si>
  <si>
    <t xml:space="preserve">Consolidación productiva del sector de energía eléctrica  </t>
  </si>
  <si>
    <t>Investigación con calidad e impacto</t>
  </si>
  <si>
    <t>3904</t>
  </si>
  <si>
    <t>4001</t>
  </si>
  <si>
    <t>No. Interior</t>
  </si>
  <si>
    <t>PLAN DE DESARROLLO 2020 - 2023 "TU Y YO SOMOS QUINDIO"
EJECUCION PROGRAMAS  IV TRIMESTRE 2020</t>
  </si>
  <si>
    <t>PLAN DE DESARROLLO 2020 - 2023 "TU Y YO SOMOS QUINDIO"
DISTIBUCION RECURSOS POR LINEAS ESTRATÉGICAS
IV TRIMESTRE 2020</t>
  </si>
  <si>
    <t>PLAN DE DESARROLLO 2020 - 2023 "TU Y YO SOMOS QUINDIO"
EJECUCION POR LINEAS ESTRATÉGICAS
IV TRIMESTRE DE 2020</t>
  </si>
  <si>
    <t xml:space="preserve">
EJECUCION GASTOS DE INVERSION POR UNIDAD EJECUTORA SECTOR CENTRAL
PLAN DE DESARROLLO 2020 - 2023 "TU Y YO SOMOS QUINDIO"
IV TRIMESTRE 2020</t>
  </si>
  <si>
    <t xml:space="preserve">Indice de competitividad  en el sector de infraestructura vial </t>
  </si>
  <si>
    <t>18.3</t>
  </si>
  <si>
    <t>Estudios y diseños de infraestructura vial</t>
  </si>
  <si>
    <t>18.3.1</t>
  </si>
  <si>
    <t>Estudios y diseños de infraestructura vial elaborado.</t>
  </si>
  <si>
    <t>SEGUIMIENTO PLAN OPERATIVO ANUAL DE INVERSIÓN  POAI 
PLAN DE DESARROLLO 2020-2023 "TÚ Y YO SOMOS QUINDIO "
IV TRIMESTRE 2020</t>
  </si>
  <si>
    <t>SEGUIMIENTO PROYECTOS DE INVERSION REGISTRADOS EN EL BANCO DE PROGRAMAS Y PROYECTOS
QUE FORMAN PARTE DEL PLAN OPERATIVO ANUAL DE INVERSIONES POAI DEL DEPARTAMENTO
IV TRIMESTRE 2020</t>
  </si>
  <si>
    <t>Semáforo (Compromiso):
Sobresaliente  (Entre 80%-100%)
Satisfactorio (Entre 70% -79,99%)
Medio (Entre 60%-69,99%)
Bajo (Entre 40% - 59,99%)
Critico (Entre 0% - 39,99%)</t>
  </si>
  <si>
    <t xml:space="preserve">Sobresaliente  ( Entre 80%-100%) </t>
  </si>
  <si>
    <t>Satisfactorio (Entre 70% -79,99%)</t>
  </si>
  <si>
    <t>Medio (Entre 60%-69,99%)</t>
  </si>
  <si>
    <t>Bajo (Entre 40% - 59,99%)</t>
  </si>
  <si>
    <t>Critico (Entre 0% - 39,99%)</t>
  </si>
  <si>
    <t>SEMAFORO CUMPLIMIENTO</t>
  </si>
  <si>
    <t>DISPONIBILIDADES</t>
  </si>
  <si>
    <t>% CDP</t>
  </si>
  <si>
    <t>Disponibilidades</t>
  </si>
  <si>
    <t xml:space="preserve">MONOPOLIO SALUD Y EDUCACIÓN  51% DESTINACION ESPECIFICA
 </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</si>
</sst>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4" formatCode="_(&quot;$&quot;\ * #,##0.00_);_(&quot;$&quot;\ * \(#,##0.00\);_(&quot;$&quot;\ * &quot;-&quot;??_);_(@_)"/>
    <numFmt numFmtId="43" formatCode="_(* #,##0.00_);_(* \(#,##0.00\);_(* &quot;-&quot;??_);_(@_)"/>
    <numFmt numFmtId="164" formatCode="_-&quot;$&quot;\ * #,##0_-;\-&quot;$&quot;\ * #,##0_-;_-&quot;$&quot;\ * &quot;-&quot;_-;_-@_-"/>
    <numFmt numFmtId="165" formatCode="_-* #,##0_-;\-* #,##0_-;_-* &quot;-&quot;_-;_-@_-"/>
    <numFmt numFmtId="166" formatCode="_-&quot;$&quot;\ * #,##0.00_-;\-&quot;$&quot;\ * #,##0.00_-;_-&quot;$&quot;\ * &quot;-&quot;??_-;_-@_-"/>
    <numFmt numFmtId="167" formatCode="_-* #,##0.00_-;\-* #,##0.00_-;_-* &quot;-&quot;??_-;_-@_-"/>
    <numFmt numFmtId="168" formatCode="_-&quot;$&quot;* #,##0_-;\-&quot;$&quot;* #,##0_-;_-&quot;$&quot;* &quot;-&quot;_-;_-@_-"/>
    <numFmt numFmtId="169" formatCode="_-&quot;$&quot;* #,##0.00_-;\-&quot;$&quot;* #,##0.00_-;_-&quot;$&quot;* &quot;-&quot;??_-;_-@_-"/>
    <numFmt numFmtId="170" formatCode="_([$$-240A]\ * #,##0.00_);_([$$-240A]\ * \(#,##0.00\);_([$$-240A]\ * &quot;-&quot;??_);_(@_)"/>
    <numFmt numFmtId="171" formatCode="_(* #,##0_);_(* \(#,##0\);_(* &quot;-&quot;??_);_(@_)"/>
    <numFmt numFmtId="172" formatCode="_-* #,##0.00_-;\-* #,##0.00_-;_-* &quot;-&quot;_-;_-@_-"/>
    <numFmt numFmtId="173" formatCode="00"/>
    <numFmt numFmtId="174" formatCode="_-* #,##0_-;\-* #,##0_-;_-* &quot;-&quot;??_-;_-@_-"/>
    <numFmt numFmtId="175" formatCode="0.0"/>
    <numFmt numFmtId="176" formatCode="_-&quot;$&quot;\ * #,##0.00_-;\-&quot;$&quot;\ * #,##0.00_-;_-&quot;$&quot;\ * &quot;-&quot;_-;_-@_-"/>
    <numFmt numFmtId="177" formatCode="#,##0.0000000"/>
    <numFmt numFmtId="178" formatCode="_ [$€-2]\ * #,##0.00_ ;_ [$€-2]\ * \-#,##0.00_ ;_ [$€-2]\ * &quot;-&quot;??_ "/>
  </numFmts>
  <fonts count="4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b/>
      <sz val="11"/>
      <color rgb="FF6F6F6E"/>
      <name val="Calibri"/>
      <family val="2"/>
      <scheme val="minor"/>
    </font>
    <font>
      <sz val="12"/>
      <name val="Arial"/>
      <family val="2"/>
    </font>
    <font>
      <sz val="12"/>
      <color theme="1"/>
      <name val="Arial"/>
      <family val="2"/>
    </font>
    <font>
      <b/>
      <sz val="12"/>
      <color theme="0"/>
      <name val="Arial"/>
      <family val="2"/>
    </font>
    <font>
      <sz val="10"/>
      <name val="Arial"/>
      <family val="2"/>
    </font>
    <font>
      <b/>
      <sz val="10"/>
      <color theme="1"/>
      <name val="Arial"/>
      <family val="2"/>
    </font>
    <font>
      <sz val="10"/>
      <color theme="1"/>
      <name val="Arial"/>
      <family val="2"/>
    </font>
    <font>
      <sz val="10"/>
      <color theme="0"/>
      <name val="Arial"/>
      <family val="2"/>
    </font>
    <font>
      <b/>
      <sz val="12"/>
      <name val="Arial"/>
      <family val="2"/>
    </font>
    <font>
      <b/>
      <sz val="10"/>
      <name val="Arial"/>
      <family val="2"/>
    </font>
    <font>
      <sz val="12"/>
      <color theme="0"/>
      <name val="Arial"/>
      <family val="2"/>
    </font>
    <font>
      <sz val="12"/>
      <color indexed="8"/>
      <name val="Arial"/>
      <family val="2"/>
    </font>
    <font>
      <sz val="12"/>
      <color rgb="FFFF0000"/>
      <name val="Arial"/>
      <family val="2"/>
    </font>
    <font>
      <sz val="12"/>
      <color rgb="FF000000"/>
      <name val="Arial"/>
      <family val="2"/>
    </font>
    <font>
      <sz val="8"/>
      <name val="Calibri"/>
      <family val="2"/>
      <scheme val="minor"/>
    </font>
    <font>
      <b/>
      <sz val="8"/>
      <name val="Arial"/>
      <family val="2"/>
    </font>
    <font>
      <sz val="8"/>
      <name val="Arial"/>
      <family val="2"/>
    </font>
    <font>
      <sz val="8"/>
      <color theme="1"/>
      <name val="Calibri"/>
      <family val="2"/>
      <scheme val="minor"/>
    </font>
    <font>
      <b/>
      <sz val="8"/>
      <name val="Calibri"/>
      <family val="2"/>
      <scheme val="minor"/>
    </font>
    <font>
      <sz val="12"/>
      <color rgb="FF222222"/>
      <name val="Arial"/>
      <family val="2"/>
    </font>
    <font>
      <b/>
      <sz val="12"/>
      <color theme="1"/>
      <name val="Arial"/>
      <family val="2"/>
    </font>
    <font>
      <sz val="11"/>
      <name val="Calibri"/>
      <family val="2"/>
      <scheme val="minor"/>
    </font>
    <font>
      <b/>
      <sz val="11"/>
      <color theme="0"/>
      <name val="Arial"/>
      <family val="2"/>
    </font>
    <font>
      <sz val="9"/>
      <color theme="0"/>
      <name val="Arial"/>
      <family val="2"/>
    </font>
  </fonts>
  <fills count="47">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CECEC"/>
        <bgColor indexed="64"/>
      </patternFill>
    </fill>
    <fill>
      <patternFill patternType="solid">
        <fgColor theme="8" tint="-0.499984740745262"/>
        <bgColor indexed="64"/>
      </patternFill>
    </fill>
    <fill>
      <patternFill patternType="solid">
        <fgColor theme="0"/>
        <bgColor indexed="64"/>
      </patternFill>
    </fill>
    <fill>
      <patternFill patternType="solid">
        <fgColor indexed="9"/>
        <bgColor indexed="64"/>
      </patternFill>
    </fill>
    <fill>
      <patternFill patternType="solid">
        <fgColor rgb="FF92D050"/>
        <bgColor indexed="64"/>
      </patternFill>
    </fill>
    <fill>
      <patternFill patternType="solid">
        <fgColor rgb="FF002060"/>
        <bgColor indexed="64"/>
      </patternFill>
    </fill>
    <fill>
      <patternFill patternType="solid">
        <fgColor rgb="FFFFC000"/>
        <bgColor indexed="64"/>
      </patternFill>
    </fill>
    <fill>
      <patternFill patternType="solid">
        <fgColor rgb="FF00B0F0"/>
        <bgColor indexed="64"/>
      </patternFill>
    </fill>
    <fill>
      <patternFill patternType="solid">
        <fgColor theme="4" tint="0.39997558519241921"/>
        <bgColor indexed="64"/>
      </patternFill>
    </fill>
    <fill>
      <patternFill patternType="solid">
        <fgColor indexed="49"/>
        <bgColor indexed="64"/>
      </patternFill>
    </fill>
    <fill>
      <patternFill patternType="solid">
        <fgColor theme="2" tint="-0.249977111117893"/>
        <bgColor indexed="64"/>
      </patternFill>
    </fill>
    <fill>
      <patternFill patternType="solid">
        <fgColor theme="9" tint="0.39997558519241921"/>
        <bgColor indexed="64"/>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s>
  <borders count="5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522B57"/>
      </left>
      <right style="thin">
        <color rgb="FF522B57"/>
      </right>
      <top style="thin">
        <color rgb="FF522B57"/>
      </top>
      <bottom style="thin">
        <color rgb="FF522B57"/>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auto="1"/>
      </right>
      <top style="thin">
        <color auto="1"/>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right style="thin">
        <color indexed="64"/>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77">
    <xf numFmtId="0" fontId="0" fillId="0" borderId="0"/>
    <xf numFmtId="0" fontId="1" fillId="9"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6" fillId="11" borderId="0" applyNumberFormat="0" applyBorder="0" applyAlignment="0" applyProtection="0"/>
    <xf numFmtId="0" fontId="16" fillId="15" borderId="0" applyNumberFormat="0" applyBorder="0" applyAlignment="0" applyProtection="0"/>
    <xf numFmtId="0" fontId="16" fillId="19" borderId="0" applyNumberFormat="0" applyBorder="0" applyAlignment="0" applyProtection="0"/>
    <xf numFmtId="0" fontId="16" fillId="23" borderId="0" applyNumberFormat="0" applyBorder="0" applyAlignment="0" applyProtection="0"/>
    <xf numFmtId="0" fontId="16" fillId="27" borderId="0" applyNumberFormat="0" applyBorder="0" applyAlignment="0" applyProtection="0"/>
    <xf numFmtId="0" fontId="16" fillId="31" borderId="0" applyNumberFormat="0" applyBorder="0" applyAlignment="0" applyProtection="0"/>
    <xf numFmtId="0" fontId="10" fillId="5" borderId="4" applyNumberFormat="0" applyAlignment="0" applyProtection="0"/>
    <xf numFmtId="0" fontId="12" fillId="6" borderId="7" applyNumberFormat="0" applyAlignment="0" applyProtection="0"/>
    <xf numFmtId="0" fontId="11" fillId="0" borderId="6" applyNumberFormat="0" applyFill="0" applyAlignment="0" applyProtection="0"/>
    <xf numFmtId="0" fontId="3" fillId="0" borderId="1" applyNumberFormat="0" applyFill="0" applyAlignment="0" applyProtection="0"/>
    <xf numFmtId="0" fontId="5" fillId="0" borderId="0" applyNumberFormat="0" applyFill="0" applyBorder="0" applyAlignment="0" applyProtection="0"/>
    <xf numFmtId="0" fontId="16" fillId="8"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8" fillId="4" borderId="4" applyNumberFormat="0" applyAlignment="0" applyProtection="0"/>
    <xf numFmtId="0" fontId="6" fillId="2" borderId="0" applyNumberFormat="0" applyBorder="0" applyAlignment="0" applyProtection="0"/>
    <xf numFmtId="0" fontId="7" fillId="3" borderId="0" applyNumberFormat="0" applyBorder="0" applyAlignment="0" applyProtection="0"/>
    <xf numFmtId="0" fontId="1" fillId="7" borderId="8" applyNumberFormat="0" applyFont="0" applyAlignment="0" applyProtection="0"/>
    <xf numFmtId="0" fontId="9" fillId="5" borderId="5"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15" fillId="0" borderId="9" applyNumberFormat="0" applyFill="0" applyAlignment="0" applyProtection="0"/>
    <xf numFmtId="43" fontId="17" fillId="0" borderId="0" applyFont="0" applyFill="0" applyBorder="0" applyAlignment="0" applyProtection="0"/>
    <xf numFmtId="167" fontId="1" fillId="0" borderId="0" applyFont="0" applyFill="0" applyBorder="0" applyAlignment="0" applyProtection="0"/>
    <xf numFmtId="0" fontId="18" fillId="32" borderId="10">
      <alignment horizontal="center" vertical="center" wrapText="1"/>
    </xf>
    <xf numFmtId="0" fontId="1" fillId="0" borderId="0"/>
    <xf numFmtId="9" fontId="17"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70" fontId="1" fillId="0" borderId="0"/>
    <xf numFmtId="170" fontId="18" fillId="32" borderId="10">
      <alignment horizontal="center" vertical="center" wrapText="1"/>
    </xf>
    <xf numFmtId="169"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70" fontId="22"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7" fontId="17" fillId="0" borderId="0" applyFont="0" applyFill="0" applyBorder="0" applyAlignment="0" applyProtection="0"/>
    <xf numFmtId="166" fontId="1" fillId="0" borderId="0" applyFont="0" applyFill="0" applyBorder="0" applyAlignment="0" applyProtection="0"/>
    <xf numFmtId="0" fontId="24" fillId="0" borderId="0"/>
    <xf numFmtId="164" fontId="1" fillId="0" borderId="0" applyFont="0" applyFill="0" applyBorder="0" applyAlignment="0" applyProtection="0"/>
    <xf numFmtId="170" fontId="22"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178" fontId="1" fillId="0" borderId="0"/>
    <xf numFmtId="167" fontId="1" fillId="0" borderId="0" applyFont="0" applyFill="0" applyBorder="0" applyAlignment="0" applyProtection="0"/>
    <xf numFmtId="0" fontId="24" fillId="0" borderId="0"/>
    <xf numFmtId="169"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cellStyleXfs>
  <cellXfs count="718">
    <xf numFmtId="0" fontId="0" fillId="0" borderId="0" xfId="0"/>
    <xf numFmtId="0" fontId="24" fillId="0" borderId="0" xfId="0" applyFont="1"/>
    <xf numFmtId="171" fontId="25" fillId="33" borderId="14" xfId="57" applyNumberFormat="1" applyFont="1" applyFill="1" applyBorder="1" applyAlignment="1">
      <alignment vertical="center" wrapText="1"/>
    </xf>
    <xf numFmtId="171" fontId="25" fillId="33" borderId="11" xfId="57" applyNumberFormat="1" applyFont="1" applyFill="1" applyBorder="1" applyAlignment="1">
      <alignment horizontal="center" vertical="center" wrapText="1"/>
    </xf>
    <xf numFmtId="0" fontId="24" fillId="0" borderId="0" xfId="0" applyFont="1" applyFill="1"/>
    <xf numFmtId="0" fontId="20" fillId="0" borderId="11" xfId="0" applyFont="1" applyBorder="1" applyAlignment="1">
      <alignment horizontal="center" vertical="center"/>
    </xf>
    <xf numFmtId="0" fontId="20" fillId="0" borderId="11" xfId="0" applyFont="1" applyBorder="1" applyAlignment="1">
      <alignment horizontal="left" vertical="center"/>
    </xf>
    <xf numFmtId="9" fontId="19" fillId="0" borderId="11" xfId="45" applyFont="1" applyBorder="1" applyAlignment="1">
      <alignment horizontal="center" vertical="center"/>
    </xf>
    <xf numFmtId="10" fontId="19" fillId="0" borderId="11" xfId="56" applyNumberFormat="1" applyFont="1" applyBorder="1" applyAlignment="1">
      <alignment horizontal="center" vertical="center"/>
    </xf>
    <xf numFmtId="43" fontId="19" fillId="0" borderId="11" xfId="56" applyNumberFormat="1" applyFont="1" applyBorder="1" applyAlignment="1">
      <alignment horizontal="right" vertical="center"/>
    </xf>
    <xf numFmtId="0" fontId="24" fillId="0" borderId="0" xfId="0" applyFont="1" applyAlignment="1">
      <alignment vertical="center"/>
    </xf>
    <xf numFmtId="0" fontId="20" fillId="0" borderId="11" xfId="0" applyFont="1" applyBorder="1" applyAlignment="1">
      <alignment horizontal="left" vertical="center" wrapText="1"/>
    </xf>
    <xf numFmtId="0" fontId="19" fillId="0" borderId="11" xfId="0" applyFont="1" applyBorder="1" applyAlignment="1">
      <alignment horizontal="center" vertical="center"/>
    </xf>
    <xf numFmtId="0" fontId="22" fillId="0" borderId="0" xfId="0" applyFont="1" applyAlignment="1">
      <alignment vertical="center"/>
    </xf>
    <xf numFmtId="0" fontId="21" fillId="33" borderId="0" xfId="0" applyFont="1" applyFill="1" applyAlignment="1">
      <alignment horizontal="left" vertical="center"/>
    </xf>
    <xf numFmtId="9" fontId="21" fillId="33" borderId="11" xfId="45" applyFont="1" applyFill="1" applyBorder="1" applyAlignment="1">
      <alignment horizontal="center" vertical="center"/>
    </xf>
    <xf numFmtId="10" fontId="21" fillId="33" borderId="11" xfId="56" applyNumberFormat="1" applyFont="1" applyFill="1" applyBorder="1" applyAlignment="1">
      <alignment horizontal="center" vertical="center"/>
    </xf>
    <xf numFmtId="0" fontId="23" fillId="0" borderId="0" xfId="0" applyFont="1" applyAlignment="1">
      <alignment vertical="center"/>
    </xf>
    <xf numFmtId="0" fontId="24" fillId="0" borderId="0" xfId="0" applyFont="1" applyAlignment="1">
      <alignment horizontal="left"/>
    </xf>
    <xf numFmtId="171" fontId="24" fillId="0" borderId="0" xfId="57" applyNumberFormat="1" applyFont="1"/>
    <xf numFmtId="171" fontId="22" fillId="0" borderId="0" xfId="57" applyNumberFormat="1" applyFont="1" applyFill="1" applyBorder="1"/>
    <xf numFmtId="171" fontId="22" fillId="0" borderId="0" xfId="57" applyNumberFormat="1" applyFont="1" applyFill="1" applyBorder="1" applyAlignment="1">
      <alignment horizontal="center" vertical="center" wrapText="1"/>
    </xf>
    <xf numFmtId="171" fontId="24" fillId="0" borderId="0" xfId="57" applyNumberFormat="1" applyFont="1" applyFill="1" applyBorder="1"/>
    <xf numFmtId="171" fontId="22" fillId="0" borderId="0" xfId="57" applyNumberFormat="1" applyFont="1"/>
    <xf numFmtId="0" fontId="22" fillId="0" borderId="0" xfId="0" applyFont="1" applyAlignment="1">
      <alignment horizontal="left"/>
    </xf>
    <xf numFmtId="0" fontId="22" fillId="0" borderId="0" xfId="0" applyFont="1" applyFill="1" applyBorder="1" applyAlignment="1">
      <alignment horizontal="left"/>
    </xf>
    <xf numFmtId="10" fontId="22" fillId="0" borderId="0" xfId="56" applyNumberFormat="1" applyFont="1" applyFill="1" applyBorder="1"/>
    <xf numFmtId="43" fontId="19" fillId="0" borderId="11" xfId="41" applyFont="1" applyFill="1" applyBorder="1" applyAlignment="1">
      <alignment horizontal="justify" vertical="center"/>
    </xf>
    <xf numFmtId="171" fontId="19" fillId="0" borderId="11" xfId="41" applyNumberFormat="1" applyFont="1" applyFill="1" applyBorder="1" applyAlignment="1">
      <alignment horizontal="center" vertical="center" wrapText="1"/>
    </xf>
    <xf numFmtId="0" fontId="19" fillId="0" borderId="11" xfId="41" applyNumberFormat="1" applyFont="1" applyFill="1" applyBorder="1" applyAlignment="1">
      <alignment horizontal="center" vertical="center" wrapText="1"/>
    </xf>
    <xf numFmtId="43" fontId="19" fillId="0" borderId="11" xfId="41" applyFont="1" applyFill="1" applyBorder="1"/>
    <xf numFmtId="0" fontId="19" fillId="0" borderId="11" xfId="49" applyNumberFormat="1" applyFont="1" applyFill="1" applyBorder="1" applyAlignment="1">
      <alignment horizontal="justify" vertical="center" wrapText="1"/>
    </xf>
    <xf numFmtId="0" fontId="19" fillId="0" borderId="11" xfId="51" applyNumberFormat="1" applyFont="1" applyFill="1" applyBorder="1" applyAlignment="1">
      <alignment horizontal="center" vertical="center" wrapText="1"/>
    </xf>
    <xf numFmtId="43" fontId="19" fillId="0" borderId="11" xfId="51" applyFont="1" applyFill="1" applyBorder="1" applyAlignment="1">
      <alignment horizontal="right" vertical="center" wrapText="1"/>
    </xf>
    <xf numFmtId="170" fontId="19" fillId="0" borderId="11" xfId="49" applyFont="1" applyFill="1" applyBorder="1" applyAlignment="1">
      <alignment horizontal="justify" vertical="center" wrapText="1"/>
    </xf>
    <xf numFmtId="174" fontId="19" fillId="0" borderId="0" xfId="51" applyNumberFormat="1" applyFont="1" applyAlignment="1">
      <alignment horizontal="center"/>
    </xf>
    <xf numFmtId="43" fontId="19" fillId="0" borderId="11" xfId="41" applyFont="1" applyBorder="1" applyAlignment="1">
      <alignment horizontal="justify" vertical="center"/>
    </xf>
    <xf numFmtId="0" fontId="19" fillId="0" borderId="11" xfId="49" applyNumberFormat="1" applyFont="1" applyFill="1" applyBorder="1" applyAlignment="1">
      <alignment horizontal="center" vertical="center"/>
    </xf>
    <xf numFmtId="43" fontId="19" fillId="39" borderId="11" xfId="41" applyFont="1" applyFill="1" applyBorder="1" applyAlignment="1">
      <alignment horizontal="justify" vertical="center"/>
    </xf>
    <xf numFmtId="43" fontId="26" fillId="39" borderId="11" xfId="41" applyFont="1" applyFill="1" applyBorder="1" applyAlignment="1">
      <alignment horizontal="justify" vertical="center"/>
    </xf>
    <xf numFmtId="167" fontId="19" fillId="0" borderId="11" xfId="42" applyFont="1" applyFill="1" applyBorder="1" applyAlignment="1">
      <alignment horizontal="center" vertical="center"/>
    </xf>
    <xf numFmtId="0" fontId="19" fillId="0" borderId="11" xfId="51" applyNumberFormat="1" applyFont="1" applyFill="1" applyBorder="1" applyAlignment="1">
      <alignment horizontal="justify" vertical="center" wrapText="1"/>
    </xf>
    <xf numFmtId="43" fontId="19" fillId="0" borderId="11" xfId="41" applyFont="1" applyFill="1" applyBorder="1" applyAlignment="1">
      <alignment horizontal="justify" vertical="center" wrapText="1"/>
    </xf>
    <xf numFmtId="43" fontId="30" fillId="0" borderId="11" xfId="41" applyFont="1" applyFill="1" applyBorder="1" applyAlignment="1">
      <alignment horizontal="justify" vertical="center"/>
    </xf>
    <xf numFmtId="43" fontId="19" fillId="0" borderId="11" xfId="51" applyFont="1" applyFill="1" applyBorder="1" applyAlignment="1">
      <alignment vertical="center"/>
    </xf>
    <xf numFmtId="43" fontId="19" fillId="0" borderId="11" xfId="51" applyFont="1" applyFill="1" applyBorder="1" applyAlignment="1">
      <alignment horizontal="center" vertical="center"/>
    </xf>
    <xf numFmtId="43" fontId="19" fillId="0" borderId="11" xfId="41" applyFont="1" applyFill="1" applyBorder="1" applyAlignment="1">
      <alignment horizontal="right" vertical="center"/>
    </xf>
    <xf numFmtId="43" fontId="26" fillId="39" borderId="11" xfId="51" applyFont="1" applyFill="1" applyBorder="1" applyAlignment="1">
      <alignment horizontal="center" vertical="center"/>
    </xf>
    <xf numFmtId="43" fontId="19" fillId="0" borderId="11" xfId="41" applyFont="1" applyFill="1" applyBorder="1" applyAlignment="1">
      <alignment horizontal="center" vertical="center" wrapText="1"/>
    </xf>
    <xf numFmtId="43" fontId="20" fillId="0" borderId="11" xfId="41" applyFont="1" applyFill="1" applyBorder="1" applyAlignment="1">
      <alignment horizontal="center" vertical="center" wrapText="1"/>
    </xf>
    <xf numFmtId="0" fontId="32" fillId="0" borderId="0" xfId="0" applyFont="1"/>
    <xf numFmtId="0" fontId="33" fillId="0" borderId="0" xfId="0" applyFont="1" applyAlignment="1">
      <alignment horizontal="center" vertical="center"/>
    </xf>
    <xf numFmtId="0" fontId="33" fillId="0" borderId="0" xfId="0" applyFont="1" applyAlignment="1">
      <alignment vertical="center"/>
    </xf>
    <xf numFmtId="0" fontId="34" fillId="0" borderId="11" xfId="0" applyFont="1" applyBorder="1" applyAlignment="1">
      <alignment horizontal="center" vertical="center" wrapText="1"/>
    </xf>
    <xf numFmtId="43" fontId="32" fillId="0" borderId="27" xfId="0" applyNumberFormat="1" applyFont="1" applyBorder="1" applyAlignment="1">
      <alignment vertical="center"/>
    </xf>
    <xf numFmtId="43" fontId="33" fillId="0" borderId="0" xfId="0" applyNumberFormat="1" applyFont="1" applyAlignment="1">
      <alignment vertical="center"/>
    </xf>
    <xf numFmtId="0" fontId="35" fillId="0" borderId="0" xfId="0" applyFont="1"/>
    <xf numFmtId="43" fontId="32" fillId="0" borderId="0" xfId="0" applyNumberFormat="1" applyFont="1"/>
    <xf numFmtId="43" fontId="32" fillId="0" borderId="11" xfId="0" applyNumberFormat="1" applyFont="1" applyBorder="1" applyAlignment="1">
      <alignment vertical="center"/>
    </xf>
    <xf numFmtId="0" fontId="34" fillId="0" borderId="18" xfId="0" applyFont="1" applyBorder="1" applyAlignment="1">
      <alignment horizontal="center" vertical="center" wrapText="1"/>
    </xf>
    <xf numFmtId="43" fontId="32" fillId="0" borderId="18" xfId="0" applyNumberFormat="1" applyFont="1" applyBorder="1" applyAlignment="1">
      <alignment vertical="center"/>
    </xf>
    <xf numFmtId="43" fontId="34" fillId="0" borderId="11" xfId="0" applyNumberFormat="1" applyFont="1" applyBorder="1" applyAlignment="1">
      <alignment vertical="center"/>
    </xf>
    <xf numFmtId="0" fontId="34" fillId="0" borderId="11" xfId="0" applyFont="1" applyFill="1" applyBorder="1" applyAlignment="1">
      <alignment horizontal="center" vertical="center" wrapText="1"/>
    </xf>
    <xf numFmtId="0" fontId="34" fillId="0" borderId="11" xfId="0" applyFont="1" applyFill="1" applyBorder="1" applyAlignment="1">
      <alignment horizontal="justify" vertical="center" wrapText="1"/>
    </xf>
    <xf numFmtId="43" fontId="34" fillId="0" borderId="11" xfId="0" applyNumberFormat="1" applyFont="1" applyFill="1" applyBorder="1" applyAlignment="1">
      <alignment horizontal="left" vertical="center" wrapText="1"/>
    </xf>
    <xf numFmtId="0" fontId="32" fillId="0" borderId="0" xfId="0" applyFont="1" applyFill="1"/>
    <xf numFmtId="0" fontId="32" fillId="0" borderId="0" xfId="0" applyFont="1" applyAlignment="1">
      <alignment horizontal="left" vertical="center" wrapText="1"/>
    </xf>
    <xf numFmtId="1" fontId="34" fillId="0" borderId="11" xfId="0" applyNumberFormat="1" applyFont="1" applyBorder="1" applyAlignment="1">
      <alignment horizontal="center" vertical="center" wrapText="1"/>
    </xf>
    <xf numFmtId="0" fontId="32" fillId="0" borderId="11" xfId="0" applyFont="1" applyBorder="1" applyAlignment="1">
      <alignment horizontal="justify" vertical="center" wrapText="1"/>
    </xf>
    <xf numFmtId="1" fontId="34" fillId="0" borderId="18" xfId="0" applyNumberFormat="1" applyFont="1" applyBorder="1" applyAlignment="1">
      <alignment horizontal="center" vertical="center" wrapText="1"/>
    </xf>
    <xf numFmtId="0" fontId="33" fillId="42" borderId="19" xfId="0" applyFont="1" applyFill="1" applyBorder="1" applyAlignment="1">
      <alignment horizontal="center" vertical="center" wrapText="1"/>
    </xf>
    <xf numFmtId="43" fontId="32" fillId="34" borderId="0" xfId="0" applyNumberFormat="1" applyFont="1" applyFill="1"/>
    <xf numFmtId="0" fontId="32" fillId="34" borderId="0" xfId="0" applyFont="1" applyFill="1"/>
    <xf numFmtId="3" fontId="34" fillId="0" borderId="11" xfId="0" applyNumberFormat="1" applyFont="1" applyBorder="1" applyAlignment="1">
      <alignment horizontal="justify" vertical="center" wrapText="1"/>
    </xf>
    <xf numFmtId="3" fontId="32" fillId="0" borderId="11" xfId="0" applyNumberFormat="1" applyFont="1" applyBorder="1" applyAlignment="1">
      <alignment horizontal="justify" vertical="center" wrapText="1"/>
    </xf>
    <xf numFmtId="171" fontId="34" fillId="0" borderId="11" xfId="0" applyNumberFormat="1" applyFont="1" applyBorder="1" applyAlignment="1">
      <alignment horizontal="justify" vertical="center" wrapText="1"/>
    </xf>
    <xf numFmtId="43" fontId="33" fillId="42" borderId="25" xfId="51" applyFont="1" applyFill="1" applyBorder="1" applyAlignment="1">
      <alignment horizontal="center" vertical="center" wrapText="1"/>
    </xf>
    <xf numFmtId="0" fontId="36" fillId="0" borderId="0" xfId="0" applyFont="1"/>
    <xf numFmtId="0" fontId="36" fillId="40" borderId="31" xfId="0" applyFont="1" applyFill="1" applyBorder="1" applyAlignment="1">
      <alignment horizontal="justify" vertical="center" wrapText="1"/>
    </xf>
    <xf numFmtId="43" fontId="33" fillId="40" borderId="32" xfId="41" applyFont="1" applyFill="1" applyBorder="1" applyAlignment="1">
      <alignment vertical="center"/>
    </xf>
    <xf numFmtId="0" fontId="32" fillId="34" borderId="0" xfId="0" applyFont="1" applyFill="1" applyAlignment="1">
      <alignment horizontal="justify" vertical="center" wrapText="1"/>
    </xf>
    <xf numFmtId="0" fontId="34" fillId="34" borderId="0" xfId="0" applyFont="1" applyFill="1" applyAlignment="1">
      <alignment horizontal="center" vertical="center" wrapText="1"/>
    </xf>
    <xf numFmtId="167" fontId="32" fillId="34" borderId="0" xfId="0" applyNumberFormat="1" applyFont="1" applyFill="1" applyAlignment="1">
      <alignment vertical="center"/>
    </xf>
    <xf numFmtId="4" fontId="32" fillId="34" borderId="0" xfId="0" applyNumberFormat="1" applyFont="1" applyFill="1" applyAlignment="1">
      <alignment vertical="center" wrapText="1"/>
    </xf>
    <xf numFmtId="0" fontId="32" fillId="34" borderId="0" xfId="0" applyFont="1" applyFill="1" applyAlignment="1">
      <alignment vertical="center"/>
    </xf>
    <xf numFmtId="0" fontId="32" fillId="0" borderId="0" xfId="0" applyFont="1" applyAlignment="1">
      <alignment horizontal="justify" vertical="center" wrapText="1"/>
    </xf>
    <xf numFmtId="0" fontId="34" fillId="0" borderId="0" xfId="0" applyFont="1" applyAlignment="1">
      <alignment horizontal="center" vertical="center" wrapText="1"/>
    </xf>
    <xf numFmtId="0" fontId="32" fillId="0" borderId="0" xfId="0" applyFont="1" applyAlignment="1">
      <alignment vertical="center"/>
    </xf>
    <xf numFmtId="0" fontId="33" fillId="40" borderId="36" xfId="0" applyFont="1" applyFill="1" applyBorder="1" applyAlignment="1">
      <alignment horizontal="center" vertical="center" wrapText="1"/>
    </xf>
    <xf numFmtId="0" fontId="34" fillId="0" borderId="14" xfId="0" applyFont="1" applyBorder="1" applyAlignment="1">
      <alignment horizontal="justify" vertical="center" wrapText="1"/>
    </xf>
    <xf numFmtId="43" fontId="35" fillId="0" borderId="11" xfId="0" applyNumberFormat="1" applyFont="1" applyBorder="1" applyAlignment="1">
      <alignment vertical="center"/>
    </xf>
    <xf numFmtId="0" fontId="34" fillId="0" borderId="20" xfId="0" applyFont="1" applyBorder="1" applyAlignment="1">
      <alignment horizontal="center" vertical="center" wrapText="1"/>
    </xf>
    <xf numFmtId="43" fontId="32" fillId="0" borderId="20" xfId="0" applyNumberFormat="1" applyFont="1" applyBorder="1" applyAlignment="1">
      <alignment vertical="center"/>
    </xf>
    <xf numFmtId="43" fontId="33" fillId="41" borderId="32" xfId="0" applyNumberFormat="1" applyFont="1" applyFill="1" applyBorder="1" applyAlignment="1">
      <alignment horizontal="left" vertical="center" wrapText="1"/>
    </xf>
    <xf numFmtId="0" fontId="34" fillId="0" borderId="38" xfId="0" applyFont="1" applyBorder="1" applyAlignment="1">
      <alignment horizontal="justify" vertical="center" wrapText="1"/>
    </xf>
    <xf numFmtId="0" fontId="34" fillId="0" borderId="38" xfId="0" applyFont="1" applyBorder="1" applyAlignment="1">
      <alignment horizontal="center" vertical="center" wrapText="1"/>
    </xf>
    <xf numFmtId="43" fontId="32" fillId="0" borderId="38" xfId="0" applyNumberFormat="1" applyFont="1" applyBorder="1" applyAlignment="1">
      <alignment vertical="center"/>
    </xf>
    <xf numFmtId="43" fontId="32" fillId="0" borderId="39" xfId="0" applyNumberFormat="1" applyFont="1" applyBorder="1" applyAlignment="1">
      <alignment vertical="center"/>
    </xf>
    <xf numFmtId="43" fontId="32" fillId="0" borderId="34" xfId="0" applyNumberFormat="1" applyFont="1" applyBorder="1" applyAlignment="1">
      <alignment vertical="center"/>
    </xf>
    <xf numFmtId="43" fontId="33" fillId="41" borderId="35" xfId="0" applyNumberFormat="1" applyFont="1" applyFill="1" applyBorder="1" applyAlignment="1">
      <alignment horizontal="left" vertical="center"/>
    </xf>
    <xf numFmtId="43" fontId="33" fillId="41" borderId="36" xfId="0" applyNumberFormat="1" applyFont="1" applyFill="1" applyBorder="1" applyAlignment="1">
      <alignment horizontal="left" vertical="center"/>
    </xf>
    <xf numFmtId="0" fontId="34" fillId="0" borderId="12" xfId="0" applyFont="1" applyBorder="1" applyAlignment="1">
      <alignment horizontal="justify" vertical="center" wrapText="1"/>
    </xf>
    <xf numFmtId="43" fontId="33" fillId="41" borderId="32" xfId="0" applyNumberFormat="1" applyFont="1" applyFill="1" applyBorder="1" applyAlignment="1">
      <alignment horizontal="left" vertical="center"/>
    </xf>
    <xf numFmtId="0" fontId="34" fillId="0" borderId="15" xfId="0" applyFont="1" applyBorder="1" applyAlignment="1">
      <alignment horizontal="justify" vertical="center" wrapText="1"/>
    </xf>
    <xf numFmtId="43" fontId="32" fillId="0" borderId="41" xfId="0" applyNumberFormat="1" applyFont="1" applyBorder="1" applyAlignment="1">
      <alignment vertical="center"/>
    </xf>
    <xf numFmtId="43" fontId="33" fillId="41" borderId="33" xfId="0" applyNumberFormat="1" applyFont="1" applyFill="1" applyBorder="1" applyAlignment="1">
      <alignment horizontal="left" vertical="center"/>
    </xf>
    <xf numFmtId="43" fontId="33" fillId="41" borderId="30" xfId="0" applyNumberFormat="1" applyFont="1" applyFill="1" applyBorder="1" applyAlignment="1">
      <alignment horizontal="left" vertical="center"/>
    </xf>
    <xf numFmtId="0" fontId="34" fillId="0" borderId="20" xfId="0" applyFont="1" applyFill="1" applyBorder="1" applyAlignment="1">
      <alignment horizontal="center" vertical="center" wrapText="1"/>
    </xf>
    <xf numFmtId="43" fontId="34" fillId="0" borderId="20" xfId="0" applyNumberFormat="1" applyFont="1" applyFill="1" applyBorder="1" applyAlignment="1">
      <alignment horizontal="left" vertical="center" wrapText="1"/>
    </xf>
    <xf numFmtId="1" fontId="34" fillId="0" borderId="18" xfId="0" applyNumberFormat="1" applyFont="1" applyFill="1" applyBorder="1" applyAlignment="1">
      <alignment horizontal="center" vertical="center" wrapText="1"/>
    </xf>
    <xf numFmtId="43" fontId="34" fillId="0" borderId="18" xfId="0" applyNumberFormat="1" applyFont="1" applyFill="1" applyBorder="1" applyAlignment="1">
      <alignment horizontal="left" vertical="center" wrapText="1"/>
    </xf>
    <xf numFmtId="0" fontId="32" fillId="0" borderId="18" xfId="0" applyFont="1" applyBorder="1" applyAlignment="1">
      <alignment horizontal="justify" vertical="center" wrapText="1"/>
    </xf>
    <xf numFmtId="171" fontId="34" fillId="0" borderId="20" xfId="0" applyNumberFormat="1" applyFont="1" applyBorder="1" applyAlignment="1">
      <alignment horizontal="justify" vertical="center" wrapText="1"/>
    </xf>
    <xf numFmtId="172" fontId="33" fillId="41" borderId="33" xfId="55" applyNumberFormat="1" applyFont="1" applyFill="1" applyBorder="1" applyAlignment="1">
      <alignment horizontal="justify" vertical="center" wrapText="1"/>
    </xf>
    <xf numFmtId="43" fontId="33" fillId="42" borderId="42" xfId="51" applyFont="1" applyFill="1" applyBorder="1" applyAlignment="1">
      <alignment horizontal="center" vertical="center" wrapText="1"/>
    </xf>
    <xf numFmtId="43" fontId="33" fillId="40" borderId="33" xfId="41" applyFont="1" applyFill="1" applyBorder="1" applyAlignment="1">
      <alignment vertical="center"/>
    </xf>
    <xf numFmtId="0" fontId="32" fillId="0" borderId="43" xfId="0" applyFont="1" applyBorder="1"/>
    <xf numFmtId="0" fontId="32" fillId="0" borderId="22" xfId="0" applyFont="1" applyBorder="1"/>
    <xf numFmtId="0" fontId="33" fillId="0" borderId="22" xfId="0" applyFont="1" applyBorder="1" applyAlignment="1">
      <alignment horizontal="center" vertical="center"/>
    </xf>
    <xf numFmtId="0" fontId="33" fillId="42" borderId="25" xfId="0" applyFont="1" applyFill="1" applyBorder="1" applyAlignment="1">
      <alignment horizontal="center" vertical="center" wrapText="1"/>
    </xf>
    <xf numFmtId="0" fontId="33" fillId="0" borderId="22" xfId="0" applyFont="1" applyBorder="1" applyAlignment="1">
      <alignment vertical="center"/>
    </xf>
    <xf numFmtId="0" fontId="32" fillId="0" borderId="22" xfId="0" applyFont="1" applyBorder="1" applyAlignment="1">
      <alignment horizontal="center" vertical="center"/>
    </xf>
    <xf numFmtId="0" fontId="36" fillId="0" borderId="22" xfId="0" applyFont="1" applyBorder="1" applyAlignment="1">
      <alignment horizontal="center" vertical="center" wrapText="1"/>
    </xf>
    <xf numFmtId="0" fontId="32" fillId="0" borderId="0" xfId="0" applyFont="1" applyBorder="1"/>
    <xf numFmtId="0" fontId="32" fillId="0" borderId="23" xfId="0" applyFont="1" applyBorder="1"/>
    <xf numFmtId="0" fontId="36" fillId="0" borderId="46" xfId="0" applyFont="1" applyBorder="1"/>
    <xf numFmtId="0" fontId="20" fillId="0" borderId="11" xfId="0" applyFont="1" applyFill="1" applyBorder="1" applyAlignment="1">
      <alignment horizontal="center" vertical="center" wrapText="1"/>
    </xf>
    <xf numFmtId="9" fontId="16" fillId="34" borderId="0" xfId="56" applyFont="1" applyFill="1" applyBorder="1" applyAlignment="1">
      <alignment horizontal="center"/>
    </xf>
    <xf numFmtId="9" fontId="28" fillId="34" borderId="0" xfId="56" applyFont="1" applyFill="1" applyBorder="1" applyAlignment="1">
      <alignment horizontal="center" vertical="center"/>
    </xf>
    <xf numFmtId="10" fontId="28" fillId="34" borderId="0" xfId="56" applyNumberFormat="1" applyFont="1" applyFill="1" applyBorder="1" applyAlignment="1">
      <alignment horizontal="center"/>
    </xf>
    <xf numFmtId="0" fontId="19" fillId="0" borderId="0" xfId="0" applyFont="1"/>
    <xf numFmtId="0" fontId="26" fillId="0" borderId="11" xfId="0" applyFont="1" applyBorder="1" applyAlignment="1">
      <alignment vertical="center"/>
    </xf>
    <xf numFmtId="0" fontId="19" fillId="34" borderId="0" xfId="0" applyFont="1" applyFill="1"/>
    <xf numFmtId="0" fontId="26" fillId="0" borderId="11" xfId="0" applyFont="1" applyBorder="1" applyAlignment="1">
      <alignment horizontal="left" vertical="center"/>
    </xf>
    <xf numFmtId="0" fontId="27" fillId="0" borderId="0" xfId="0" applyFont="1" applyAlignment="1">
      <alignment horizontal="center" vertical="center"/>
    </xf>
    <xf numFmtId="0" fontId="28" fillId="37" borderId="11" xfId="0" applyFont="1" applyFill="1" applyBorder="1" applyAlignment="1">
      <alignment horizontal="center" vertical="center"/>
    </xf>
    <xf numFmtId="43" fontId="21" fillId="37" borderId="11" xfId="0" applyNumberFormat="1" applyFont="1" applyFill="1" applyBorder="1" applyAlignment="1">
      <alignment horizontal="center" vertical="center"/>
    </xf>
    <xf numFmtId="0" fontId="26" fillId="0" borderId="0" xfId="0" applyFont="1" applyAlignment="1">
      <alignment vertical="center"/>
    </xf>
    <xf numFmtId="0" fontId="26" fillId="38" borderId="11" xfId="0" applyFont="1" applyFill="1" applyBorder="1" applyAlignment="1">
      <alignment horizontal="left" vertical="center"/>
    </xf>
    <xf numFmtId="0" fontId="26" fillId="38" borderId="11" xfId="0" applyFont="1" applyFill="1" applyBorder="1" applyAlignment="1">
      <alignment horizontal="center" vertical="center"/>
    </xf>
    <xf numFmtId="0" fontId="26" fillId="38" borderId="11" xfId="0" applyFont="1" applyFill="1" applyBorder="1" applyAlignment="1">
      <alignment horizontal="justify" vertical="center" wrapText="1"/>
    </xf>
    <xf numFmtId="0" fontId="26" fillId="38" borderId="11" xfId="0" applyFont="1" applyFill="1" applyBorder="1" applyAlignment="1">
      <alignment horizontal="center" vertical="center" wrapText="1"/>
    </xf>
    <xf numFmtId="0" fontId="19" fillId="38" borderId="11" xfId="0" applyFont="1" applyFill="1" applyBorder="1" applyAlignment="1">
      <alignment horizontal="center" vertical="center"/>
    </xf>
    <xf numFmtId="0" fontId="19" fillId="38" borderId="11" xfId="0" applyFont="1" applyFill="1" applyBorder="1" applyAlignment="1">
      <alignment vertical="center"/>
    </xf>
    <xf numFmtId="43" fontId="26" fillId="38" borderId="11" xfId="0" applyNumberFormat="1" applyFont="1" applyFill="1" applyBorder="1" applyAlignment="1">
      <alignment vertical="center"/>
    </xf>
    <xf numFmtId="0" fontId="26" fillId="39" borderId="11" xfId="0" applyFont="1" applyFill="1" applyBorder="1" applyAlignment="1">
      <alignment horizontal="justify" vertical="center" wrapText="1"/>
    </xf>
    <xf numFmtId="0" fontId="26" fillId="39" borderId="11" xfId="0" applyFont="1" applyFill="1" applyBorder="1" applyAlignment="1">
      <alignment horizontal="center" vertical="center" wrapText="1"/>
    </xf>
    <xf numFmtId="0" fontId="19" fillId="39" borderId="11" xfId="0" applyFont="1" applyFill="1" applyBorder="1" applyAlignment="1">
      <alignment horizontal="center" vertical="center"/>
    </xf>
    <xf numFmtId="0" fontId="19" fillId="39" borderId="11" xfId="0" applyFont="1" applyFill="1" applyBorder="1" applyAlignment="1">
      <alignment vertical="center"/>
    </xf>
    <xf numFmtId="0" fontId="26" fillId="39" borderId="11" xfId="0" applyFont="1" applyFill="1" applyBorder="1" applyAlignment="1">
      <alignment horizontal="center" vertical="center"/>
    </xf>
    <xf numFmtId="43" fontId="26" fillId="39" borderId="11" xfId="0" applyNumberFormat="1" applyFont="1" applyFill="1" applyBorder="1" applyAlignment="1">
      <alignment vertical="center"/>
    </xf>
    <xf numFmtId="43" fontId="19" fillId="0" borderId="11" xfId="0" applyNumberFormat="1" applyFont="1" applyBorder="1" applyAlignment="1">
      <alignment vertical="center"/>
    </xf>
    <xf numFmtId="43" fontId="21" fillId="37" borderId="11" xfId="51" applyFont="1" applyFill="1" applyBorder="1" applyAlignment="1">
      <alignment horizontal="center" vertical="center"/>
    </xf>
    <xf numFmtId="43" fontId="26" fillId="38" borderId="11" xfId="51" applyFont="1" applyFill="1" applyBorder="1" applyAlignment="1">
      <alignment horizontal="center" vertical="center"/>
    </xf>
    <xf numFmtId="43" fontId="26" fillId="0" borderId="11" xfId="0" applyNumberFormat="1" applyFont="1" applyBorder="1" applyAlignment="1">
      <alignment vertical="center"/>
    </xf>
    <xf numFmtId="0" fontId="20" fillId="0" borderId="0" xfId="0" applyFont="1"/>
    <xf numFmtId="0" fontId="19" fillId="0" borderId="0" xfId="0" applyFont="1" applyAlignment="1">
      <alignment horizontal="left" vertical="center" wrapText="1"/>
    </xf>
    <xf numFmtId="0" fontId="19" fillId="0" borderId="11" xfId="0" applyFont="1" applyBorder="1"/>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lignment horizontal="center"/>
    </xf>
    <xf numFmtId="0" fontId="19" fillId="0" borderId="0" xfId="0" applyFont="1" applyAlignment="1">
      <alignment horizontal="justify" vertical="center" wrapText="1"/>
    </xf>
    <xf numFmtId="0" fontId="19" fillId="0" borderId="0" xfId="0" applyFont="1" applyAlignment="1">
      <alignment horizontal="center" vertical="center" wrapText="1"/>
    </xf>
    <xf numFmtId="0" fontId="19" fillId="0" borderId="0" xfId="0" applyFont="1" applyAlignment="1">
      <alignment horizontal="center" wrapText="1"/>
    </xf>
    <xf numFmtId="43" fontId="21" fillId="37" borderId="11" xfId="0" applyNumberFormat="1" applyFont="1" applyFill="1" applyBorder="1" applyAlignment="1">
      <alignment horizontal="left" vertical="center"/>
    </xf>
    <xf numFmtId="0" fontId="20" fillId="0" borderId="11" xfId="0" applyFont="1" applyBorder="1" applyAlignment="1" applyProtection="1">
      <alignment horizontal="justify" vertical="center" wrapText="1"/>
      <protection locked="0"/>
    </xf>
    <xf numFmtId="0" fontId="20" fillId="0" borderId="11" xfId="0" applyFont="1" applyBorder="1" applyAlignment="1" applyProtection="1">
      <alignment horizontal="center" vertical="center" wrapText="1"/>
      <protection locked="0"/>
    </xf>
    <xf numFmtId="43" fontId="26" fillId="0" borderId="11" xfId="0" applyNumberFormat="1" applyFont="1" applyBorder="1" applyAlignment="1">
      <alignment horizontal="left" vertical="center"/>
    </xf>
    <xf numFmtId="43" fontId="19" fillId="0" borderId="11" xfId="0" applyNumberFormat="1" applyFont="1" applyBorder="1" applyAlignment="1">
      <alignment horizontal="left" vertical="center"/>
    </xf>
    <xf numFmtId="0" fontId="29" fillId="0" borderId="11" xfId="0" applyFont="1" applyBorder="1" applyAlignment="1">
      <alignment horizontal="justify" vertical="center" wrapText="1"/>
    </xf>
    <xf numFmtId="172" fontId="19" fillId="0" borderId="11" xfId="55" applyNumberFormat="1" applyFont="1" applyFill="1" applyBorder="1" applyAlignment="1">
      <alignment horizontal="right" vertical="center"/>
    </xf>
    <xf numFmtId="0" fontId="26" fillId="39" borderId="11" xfId="0" applyFont="1" applyFill="1" applyBorder="1" applyAlignment="1">
      <alignment horizontal="left" vertical="center" wrapText="1"/>
    </xf>
    <xf numFmtId="170" fontId="20" fillId="0" borderId="11" xfId="58" applyNumberFormat="1" applyFont="1" applyFill="1" applyBorder="1" applyAlignment="1">
      <alignment horizontal="center" vertical="center" wrapText="1"/>
    </xf>
    <xf numFmtId="0" fontId="29" fillId="0" borderId="11" xfId="0" applyFont="1" applyBorder="1" applyAlignment="1">
      <alignment horizontal="center" vertical="center" wrapText="1"/>
    </xf>
    <xf numFmtId="167" fontId="19" fillId="0" borderId="11" xfId="0" applyNumberFormat="1" applyFont="1" applyBorder="1" applyAlignment="1">
      <alignment vertical="center"/>
    </xf>
    <xf numFmtId="0" fontId="19" fillId="0" borderId="11" xfId="49" applyNumberFormat="1" applyFont="1" applyFill="1" applyBorder="1">
      <alignment horizontal="center" vertical="center" wrapText="1"/>
    </xf>
    <xf numFmtId="172" fontId="19" fillId="0" borderId="11" xfId="55" applyNumberFormat="1" applyFont="1" applyFill="1" applyBorder="1" applyAlignment="1">
      <alignment horizontal="right" vertical="center" wrapText="1"/>
    </xf>
    <xf numFmtId="43" fontId="19" fillId="0" borderId="11" xfId="0" applyNumberFormat="1" applyFont="1" applyFill="1" applyBorder="1" applyAlignment="1">
      <alignment vertical="center"/>
    </xf>
    <xf numFmtId="0" fontId="19" fillId="0" borderId="0" xfId="0" applyFont="1" applyFill="1"/>
    <xf numFmtId="165" fontId="19" fillId="0" borderId="11" xfId="55" applyFont="1" applyFill="1" applyBorder="1" applyAlignment="1">
      <alignment horizontal="right" vertical="center" wrapText="1"/>
    </xf>
    <xf numFmtId="165" fontId="19" fillId="0" borderId="11" xfId="55" applyFont="1" applyFill="1" applyBorder="1" applyAlignment="1">
      <alignment vertical="center"/>
    </xf>
    <xf numFmtId="43" fontId="26" fillId="39" borderId="11" xfId="0" applyNumberFormat="1" applyFont="1" applyFill="1" applyBorder="1" applyAlignment="1">
      <alignment horizontal="justify" vertical="center" wrapText="1"/>
    </xf>
    <xf numFmtId="0" fontId="19" fillId="0" borderId="0" xfId="0" applyFont="1" applyAlignment="1">
      <alignment vertical="center"/>
    </xf>
    <xf numFmtId="0" fontId="21" fillId="37" borderId="11" xfId="0" applyFont="1" applyFill="1" applyBorder="1" applyAlignment="1">
      <alignment horizontal="left" vertical="center"/>
    </xf>
    <xf numFmtId="0" fontId="21" fillId="37" borderId="11" xfId="0" applyFont="1" applyFill="1" applyBorder="1" applyAlignment="1">
      <alignment horizontal="center" vertical="center"/>
    </xf>
    <xf numFmtId="0" fontId="21" fillId="37" borderId="11" xfId="0" applyFont="1" applyFill="1" applyBorder="1" applyAlignment="1">
      <alignment horizontal="justify" vertical="center" wrapText="1"/>
    </xf>
    <xf numFmtId="0" fontId="21" fillId="37" borderId="11" xfId="0" applyFont="1" applyFill="1" applyBorder="1" applyAlignment="1">
      <alignment horizontal="center" vertical="center" wrapText="1"/>
    </xf>
    <xf numFmtId="176" fontId="19" fillId="0" borderId="11" xfId="60" applyNumberFormat="1" applyFont="1" applyFill="1" applyBorder="1" applyAlignment="1">
      <alignment horizontal="center" vertical="center"/>
    </xf>
    <xf numFmtId="0" fontId="19" fillId="0" borderId="11" xfId="0" applyFont="1" applyBorder="1" applyAlignment="1">
      <alignment vertical="center" wrapText="1"/>
    </xf>
    <xf numFmtId="43" fontId="19" fillId="0" borderId="11" xfId="0" applyNumberFormat="1" applyFont="1" applyBorder="1" applyAlignment="1">
      <alignment horizontal="justify" vertical="center"/>
    </xf>
    <xf numFmtId="0" fontId="26" fillId="39" borderId="11" xfId="0" applyFont="1" applyFill="1" applyBorder="1" applyAlignment="1">
      <alignment vertical="center" wrapText="1"/>
    </xf>
    <xf numFmtId="0" fontId="19" fillId="39" borderId="11" xfId="0" applyFont="1" applyFill="1" applyBorder="1" applyAlignment="1">
      <alignment horizontal="center" vertical="center" wrapText="1"/>
    </xf>
    <xf numFmtId="0" fontId="19" fillId="39" borderId="11" xfId="0" applyFont="1" applyFill="1" applyBorder="1" applyAlignment="1">
      <alignment horizontal="justify" vertical="center" wrapText="1"/>
    </xf>
    <xf numFmtId="0" fontId="19" fillId="0" borderId="11" xfId="0" applyFont="1" applyFill="1" applyBorder="1"/>
    <xf numFmtId="4" fontId="19" fillId="0" borderId="11" xfId="0" applyNumberFormat="1" applyFont="1" applyBorder="1" applyAlignment="1">
      <alignment horizontal="right" vertical="center" wrapText="1"/>
    </xf>
    <xf numFmtId="0" fontId="26" fillId="39" borderId="11" xfId="0" applyFont="1" applyFill="1" applyBorder="1" applyAlignment="1">
      <alignment vertical="center"/>
    </xf>
    <xf numFmtId="0" fontId="19" fillId="34" borderId="11" xfId="0" applyFont="1" applyFill="1" applyBorder="1" applyAlignment="1">
      <alignment horizontal="justify" vertical="center" wrapText="1"/>
    </xf>
    <xf numFmtId="0" fontId="19" fillId="34" borderId="11" xfId="0" applyFont="1" applyFill="1" applyBorder="1" applyAlignment="1">
      <alignment horizontal="center" vertical="center" wrapText="1"/>
    </xf>
    <xf numFmtId="43" fontId="26" fillId="34" borderId="11" xfId="0" applyNumberFormat="1" applyFont="1" applyFill="1" applyBorder="1" applyAlignment="1">
      <alignment vertical="center"/>
    </xf>
    <xf numFmtId="43" fontId="19" fillId="0" borderId="11" xfId="0" applyNumberFormat="1" applyFont="1" applyBorder="1" applyAlignment="1">
      <alignment horizontal="justify" vertical="center" wrapText="1"/>
    </xf>
    <xf numFmtId="43" fontId="19" fillId="0" borderId="11" xfId="0" applyNumberFormat="1" applyFont="1" applyBorder="1" applyAlignment="1">
      <alignment horizontal="right" vertical="center"/>
    </xf>
    <xf numFmtId="43" fontId="20" fillId="0" borderId="11" xfId="0" applyNumberFormat="1" applyFont="1" applyBorder="1" applyAlignment="1">
      <alignment vertical="center"/>
    </xf>
    <xf numFmtId="0" fontId="19" fillId="0" borderId="11" xfId="0" applyFont="1" applyFill="1" applyBorder="1" applyAlignment="1">
      <alignment horizontal="center" vertical="center"/>
    </xf>
    <xf numFmtId="1" fontId="19" fillId="0" borderId="11" xfId="0" applyNumberFormat="1" applyFont="1" applyBorder="1" applyAlignment="1">
      <alignment horizontal="center" vertical="center" wrapText="1"/>
    </xf>
    <xf numFmtId="0" fontId="19" fillId="0" borderId="11" xfId="0" applyFont="1" applyFill="1" applyBorder="1" applyAlignment="1" applyProtection="1">
      <alignment horizontal="center" vertical="center" wrapText="1"/>
      <protection locked="0"/>
    </xf>
    <xf numFmtId="0" fontId="19" fillId="0" borderId="11" xfId="0" applyFont="1" applyFill="1" applyBorder="1" applyAlignment="1" applyProtection="1">
      <alignment horizontal="justify" vertical="center" wrapText="1"/>
      <protection locked="0"/>
    </xf>
    <xf numFmtId="0" fontId="20" fillId="0" borderId="0" xfId="0" applyFont="1" applyFill="1"/>
    <xf numFmtId="0" fontId="19" fillId="0" borderId="11" xfId="0" applyFont="1" applyBorder="1" applyAlignment="1" applyProtection="1">
      <alignment horizontal="center" vertical="center" wrapText="1"/>
      <protection locked="0"/>
    </xf>
    <xf numFmtId="0" fontId="19" fillId="0" borderId="11" xfId="0" applyFont="1" applyBorder="1" applyAlignment="1" applyProtection="1">
      <alignment horizontal="justify" vertical="center" wrapText="1"/>
      <protection locked="0"/>
    </xf>
    <xf numFmtId="4" fontId="19" fillId="0" borderId="11" xfId="0" applyNumberFormat="1" applyFont="1" applyBorder="1" applyAlignment="1">
      <alignment vertical="center" wrapText="1"/>
    </xf>
    <xf numFmtId="166" fontId="19" fillId="0" borderId="11" xfId="58" applyFont="1" applyFill="1" applyBorder="1" applyAlignment="1">
      <alignment horizontal="center" vertical="center"/>
    </xf>
    <xf numFmtId="0" fontId="20" fillId="0" borderId="11" xfId="0" applyFont="1" applyFill="1" applyBorder="1" applyAlignment="1">
      <alignment horizontal="justify" vertical="center" wrapText="1"/>
    </xf>
    <xf numFmtId="0" fontId="26" fillId="40" borderId="11" xfId="0" applyFont="1" applyFill="1" applyBorder="1" applyAlignment="1">
      <alignment horizontal="center" vertical="center" wrapText="1"/>
    </xf>
    <xf numFmtId="0" fontId="26" fillId="40" borderId="11" xfId="0" applyFont="1" applyFill="1" applyBorder="1" applyAlignment="1">
      <alignment horizontal="justify" vertical="center" wrapText="1"/>
    </xf>
    <xf numFmtId="43" fontId="26" fillId="40" borderId="11" xfId="0" applyNumberFormat="1" applyFont="1" applyFill="1" applyBorder="1" applyAlignment="1">
      <alignment vertical="center"/>
    </xf>
    <xf numFmtId="0" fontId="26" fillId="0" borderId="0" xfId="0" applyFont="1"/>
    <xf numFmtId="43" fontId="26" fillId="38" borderId="11" xfId="0" applyNumberFormat="1" applyFont="1" applyFill="1" applyBorder="1" applyAlignment="1">
      <alignment vertical="center" wrapText="1"/>
    </xf>
    <xf numFmtId="43" fontId="26" fillId="39" borderId="11" xfId="0" applyNumberFormat="1" applyFont="1" applyFill="1" applyBorder="1" applyAlignment="1">
      <alignment horizontal="center" vertical="center" wrapText="1"/>
    </xf>
    <xf numFmtId="43" fontId="19" fillId="39" borderId="11" xfId="0" applyNumberFormat="1" applyFont="1" applyFill="1" applyBorder="1" applyAlignment="1">
      <alignment vertical="center" wrapText="1"/>
    </xf>
    <xf numFmtId="0" fontId="19" fillId="39" borderId="11" xfId="0" applyFont="1" applyFill="1" applyBorder="1" applyAlignment="1">
      <alignment vertical="center" wrapText="1"/>
    </xf>
    <xf numFmtId="43" fontId="26" fillId="39" borderId="11" xfId="0" applyNumberFormat="1" applyFont="1" applyFill="1" applyBorder="1" applyAlignment="1">
      <alignment vertical="center" wrapText="1"/>
    </xf>
    <xf numFmtId="0" fontId="19" fillId="0" borderId="11" xfId="0" applyFont="1" applyBorder="1" applyAlignment="1" applyProtection="1">
      <alignment horizontal="center" vertical="center"/>
      <protection locked="0"/>
    </xf>
    <xf numFmtId="0" fontId="26" fillId="38" borderId="11" xfId="0" applyFont="1" applyFill="1" applyBorder="1" applyAlignment="1">
      <alignment horizontal="left" vertical="center" wrapText="1"/>
    </xf>
    <xf numFmtId="165" fontId="33" fillId="0" borderId="0" xfId="55" applyFont="1" applyAlignment="1">
      <alignment vertical="center"/>
    </xf>
    <xf numFmtId="165" fontId="36" fillId="0" borderId="0" xfId="55" applyFont="1"/>
    <xf numFmtId="0" fontId="34" fillId="0" borderId="20" xfId="0" applyFont="1" applyBorder="1" applyAlignment="1">
      <alignment horizontal="justify" vertical="center" wrapText="1"/>
    </xf>
    <xf numFmtId="0" fontId="34" fillId="0" borderId="11" xfId="0" applyFont="1" applyBorder="1" applyAlignment="1">
      <alignment horizontal="justify" vertical="center" wrapText="1"/>
    </xf>
    <xf numFmtId="0" fontId="34" fillId="0" borderId="18" xfId="0" applyFont="1" applyBorder="1" applyAlignment="1">
      <alignment horizontal="justify" vertical="center" wrapText="1"/>
    </xf>
    <xf numFmtId="0" fontId="34" fillId="0" borderId="21" xfId="0" applyFont="1" applyBorder="1" applyAlignment="1">
      <alignment horizontal="justify" vertical="center" wrapText="1"/>
    </xf>
    <xf numFmtId="0" fontId="34" fillId="0" borderId="26" xfId="0" applyFont="1" applyBorder="1" applyAlignment="1">
      <alignment horizontal="justify" vertical="center" wrapText="1"/>
    </xf>
    <xf numFmtId="0" fontId="34" fillId="0" borderId="29" xfId="0" applyFont="1" applyBorder="1" applyAlignment="1">
      <alignment horizontal="justify" vertical="center" wrapText="1"/>
    </xf>
    <xf numFmtId="0" fontId="34" fillId="0" borderId="20" xfId="0" applyFont="1" applyFill="1" applyBorder="1" applyAlignment="1">
      <alignment horizontal="justify" vertical="center" wrapText="1"/>
    </xf>
    <xf numFmtId="0" fontId="34" fillId="0" borderId="18" xfId="0" applyFont="1" applyFill="1" applyBorder="1" applyAlignment="1">
      <alignment horizontal="justify" vertical="center" wrapText="1"/>
    </xf>
    <xf numFmtId="0" fontId="33" fillId="0" borderId="26" xfId="0" applyFont="1" applyBorder="1" applyAlignment="1">
      <alignment horizontal="justify" vertical="center" wrapText="1"/>
    </xf>
    <xf numFmtId="0" fontId="33" fillId="40" borderId="30" xfId="0" applyFont="1" applyFill="1" applyBorder="1" applyAlignment="1">
      <alignment horizontal="center" vertical="center" wrapText="1"/>
    </xf>
    <xf numFmtId="0" fontId="33" fillId="40" borderId="31" xfId="0" applyFont="1" applyFill="1" applyBorder="1" applyAlignment="1">
      <alignment horizontal="center" vertical="center" wrapText="1"/>
    </xf>
    <xf numFmtId="0" fontId="33" fillId="40" borderId="32" xfId="0" applyFont="1" applyFill="1" applyBorder="1" applyAlignment="1">
      <alignment horizontal="center" vertical="center" wrapText="1"/>
    </xf>
    <xf numFmtId="171" fontId="22" fillId="0" borderId="0" xfId="57" applyNumberFormat="1" applyFont="1" applyFill="1" applyBorder="1" applyAlignment="1"/>
    <xf numFmtId="167" fontId="32" fillId="0" borderId="0" xfId="0" applyNumberFormat="1" applyFont="1"/>
    <xf numFmtId="0" fontId="34" fillId="0" borderId="22" xfId="0" applyFont="1" applyBorder="1" applyAlignment="1">
      <alignment horizontal="justify" vertical="center" wrapText="1"/>
    </xf>
    <xf numFmtId="0" fontId="34" fillId="0" borderId="0" xfId="0" applyFont="1" applyBorder="1" applyAlignment="1">
      <alignment horizontal="center" vertical="center" wrapText="1"/>
    </xf>
    <xf numFmtId="0" fontId="34" fillId="0" borderId="21" xfId="0" applyFont="1" applyBorder="1" applyAlignment="1">
      <alignment horizontal="center" vertical="center" wrapText="1"/>
    </xf>
    <xf numFmtId="0" fontId="32" fillId="0" borderId="24" xfId="0" applyFont="1" applyFill="1" applyBorder="1" applyAlignment="1">
      <alignment horizontal="center" vertical="center" wrapText="1"/>
    </xf>
    <xf numFmtId="0" fontId="33" fillId="42" borderId="24" xfId="0" applyFont="1" applyFill="1" applyBorder="1" applyAlignment="1">
      <alignment horizontal="left" vertical="center"/>
    </xf>
    <xf numFmtId="43" fontId="35" fillId="0" borderId="27" xfId="0" applyNumberFormat="1" applyFont="1" applyBorder="1" applyAlignment="1">
      <alignment vertical="center"/>
    </xf>
    <xf numFmtId="43" fontId="34" fillId="0" borderId="27" xfId="0" applyNumberFormat="1" applyFont="1" applyBorder="1" applyAlignment="1">
      <alignment vertical="center"/>
    </xf>
    <xf numFmtId="43" fontId="34" fillId="0" borderId="34" xfId="0" applyNumberFormat="1" applyFont="1" applyFill="1" applyBorder="1" applyAlignment="1">
      <alignment horizontal="left" vertical="center" wrapText="1"/>
    </xf>
    <xf numFmtId="43" fontId="34" fillId="0" borderId="27" xfId="0" applyNumberFormat="1" applyFont="1" applyFill="1" applyBorder="1" applyAlignment="1">
      <alignment horizontal="left" vertical="center" wrapText="1"/>
    </xf>
    <xf numFmtId="43" fontId="34" fillId="0" borderId="41" xfId="0" applyNumberFormat="1" applyFont="1" applyFill="1" applyBorder="1" applyAlignment="1">
      <alignment horizontal="left" vertical="center" wrapText="1"/>
    </xf>
    <xf numFmtId="171" fontId="34" fillId="0" borderId="18" xfId="0" applyNumberFormat="1" applyFont="1" applyBorder="1" applyAlignment="1">
      <alignment horizontal="justify" vertical="center" wrapText="1"/>
    </xf>
    <xf numFmtId="43" fontId="32" fillId="0" borderId="47" xfId="0" applyNumberFormat="1" applyFont="1" applyBorder="1" applyAlignment="1">
      <alignment vertical="center"/>
    </xf>
    <xf numFmtId="43" fontId="32" fillId="0" borderId="48" xfId="0" applyNumberFormat="1" applyFont="1" applyBorder="1" applyAlignment="1">
      <alignment vertical="center"/>
    </xf>
    <xf numFmtId="3" fontId="34" fillId="0" borderId="20" xfId="0" applyNumberFormat="1" applyFont="1" applyBorder="1" applyAlignment="1">
      <alignment horizontal="justify" vertical="center" wrapText="1"/>
    </xf>
    <xf numFmtId="0" fontId="33" fillId="42" borderId="31" xfId="0" applyFont="1" applyFill="1" applyBorder="1" applyAlignment="1">
      <alignment horizontal="center" vertical="center" wrapText="1"/>
    </xf>
    <xf numFmtId="0" fontId="33" fillId="42" borderId="32" xfId="0" applyFont="1" applyFill="1" applyBorder="1" applyAlignment="1">
      <alignment horizontal="justify" vertical="center" wrapText="1"/>
    </xf>
    <xf numFmtId="43" fontId="33" fillId="42" borderId="33" xfId="41" applyFont="1" applyFill="1" applyBorder="1" applyAlignment="1">
      <alignment horizontal="justify" vertical="center"/>
    </xf>
    <xf numFmtId="43" fontId="33" fillId="41" borderId="36" xfId="0" applyNumberFormat="1" applyFont="1" applyFill="1" applyBorder="1" applyAlignment="1">
      <alignment horizontal="left" vertical="center" wrapText="1"/>
    </xf>
    <xf numFmtId="0" fontId="33" fillId="40" borderId="33" xfId="0" applyFont="1" applyFill="1" applyBorder="1" applyAlignment="1">
      <alignment horizontal="center" vertical="center" wrapText="1"/>
    </xf>
    <xf numFmtId="43" fontId="19" fillId="0" borderId="11" xfId="0" applyNumberFormat="1" applyFont="1" applyFill="1" applyBorder="1" applyAlignment="1">
      <alignment horizontal="right" vertical="center" wrapText="1"/>
    </xf>
    <xf numFmtId="43" fontId="19" fillId="34" borderId="11" xfId="0" applyNumberFormat="1" applyFont="1" applyFill="1" applyBorder="1" applyAlignment="1">
      <alignment vertical="center"/>
    </xf>
    <xf numFmtId="176" fontId="19" fillId="34" borderId="11" xfId="60" applyNumberFormat="1" applyFont="1" applyFill="1" applyBorder="1" applyAlignment="1">
      <alignment horizontal="center" vertical="center"/>
    </xf>
    <xf numFmtId="0" fontId="19" fillId="0" borderId="11" xfId="59" applyFont="1" applyBorder="1" applyAlignment="1">
      <alignment horizontal="center" vertical="center" wrapText="1"/>
    </xf>
    <xf numFmtId="0" fontId="20" fillId="0" borderId="11" xfId="59" applyFont="1" applyBorder="1" applyAlignment="1">
      <alignment horizontal="justify" vertical="center"/>
    </xf>
    <xf numFmtId="0" fontId="19" fillId="0" borderId="11" xfId="59" applyFont="1" applyBorder="1" applyAlignment="1">
      <alignment horizontal="center" vertical="center"/>
    </xf>
    <xf numFmtId="0" fontId="19" fillId="0" borderId="11" xfId="43" applyFont="1" applyFill="1" applyBorder="1">
      <alignment horizontal="center" vertical="center" wrapText="1"/>
    </xf>
    <xf numFmtId="0" fontId="19" fillId="0" borderId="11" xfId="43" applyFont="1" applyFill="1" applyBorder="1" applyAlignment="1">
      <alignment horizontal="justify" vertical="center" wrapText="1"/>
    </xf>
    <xf numFmtId="0" fontId="19" fillId="0" borderId="11" xfId="59" applyFont="1" applyFill="1" applyBorder="1" applyAlignment="1">
      <alignment horizontal="center" vertical="center" wrapText="1"/>
    </xf>
    <xf numFmtId="0" fontId="19" fillId="0" borderId="11" xfId="59" applyFont="1" applyBorder="1" applyAlignment="1">
      <alignment horizontal="justify" vertical="center" wrapText="1"/>
    </xf>
    <xf numFmtId="0" fontId="20" fillId="0" borderId="11" xfId="59" applyFont="1" applyBorder="1" applyAlignment="1">
      <alignment horizontal="center" vertical="center" wrapText="1"/>
    </xf>
    <xf numFmtId="0" fontId="20" fillId="0" borderId="11" xfId="59" applyFont="1" applyBorder="1" applyAlignment="1">
      <alignment horizontal="justify" vertical="center" wrapText="1"/>
    </xf>
    <xf numFmtId="2" fontId="19" fillId="0" borderId="11" xfId="42" applyNumberFormat="1" applyFont="1" applyFill="1" applyBorder="1" applyAlignment="1">
      <alignment horizontal="center" vertical="center" wrapText="1"/>
    </xf>
    <xf numFmtId="0" fontId="19" fillId="0" borderId="11" xfId="59" applyFont="1" applyFill="1" applyBorder="1" applyAlignment="1">
      <alignment horizontal="justify" vertical="center" wrapText="1"/>
    </xf>
    <xf numFmtId="0" fontId="20" fillId="0" borderId="11" xfId="59" applyFont="1" applyBorder="1" applyAlignment="1">
      <alignment horizontal="center" vertical="center"/>
    </xf>
    <xf numFmtId="0" fontId="20" fillId="0" borderId="11" xfId="59" applyFont="1" applyFill="1" applyBorder="1" applyAlignment="1">
      <alignment horizontal="center" vertical="center"/>
    </xf>
    <xf numFmtId="0" fontId="19" fillId="0" borderId="11" xfId="42" applyNumberFormat="1" applyFont="1" applyFill="1" applyBorder="1" applyAlignment="1">
      <alignment horizontal="center" vertical="center" wrapText="1"/>
    </xf>
    <xf numFmtId="49" fontId="20" fillId="0" borderId="11" xfId="59" applyNumberFormat="1" applyFont="1" applyBorder="1" applyAlignment="1">
      <alignment horizontal="justify" vertical="center" wrapText="1"/>
    </xf>
    <xf numFmtId="0" fontId="20" fillId="0" borderId="11" xfId="55" applyNumberFormat="1" applyFont="1" applyFill="1" applyBorder="1" applyAlignment="1">
      <alignment horizontal="center" vertical="center"/>
    </xf>
    <xf numFmtId="2" fontId="19" fillId="0" borderId="11" xfId="43" applyNumberFormat="1" applyFont="1" applyFill="1" applyBorder="1">
      <alignment horizontal="center" vertical="center" wrapText="1"/>
    </xf>
    <xf numFmtId="175" fontId="19" fillId="0" borderId="11" xfId="43" applyNumberFormat="1" applyFont="1" applyFill="1" applyBorder="1">
      <alignment horizontal="center" vertical="center" wrapText="1"/>
    </xf>
    <xf numFmtId="0" fontId="20" fillId="0" borderId="11" xfId="59" applyFont="1" applyFill="1" applyBorder="1" applyAlignment="1">
      <alignment horizontal="justify" vertical="center" wrapText="1"/>
    </xf>
    <xf numFmtId="0" fontId="37" fillId="0" borderId="11" xfId="59" applyFont="1" applyBorder="1" applyAlignment="1">
      <alignment horizontal="center" vertical="center" wrapText="1"/>
    </xf>
    <xf numFmtId="4" fontId="19" fillId="0" borderId="11" xfId="42" applyNumberFormat="1" applyFont="1" applyFill="1" applyBorder="1" applyAlignment="1">
      <alignment horizontal="center" vertical="center"/>
    </xf>
    <xf numFmtId="0" fontId="26" fillId="0" borderId="11" xfId="0" applyFont="1" applyBorder="1" applyAlignment="1">
      <alignment horizontal="right"/>
    </xf>
    <xf numFmtId="173" fontId="26" fillId="0" borderId="11" xfId="0" applyNumberFormat="1" applyFont="1" applyBorder="1" applyAlignment="1">
      <alignment horizontal="right"/>
    </xf>
    <xf numFmtId="17" fontId="26" fillId="0" borderId="11" xfId="0" applyNumberFormat="1" applyFont="1" applyBorder="1" applyAlignment="1">
      <alignment horizontal="right"/>
    </xf>
    <xf numFmtId="3" fontId="26" fillId="35" borderId="11" xfId="0" applyNumberFormat="1" applyFont="1" applyFill="1" applyBorder="1" applyAlignment="1">
      <alignment horizontal="right" wrapText="1"/>
    </xf>
    <xf numFmtId="0" fontId="20" fillId="34" borderId="11" xfId="0" applyFont="1" applyFill="1" applyBorder="1" applyAlignment="1" applyProtection="1">
      <alignment horizontal="center" vertical="center" wrapText="1"/>
      <protection locked="0"/>
    </xf>
    <xf numFmtId="0" fontId="19" fillId="34" borderId="11" xfId="59" applyFont="1" applyFill="1" applyBorder="1" applyAlignment="1">
      <alignment horizontal="center" vertical="center"/>
    </xf>
    <xf numFmtId="0" fontId="19" fillId="34" borderId="11" xfId="49" applyNumberFormat="1" applyFont="1" applyFill="1" applyBorder="1">
      <alignment horizontal="center" vertical="center" wrapText="1"/>
    </xf>
    <xf numFmtId="0" fontId="19" fillId="34" borderId="11" xfId="59" applyFont="1" applyFill="1" applyBorder="1" applyAlignment="1">
      <alignment horizontal="center" vertical="center" wrapText="1"/>
    </xf>
    <xf numFmtId="0" fontId="20" fillId="34" borderId="11" xfId="59" applyFont="1" applyFill="1" applyBorder="1" applyAlignment="1">
      <alignment horizontal="center" vertical="center"/>
    </xf>
    <xf numFmtId="0" fontId="20" fillId="34" borderId="11" xfId="0" applyFont="1" applyFill="1" applyBorder="1" applyAlignment="1">
      <alignment horizontal="center" vertical="center"/>
    </xf>
    <xf numFmtId="0" fontId="20" fillId="34" borderId="11" xfId="0" applyFont="1" applyFill="1" applyBorder="1" applyAlignment="1">
      <alignment horizontal="justify" vertical="center" wrapText="1"/>
    </xf>
    <xf numFmtId="0" fontId="20" fillId="34" borderId="11" xfId="0" applyFont="1" applyFill="1" applyBorder="1" applyAlignment="1">
      <alignment horizontal="center" vertical="center" wrapText="1"/>
    </xf>
    <xf numFmtId="3" fontId="19" fillId="34" borderId="11" xfId="0" applyNumberFormat="1" applyFont="1" applyFill="1" applyBorder="1" applyAlignment="1">
      <alignment horizontal="center" vertical="center" wrapText="1"/>
    </xf>
    <xf numFmtId="0" fontId="31" fillId="34" borderId="11" xfId="0" applyFont="1" applyFill="1" applyBorder="1" applyAlignment="1">
      <alignment horizontal="center" vertical="center" wrapText="1"/>
    </xf>
    <xf numFmtId="0" fontId="31" fillId="34" borderId="11" xfId="0" applyFont="1" applyFill="1" applyBorder="1" applyAlignment="1">
      <alignment horizontal="justify" vertical="center" wrapText="1"/>
    </xf>
    <xf numFmtId="0" fontId="19" fillId="34" borderId="11" xfId="0" applyFont="1" applyFill="1" applyBorder="1" applyAlignment="1">
      <alignment horizontal="center" vertical="center"/>
    </xf>
    <xf numFmtId="0" fontId="19" fillId="34" borderId="11" xfId="43" applyFont="1" applyFill="1" applyBorder="1">
      <alignment horizontal="center" vertical="center" wrapText="1"/>
    </xf>
    <xf numFmtId="0" fontId="19" fillId="34" borderId="11" xfId="59" applyFont="1" applyFill="1" applyBorder="1" applyAlignment="1">
      <alignment horizontal="justify" vertical="center" wrapText="1"/>
    </xf>
    <xf numFmtId="167" fontId="26" fillId="39" borderId="11" xfId="0" applyNumberFormat="1" applyFont="1" applyFill="1" applyBorder="1" applyAlignment="1">
      <alignment vertical="center"/>
    </xf>
    <xf numFmtId="43" fontId="19" fillId="34" borderId="11" xfId="41" applyFont="1" applyFill="1" applyBorder="1" applyAlignment="1">
      <alignment horizontal="justify" vertical="center"/>
    </xf>
    <xf numFmtId="2" fontId="19" fillId="34" borderId="11" xfId="43" applyNumberFormat="1" applyFont="1" applyFill="1" applyBorder="1">
      <alignment horizontal="center" vertical="center" wrapText="1"/>
    </xf>
    <xf numFmtId="167" fontId="31" fillId="0" borderId="11" xfId="0" applyNumberFormat="1" applyFont="1" applyFill="1" applyBorder="1" applyAlignment="1">
      <alignment horizontal="center" vertical="center"/>
    </xf>
    <xf numFmtId="0" fontId="26" fillId="0" borderId="11" xfId="0" applyFont="1" applyFill="1" applyBorder="1" applyAlignment="1">
      <alignment horizontal="center" vertical="center" wrapText="1"/>
    </xf>
    <xf numFmtId="0" fontId="19" fillId="0" borderId="11" xfId="0" applyFont="1" applyBorder="1" applyAlignment="1">
      <alignment horizontal="center" vertical="center" wrapText="1"/>
    </xf>
    <xf numFmtId="0" fontId="19" fillId="0" borderId="11" xfId="0" applyFont="1" applyBorder="1" applyAlignment="1">
      <alignment horizontal="justify" vertical="center" wrapText="1"/>
    </xf>
    <xf numFmtId="0" fontId="20" fillId="0" borderId="11" xfId="0" applyFont="1" applyBorder="1" applyAlignment="1">
      <alignment horizontal="justify" vertical="center" wrapText="1"/>
    </xf>
    <xf numFmtId="0" fontId="26" fillId="39" borderId="11" xfId="0" applyFont="1" applyFill="1" applyBorder="1" applyAlignment="1">
      <alignment horizontal="left" vertical="center"/>
    </xf>
    <xf numFmtId="3" fontId="19" fillId="0" borderId="11" xfId="0" applyNumberFormat="1" applyFont="1" applyBorder="1" applyAlignment="1">
      <alignment horizontal="center" vertical="center" wrapText="1"/>
    </xf>
    <xf numFmtId="43" fontId="19" fillId="0" borderId="11" xfId="51"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1" xfId="0" applyFont="1" applyFill="1" applyBorder="1" applyAlignment="1">
      <alignment horizontal="justify" vertical="center" wrapText="1"/>
    </xf>
    <xf numFmtId="0" fontId="20" fillId="0" borderId="11" xfId="0" applyFont="1" applyBorder="1" applyAlignment="1">
      <alignment horizontal="center" vertical="center" wrapText="1"/>
    </xf>
    <xf numFmtId="0" fontId="19" fillId="0" borderId="11" xfId="0" applyFont="1" applyBorder="1" applyAlignment="1">
      <alignment horizontal="center" vertical="center"/>
    </xf>
    <xf numFmtId="43" fontId="19" fillId="34" borderId="11" xfId="51" applyFont="1" applyFill="1" applyBorder="1" applyAlignment="1">
      <alignment horizontal="right" vertical="center" wrapText="1"/>
    </xf>
    <xf numFmtId="167" fontId="31" fillId="34" borderId="11" xfId="0" applyNumberFormat="1" applyFont="1" applyFill="1" applyBorder="1" applyAlignment="1">
      <alignment horizontal="center" vertical="center"/>
    </xf>
    <xf numFmtId="0" fontId="19" fillId="34" borderId="11" xfId="0" applyFont="1" applyFill="1" applyBorder="1" applyAlignment="1" applyProtection="1">
      <alignment horizontal="center" vertical="center" wrapText="1"/>
      <protection locked="0"/>
    </xf>
    <xf numFmtId="0" fontId="19" fillId="34" borderId="11" xfId="0" applyFont="1" applyFill="1" applyBorder="1" applyAlignment="1" applyProtection="1">
      <alignment horizontal="justify" vertical="center" wrapText="1"/>
      <protection locked="0"/>
    </xf>
    <xf numFmtId="0" fontId="19" fillId="34" borderId="11" xfId="42" applyNumberFormat="1" applyFont="1" applyFill="1" applyBorder="1" applyAlignment="1">
      <alignment horizontal="center" vertical="center" wrapText="1"/>
    </xf>
    <xf numFmtId="0" fontId="27" fillId="36" borderId="18" xfId="48" applyNumberFormat="1" applyFont="1" applyFill="1" applyBorder="1" applyAlignment="1">
      <alignment horizontal="center" vertical="center" wrapText="1"/>
    </xf>
    <xf numFmtId="171" fontId="27" fillId="36" borderId="18" xfId="41" applyNumberFormat="1" applyFont="1" applyFill="1" applyBorder="1" applyAlignment="1">
      <alignment horizontal="center" vertical="center" wrapText="1"/>
    </xf>
    <xf numFmtId="0" fontId="26" fillId="0" borderId="11" xfId="0" applyFont="1" applyBorder="1" applyAlignment="1">
      <alignment horizontal="left" vertical="center" wrapText="1"/>
    </xf>
    <xf numFmtId="0" fontId="26" fillId="0" borderId="11" xfId="0" applyFont="1" applyBorder="1" applyAlignment="1">
      <alignment horizontal="center" vertical="center" wrapText="1"/>
    </xf>
    <xf numFmtId="0" fontId="19" fillId="0" borderId="11" xfId="0" applyFont="1" applyBorder="1" applyAlignment="1">
      <alignment horizontal="left" vertical="center" wrapText="1"/>
    </xf>
    <xf numFmtId="171" fontId="20" fillId="0" borderId="11" xfId="41" applyNumberFormat="1" applyFont="1" applyFill="1" applyBorder="1" applyAlignment="1">
      <alignment horizontal="center" vertical="center" wrapText="1"/>
    </xf>
    <xf numFmtId="0" fontId="20" fillId="0" borderId="11" xfId="41" applyNumberFormat="1" applyFont="1" applyFill="1" applyBorder="1" applyAlignment="1">
      <alignment horizontal="center" vertical="center" wrapText="1"/>
    </xf>
    <xf numFmtId="43" fontId="20" fillId="0" borderId="11" xfId="41" applyFont="1" applyFill="1" applyBorder="1" applyAlignment="1">
      <alignment horizontal="justify" vertical="center"/>
    </xf>
    <xf numFmtId="43" fontId="20" fillId="0" borderId="11" xfId="51" applyFont="1" applyFill="1" applyBorder="1" applyAlignment="1">
      <alignment horizontal="right" vertical="center" wrapText="1"/>
    </xf>
    <xf numFmtId="2" fontId="19" fillId="0" borderId="11" xfId="59" applyNumberFormat="1" applyFont="1" applyBorder="1" applyAlignment="1">
      <alignment horizontal="center" vertical="center"/>
    </xf>
    <xf numFmtId="0" fontId="19" fillId="0" borderId="11" xfId="0" applyFont="1" applyBorder="1" applyAlignment="1">
      <alignment horizontal="left" vertical="center"/>
    </xf>
    <xf numFmtId="0" fontId="26" fillId="0" borderId="11" xfId="0" applyFont="1" applyFill="1" applyBorder="1" applyAlignment="1">
      <alignment horizontal="left" vertical="center" wrapText="1"/>
    </xf>
    <xf numFmtId="170" fontId="19" fillId="0" borderId="11" xfId="49" applyFont="1" applyFill="1" applyBorder="1">
      <alignment horizontal="center" vertical="center" wrapText="1"/>
    </xf>
    <xf numFmtId="43" fontId="26" fillId="39" borderId="11" xfId="0" applyNumberFormat="1" applyFont="1" applyFill="1" applyBorder="1" applyAlignment="1">
      <alignment horizontal="left" vertical="center"/>
    </xf>
    <xf numFmtId="43" fontId="19" fillId="0" borderId="11" xfId="41" applyFont="1" applyFill="1" applyBorder="1" applyAlignment="1">
      <alignment vertical="center"/>
    </xf>
    <xf numFmtId="0" fontId="26" fillId="34" borderId="11" xfId="0" applyFont="1" applyFill="1" applyBorder="1" applyAlignment="1">
      <alignment horizontal="center" vertical="center" wrapText="1"/>
    </xf>
    <xf numFmtId="43" fontId="19" fillId="0" borderId="11" xfId="51" applyFont="1" applyFill="1" applyBorder="1" applyAlignment="1">
      <alignment horizontal="right" vertical="center"/>
    </xf>
    <xf numFmtId="0" fontId="26" fillId="38" borderId="11" xfId="0" applyFont="1" applyFill="1" applyBorder="1" applyAlignment="1">
      <alignment vertical="center"/>
    </xf>
    <xf numFmtId="0" fontId="19" fillId="34" borderId="11" xfId="0" applyFont="1" applyFill="1" applyBorder="1" applyAlignment="1">
      <alignment horizontal="center" vertical="center" wrapText="1"/>
    </xf>
    <xf numFmtId="0" fontId="26" fillId="34" borderId="11" xfId="0" applyFont="1" applyFill="1" applyBorder="1" applyAlignment="1">
      <alignment horizontal="left" vertical="center" wrapText="1"/>
    </xf>
    <xf numFmtId="0" fontId="19" fillId="0" borderId="11" xfId="0" applyFont="1" applyFill="1" applyBorder="1" applyAlignment="1">
      <alignment horizontal="left" vertical="center"/>
    </xf>
    <xf numFmtId="0" fontId="26" fillId="0" borderId="11" xfId="0" applyFont="1" applyBorder="1" applyAlignment="1">
      <alignment horizontal="center" vertical="center"/>
    </xf>
    <xf numFmtId="4" fontId="19" fillId="0" borderId="11" xfId="0" applyNumberFormat="1" applyFont="1" applyBorder="1" applyAlignment="1">
      <alignment horizontal="center" vertical="center"/>
    </xf>
    <xf numFmtId="43" fontId="19" fillId="34" borderId="11" xfId="51" applyFont="1" applyFill="1" applyBorder="1" applyAlignment="1">
      <alignment vertical="center"/>
    </xf>
    <xf numFmtId="0" fontId="26" fillId="39" borderId="11" xfId="59" applyFont="1" applyFill="1" applyBorder="1" applyAlignment="1">
      <alignment horizontal="left" vertical="center"/>
    </xf>
    <xf numFmtId="0" fontId="19" fillId="39" borderId="11" xfId="0" applyFont="1" applyFill="1" applyBorder="1" applyAlignment="1">
      <alignment horizontal="right" vertical="center"/>
    </xf>
    <xf numFmtId="0" fontId="19" fillId="0" borderId="11" xfId="0" applyFont="1" applyFill="1" applyBorder="1" applyAlignment="1">
      <alignment horizontal="left" vertical="center" wrapText="1"/>
    </xf>
    <xf numFmtId="43" fontId="19" fillId="39" borderId="11" xfId="51" applyFont="1" applyFill="1" applyBorder="1" applyAlignment="1">
      <alignment horizontal="center" vertical="center"/>
    </xf>
    <xf numFmtId="0" fontId="19" fillId="39" borderId="11" xfId="51" applyNumberFormat="1" applyFont="1" applyFill="1" applyBorder="1" applyAlignment="1">
      <alignment horizontal="center" vertical="center"/>
    </xf>
    <xf numFmtId="0" fontId="19" fillId="39" borderId="11" xfId="0" applyFont="1" applyFill="1" applyBorder="1" applyAlignment="1">
      <alignment horizontal="justify" vertical="center"/>
    </xf>
    <xf numFmtId="167" fontId="26" fillId="38" borderId="11" xfId="0" applyNumberFormat="1" applyFont="1" applyFill="1" applyBorder="1" applyAlignment="1">
      <alignment vertical="center"/>
    </xf>
    <xf numFmtId="0" fontId="19" fillId="0" borderId="11" xfId="0" applyFont="1" applyFill="1" applyBorder="1" applyAlignment="1">
      <alignment vertical="center" wrapText="1"/>
    </xf>
    <xf numFmtId="0" fontId="26" fillId="40" borderId="11" xfId="0" applyFont="1" applyFill="1" applyBorder="1" applyAlignment="1">
      <alignment vertical="center"/>
    </xf>
    <xf numFmtId="0" fontId="26" fillId="40" borderId="11" xfId="0" applyFont="1" applyFill="1" applyBorder="1" applyAlignment="1">
      <alignment vertical="center" wrapText="1"/>
    </xf>
    <xf numFmtId="3" fontId="19" fillId="0" borderId="11" xfId="0" applyNumberFormat="1" applyFont="1" applyBorder="1" applyAlignment="1">
      <alignment horizontal="justify" vertical="center" wrapText="1"/>
    </xf>
    <xf numFmtId="0" fontId="19" fillId="38" borderId="11" xfId="0" applyFont="1" applyFill="1" applyBorder="1" applyAlignment="1">
      <alignment horizontal="center" vertical="center" wrapText="1"/>
    </xf>
    <xf numFmtId="0" fontId="19" fillId="38" borderId="11" xfId="0" applyFont="1" applyFill="1" applyBorder="1" applyAlignment="1">
      <alignment vertical="center" wrapText="1"/>
    </xf>
    <xf numFmtId="171" fontId="19" fillId="0" borderId="11" xfId="0" applyNumberFormat="1" applyFont="1" applyBorder="1" applyAlignment="1">
      <alignment horizontal="justify" vertical="center" wrapText="1"/>
    </xf>
    <xf numFmtId="43" fontId="20" fillId="0" borderId="11" xfId="51" applyFont="1" applyFill="1" applyBorder="1" applyAlignment="1">
      <alignment horizontal="center" vertical="center" wrapText="1"/>
    </xf>
    <xf numFmtId="43" fontId="19" fillId="0" borderId="11" xfId="51" applyFont="1" applyBorder="1" applyAlignment="1">
      <alignment horizontal="center" vertical="center"/>
    </xf>
    <xf numFmtId="0" fontId="20" fillId="0" borderId="11" xfId="44" applyFont="1" applyFill="1" applyBorder="1" applyAlignment="1">
      <alignment horizontal="justify" vertical="center" wrapText="1"/>
    </xf>
    <xf numFmtId="0" fontId="19" fillId="34" borderId="11" xfId="59" applyFont="1" applyFill="1" applyBorder="1" applyAlignment="1">
      <alignment horizontal="center" vertical="center" wrapText="1"/>
    </xf>
    <xf numFmtId="2" fontId="20" fillId="0" borderId="11" xfId="0" applyNumberFormat="1" applyFont="1" applyBorder="1" applyAlignment="1">
      <alignment horizontal="center" vertical="center" wrapText="1"/>
    </xf>
    <xf numFmtId="0" fontId="29" fillId="34" borderId="11" xfId="0" applyFont="1" applyFill="1" applyBorder="1" applyAlignment="1">
      <alignment horizontal="center" vertical="center" wrapText="1"/>
    </xf>
    <xf numFmtId="170" fontId="19" fillId="34" borderId="11" xfId="49" applyFont="1" applyFill="1" applyBorder="1">
      <alignment horizontal="center" vertical="center" wrapText="1"/>
    </xf>
    <xf numFmtId="0" fontId="19" fillId="0" borderId="11" xfId="0" applyFont="1" applyBorder="1" applyAlignment="1">
      <alignment horizontal="justify" vertical="center" wrapText="1"/>
    </xf>
    <xf numFmtId="0" fontId="19" fillId="0" borderId="11" xfId="0" applyFont="1" applyFill="1" applyBorder="1" applyAlignment="1">
      <alignment horizontal="justify" vertical="center" wrapText="1"/>
    </xf>
    <xf numFmtId="0" fontId="20" fillId="0" borderId="11" xfId="0" applyFont="1" applyBorder="1" applyAlignment="1">
      <alignment horizontal="justify" vertical="center" wrapText="1"/>
    </xf>
    <xf numFmtId="0" fontId="26" fillId="39" borderId="11" xfId="0" applyFont="1" applyFill="1" applyBorder="1" applyAlignment="1">
      <alignment horizontal="justify" vertical="center"/>
    </xf>
    <xf numFmtId="0" fontId="21" fillId="37" borderId="11" xfId="0" applyFont="1" applyFill="1" applyBorder="1" applyAlignment="1">
      <alignment horizontal="justify" vertical="center"/>
    </xf>
    <xf numFmtId="0" fontId="26" fillId="38" borderId="11" xfId="0" applyFont="1" applyFill="1" applyBorder="1" applyAlignment="1">
      <alignment horizontal="justify" vertical="center"/>
    </xf>
    <xf numFmtId="0" fontId="19" fillId="0" borderId="11" xfId="0" applyFont="1" applyBorder="1" applyAlignment="1">
      <alignment horizontal="justify" vertical="center"/>
    </xf>
    <xf numFmtId="9" fontId="19" fillId="0" borderId="11" xfId="0" applyNumberFormat="1" applyFont="1" applyBorder="1" applyAlignment="1">
      <alignment horizontal="justify" vertical="center" wrapText="1"/>
    </xf>
    <xf numFmtId="2" fontId="19" fillId="0" borderId="11" xfId="61" applyNumberFormat="1" applyFont="1" applyBorder="1" applyAlignment="1" applyProtection="1">
      <alignment horizontal="justify" vertical="center" wrapText="1"/>
      <protection locked="0"/>
    </xf>
    <xf numFmtId="0" fontId="33" fillId="0" borderId="26" xfId="0" applyFont="1" applyBorder="1" applyAlignment="1">
      <alignment horizontal="justify" vertical="center" wrapText="1"/>
    </xf>
    <xf numFmtId="177" fontId="19" fillId="34" borderId="0" xfId="0" applyNumberFormat="1" applyFont="1" applyFill="1"/>
    <xf numFmtId="0" fontId="26" fillId="0" borderId="18" xfId="0" applyFont="1" applyBorder="1" applyAlignment="1">
      <alignment vertical="center"/>
    </xf>
    <xf numFmtId="0" fontId="19" fillId="0" borderId="21" xfId="0" applyFont="1" applyBorder="1"/>
    <xf numFmtId="0" fontId="19" fillId="0" borderId="20" xfId="0" applyFont="1" applyBorder="1"/>
    <xf numFmtId="0" fontId="26" fillId="0" borderId="18" xfId="0" applyFont="1" applyBorder="1" applyAlignment="1">
      <alignment horizontal="left" vertical="center" wrapText="1"/>
    </xf>
    <xf numFmtId="0" fontId="26" fillId="0" borderId="21" xfId="0" applyFont="1" applyBorder="1" applyAlignment="1">
      <alignment horizontal="left" vertical="center" wrapText="1"/>
    </xf>
    <xf numFmtId="0" fontId="26" fillId="0" borderId="20" xfId="0" applyFont="1" applyBorder="1" applyAlignment="1">
      <alignment horizontal="left" vertical="center" wrapText="1"/>
    </xf>
    <xf numFmtId="0" fontId="19" fillId="0" borderId="18" xfId="0" applyFont="1" applyBorder="1"/>
    <xf numFmtId="0" fontId="20" fillId="0" borderId="21" xfId="0" applyFont="1" applyBorder="1"/>
    <xf numFmtId="0" fontId="20" fillId="0" borderId="21" xfId="0" applyFont="1" applyBorder="1" applyAlignment="1">
      <alignment horizontal="left" vertical="center" wrapText="1"/>
    </xf>
    <xf numFmtId="0" fontId="19" fillId="0" borderId="20" xfId="0" applyFont="1" applyBorder="1" applyAlignment="1">
      <alignment horizontal="left" vertical="center"/>
    </xf>
    <xf numFmtId="0" fontId="19" fillId="0" borderId="21" xfId="0" applyFont="1" applyFill="1" applyBorder="1"/>
    <xf numFmtId="0" fontId="26" fillId="0" borderId="21" xfId="0" applyFont="1" applyFill="1" applyBorder="1" applyAlignment="1">
      <alignment horizontal="left" vertical="center" wrapText="1"/>
    </xf>
    <xf numFmtId="0" fontId="19" fillId="0" borderId="20" xfId="0" applyFont="1" applyBorder="1" applyAlignment="1">
      <alignment horizontal="left" vertical="center" wrapText="1"/>
    </xf>
    <xf numFmtId="0" fontId="19" fillId="0" borderId="18" xfId="0" applyFont="1" applyBorder="1" applyAlignment="1">
      <alignment horizontal="left" vertical="center" wrapText="1"/>
    </xf>
    <xf numFmtId="0" fontId="19" fillId="0" borderId="21" xfId="0" applyFont="1" applyBorder="1" applyAlignment="1">
      <alignment horizontal="left" vertical="center" wrapText="1"/>
    </xf>
    <xf numFmtId="0" fontId="19" fillId="0" borderId="21" xfId="0" applyFont="1" applyBorder="1" applyAlignment="1">
      <alignment vertical="center"/>
    </xf>
    <xf numFmtId="0" fontId="19" fillId="34" borderId="21" xfId="0" applyFont="1" applyFill="1" applyBorder="1"/>
    <xf numFmtId="0" fontId="26" fillId="0" borderId="21" xfId="0" applyFont="1" applyBorder="1" applyAlignment="1">
      <alignment vertical="center"/>
    </xf>
    <xf numFmtId="0" fontId="26" fillId="34" borderId="21" xfId="0" applyFont="1" applyFill="1" applyBorder="1" applyAlignment="1">
      <alignment horizontal="left" vertical="center" wrapText="1"/>
    </xf>
    <xf numFmtId="0" fontId="19" fillId="0" borderId="21" xfId="0" applyFont="1" applyBorder="1" applyAlignment="1">
      <alignment horizontal="left" vertical="center"/>
    </xf>
    <xf numFmtId="0" fontId="19" fillId="0" borderId="21" xfId="0" applyFont="1" applyFill="1" applyBorder="1" applyAlignment="1">
      <alignment horizontal="left" vertical="center"/>
    </xf>
    <xf numFmtId="0" fontId="19" fillId="34" borderId="20" xfId="0" applyFont="1" applyFill="1" applyBorder="1"/>
    <xf numFmtId="0" fontId="26" fillId="34" borderId="20" xfId="0" applyFont="1" applyFill="1" applyBorder="1" applyAlignment="1">
      <alignment horizontal="left" vertical="center" wrapText="1"/>
    </xf>
    <xf numFmtId="0" fontId="20" fillId="0" borderId="18" xfId="0" applyFont="1" applyBorder="1"/>
    <xf numFmtId="0" fontId="20" fillId="0" borderId="21" xfId="0" applyFont="1" applyFill="1" applyBorder="1"/>
    <xf numFmtId="0" fontId="20" fillId="0" borderId="20" xfId="0" applyFont="1" applyBorder="1"/>
    <xf numFmtId="0" fontId="19" fillId="0" borderId="20" xfId="0" applyFont="1" applyFill="1" applyBorder="1"/>
    <xf numFmtId="0" fontId="26" fillId="0" borderId="20" xfId="0" applyFont="1" applyFill="1" applyBorder="1" applyAlignment="1">
      <alignment horizontal="left" vertical="center" wrapText="1"/>
    </xf>
    <xf numFmtId="0" fontId="26" fillId="0" borderId="21" xfId="0" applyFont="1" applyBorder="1" applyAlignment="1">
      <alignment horizontal="left" vertical="center"/>
    </xf>
    <xf numFmtId="0" fontId="26" fillId="0" borderId="18" xfId="0" applyFont="1" applyBorder="1" applyAlignment="1">
      <alignment horizontal="left" vertical="center"/>
    </xf>
    <xf numFmtId="0" fontId="26" fillId="0" borderId="11" xfId="0" applyFont="1" applyFill="1" applyBorder="1" applyAlignment="1">
      <alignment horizontal="left" vertical="center"/>
    </xf>
    <xf numFmtId="0" fontId="26" fillId="0" borderId="11" xfId="0" applyFont="1" applyFill="1" applyBorder="1" applyAlignment="1">
      <alignment horizontal="center" vertical="center"/>
    </xf>
    <xf numFmtId="0" fontId="26" fillId="0" borderId="11" xfId="0" applyFont="1" applyFill="1" applyBorder="1" applyAlignment="1">
      <alignment horizontal="center"/>
    </xf>
    <xf numFmtId="0" fontId="26" fillId="0" borderId="11" xfId="0" applyFont="1" applyFill="1" applyBorder="1" applyAlignment="1">
      <alignment horizontal="justify" vertical="center" wrapText="1"/>
    </xf>
    <xf numFmtId="0" fontId="26" fillId="0" borderId="11" xfId="0" applyFont="1" applyFill="1" applyBorder="1" applyAlignment="1">
      <alignment horizontal="center" wrapText="1"/>
    </xf>
    <xf numFmtId="0" fontId="26" fillId="0" borderId="0" xfId="0" applyFont="1" applyFill="1"/>
    <xf numFmtId="167" fontId="26" fillId="40" borderId="11" xfId="0" applyNumberFormat="1" applyFont="1" applyFill="1" applyBorder="1"/>
    <xf numFmtId="43" fontId="19" fillId="34" borderId="0" xfId="0" applyNumberFormat="1" applyFont="1" applyFill="1"/>
    <xf numFmtId="43" fontId="32" fillId="34" borderId="0" xfId="0" applyNumberFormat="1" applyFont="1" applyFill="1" applyAlignment="1">
      <alignment vertical="center"/>
    </xf>
    <xf numFmtId="43" fontId="22" fillId="0" borderId="0" xfId="57" applyNumberFormat="1" applyFont="1" applyFill="1" applyBorder="1"/>
    <xf numFmtId="43" fontId="24" fillId="0" borderId="0" xfId="57" applyNumberFormat="1" applyFont="1"/>
    <xf numFmtId="0" fontId="26" fillId="0" borderId="21" xfId="0" applyFont="1" applyFill="1" applyBorder="1" applyAlignment="1">
      <alignment horizontal="left" vertical="center" wrapText="1"/>
    </xf>
    <xf numFmtId="0" fontId="26" fillId="0" borderId="11" xfId="0" applyFont="1" applyFill="1" applyBorder="1" applyAlignment="1">
      <alignment horizontal="left" vertical="center" wrapText="1"/>
    </xf>
    <xf numFmtId="0" fontId="19" fillId="0" borderId="11" xfId="0" applyFont="1" applyFill="1" applyBorder="1" applyAlignment="1">
      <alignment horizontal="justify" vertical="center" wrapText="1"/>
    </xf>
    <xf numFmtId="0" fontId="19" fillId="0" borderId="11" xfId="0" applyFont="1" applyFill="1" applyBorder="1" applyAlignment="1">
      <alignment horizontal="center" vertical="center" wrapText="1"/>
    </xf>
    <xf numFmtId="43" fontId="26" fillId="0" borderId="11" xfId="41" applyFont="1" applyFill="1" applyBorder="1" applyAlignment="1">
      <alignment horizontal="justify" vertical="center"/>
    </xf>
    <xf numFmtId="2" fontId="19" fillId="0" borderId="11" xfId="59" applyNumberFormat="1" applyFont="1" applyFill="1" applyBorder="1" applyAlignment="1">
      <alignment horizontal="center" vertical="center" wrapText="1"/>
    </xf>
    <xf numFmtId="4" fontId="19" fillId="0" borderId="11" xfId="0" applyNumberFormat="1" applyFont="1" applyFill="1" applyBorder="1" applyAlignment="1">
      <alignment horizontal="center" vertical="center"/>
    </xf>
    <xf numFmtId="43" fontId="19" fillId="0" borderId="20" xfId="41" applyFont="1" applyFill="1" applyBorder="1" applyAlignment="1">
      <alignment horizontal="justify" vertical="center"/>
    </xf>
    <xf numFmtId="43" fontId="19" fillId="0" borderId="52" xfId="51" applyFont="1" applyFill="1" applyBorder="1" applyAlignment="1">
      <alignment vertical="center"/>
    </xf>
    <xf numFmtId="0" fontId="26" fillId="0" borderId="21" xfId="0" applyFont="1" applyFill="1" applyBorder="1" applyAlignment="1">
      <alignment horizontal="left" vertical="center" wrapText="1"/>
    </xf>
    <xf numFmtId="0" fontId="19" fillId="0" borderId="11" xfId="0" applyFont="1" applyFill="1" applyBorder="1" applyAlignment="1">
      <alignment horizontal="justify" vertical="center" wrapText="1"/>
    </xf>
    <xf numFmtId="0" fontId="19" fillId="0" borderId="11" xfId="0" applyFont="1" applyFill="1" applyBorder="1" applyAlignment="1">
      <alignment horizontal="center" vertical="center" wrapText="1"/>
    </xf>
    <xf numFmtId="167" fontId="20" fillId="34" borderId="11" xfId="65" applyNumberFormat="1" applyFont="1" applyFill="1" applyBorder="1" applyAlignment="1">
      <alignment horizontal="center" vertical="center" wrapText="1"/>
    </xf>
    <xf numFmtId="167" fontId="19" fillId="0" borderId="11" xfId="42" applyFont="1" applyFill="1" applyBorder="1" applyAlignment="1" applyProtection="1">
      <alignment horizontal="right" vertical="center"/>
      <protection locked="0"/>
    </xf>
    <xf numFmtId="167" fontId="20" fillId="34" borderId="11" xfId="73" applyNumberFormat="1" applyFont="1" applyFill="1" applyBorder="1" applyAlignment="1">
      <alignment horizontal="center" vertical="center" wrapText="1"/>
    </xf>
    <xf numFmtId="0" fontId="20" fillId="0" borderId="11" xfId="0" applyFont="1" applyBorder="1" applyAlignment="1">
      <alignment horizontal="center" vertical="center" wrapText="1"/>
    </xf>
    <xf numFmtId="167" fontId="0" fillId="0" borderId="0" xfId="0" applyNumberFormat="1"/>
    <xf numFmtId="0" fontId="0" fillId="0" borderId="11" xfId="0" applyBorder="1"/>
    <xf numFmtId="9" fontId="0" fillId="0" borderId="11" xfId="56" applyFont="1" applyBorder="1" applyAlignment="1">
      <alignment horizontal="center"/>
    </xf>
    <xf numFmtId="0" fontId="20" fillId="0" borderId="11" xfId="0" applyFont="1" applyBorder="1"/>
    <xf numFmtId="0" fontId="15" fillId="36" borderId="11" xfId="0" applyFont="1" applyFill="1" applyBorder="1"/>
    <xf numFmtId="0" fontId="38" fillId="36" borderId="11" xfId="0" applyFont="1" applyFill="1" applyBorder="1"/>
    <xf numFmtId="9" fontId="15" fillId="36" borderId="11" xfId="0" applyNumberFormat="1" applyFont="1" applyFill="1" applyBorder="1" applyAlignment="1">
      <alignment horizontal="center"/>
    </xf>
    <xf numFmtId="9" fontId="15" fillId="36" borderId="11" xfId="56" applyFont="1" applyFill="1" applyBorder="1" applyAlignment="1">
      <alignment horizontal="center"/>
    </xf>
    <xf numFmtId="0" fontId="38" fillId="36" borderId="11" xfId="0" applyFont="1" applyFill="1" applyBorder="1" applyAlignment="1">
      <alignment vertical="center"/>
    </xf>
    <xf numFmtId="0" fontId="38" fillId="36" borderId="11" xfId="0" applyFont="1" applyFill="1" applyBorder="1" applyAlignment="1">
      <alignment horizontal="center" vertical="center"/>
    </xf>
    <xf numFmtId="0" fontId="38" fillId="36" borderId="11" xfId="0" applyFont="1" applyFill="1" applyBorder="1" applyAlignment="1">
      <alignment horizontal="center" vertical="center" wrapText="1"/>
    </xf>
    <xf numFmtId="4" fontId="31" fillId="0" borderId="11" xfId="0" applyNumberFormat="1" applyFont="1" applyFill="1" applyBorder="1" applyAlignment="1">
      <alignment horizontal="center" vertical="center"/>
    </xf>
    <xf numFmtId="172" fontId="19" fillId="34" borderId="0" xfId="55" applyNumberFormat="1" applyFont="1" applyFill="1"/>
    <xf numFmtId="0" fontId="19" fillId="0" borderId="11" xfId="0" applyFont="1" applyFill="1" applyBorder="1" applyAlignment="1">
      <alignment horizontal="center" vertical="center" wrapText="1"/>
    </xf>
    <xf numFmtId="0" fontId="19" fillId="34" borderId="11" xfId="59" applyFont="1" applyFill="1" applyBorder="1" applyAlignment="1">
      <alignment horizontal="center" vertical="center" wrapText="1"/>
    </xf>
    <xf numFmtId="0" fontId="19" fillId="0" borderId="11" xfId="59" applyFont="1" applyFill="1" applyBorder="1" applyAlignment="1">
      <alignment horizontal="center" vertical="center"/>
    </xf>
    <xf numFmtId="0" fontId="19" fillId="0" borderId="11" xfId="0" applyFont="1" applyFill="1" applyBorder="1" applyAlignment="1">
      <alignment horizontal="justify" vertical="center" wrapText="1"/>
    </xf>
    <xf numFmtId="0" fontId="19" fillId="0" borderId="11" xfId="0" applyFont="1" applyFill="1" applyBorder="1" applyAlignment="1">
      <alignment horizontal="center" vertical="center" wrapText="1"/>
    </xf>
    <xf numFmtId="0" fontId="19" fillId="0" borderId="11" xfId="0" applyFont="1" applyFill="1" applyBorder="1" applyAlignment="1">
      <alignment horizontal="justify" vertical="center" wrapText="1"/>
    </xf>
    <xf numFmtId="0" fontId="19" fillId="0" borderId="11" xfId="0" applyFont="1" applyFill="1" applyBorder="1" applyAlignment="1">
      <alignment horizontal="center" vertical="center" wrapText="1"/>
    </xf>
    <xf numFmtId="0" fontId="26" fillId="0" borderId="21" xfId="0" applyFont="1" applyFill="1" applyBorder="1" applyAlignment="1">
      <alignment horizontal="left" vertical="center" wrapText="1"/>
    </xf>
    <xf numFmtId="0" fontId="26" fillId="0" borderId="11" xfId="0" applyFont="1" applyFill="1" applyBorder="1" applyAlignment="1">
      <alignment horizontal="left" vertical="center" wrapText="1"/>
    </xf>
    <xf numFmtId="0" fontId="19" fillId="0" borderId="11" xfId="0" applyFont="1" applyFill="1" applyBorder="1" applyAlignment="1">
      <alignment horizontal="justify" vertical="center" wrapText="1"/>
    </xf>
    <xf numFmtId="0" fontId="19" fillId="0" borderId="11" xfId="0" applyFont="1" applyFill="1" applyBorder="1" applyAlignment="1">
      <alignment horizontal="center" vertical="center" wrapText="1"/>
    </xf>
    <xf numFmtId="170" fontId="20" fillId="0" borderId="0" xfId="48" applyFont="1"/>
    <xf numFmtId="0" fontId="26" fillId="36" borderId="11" xfId="44" applyFont="1" applyFill="1" applyBorder="1" applyAlignment="1">
      <alignment horizontal="center" vertical="center" wrapText="1"/>
    </xf>
    <xf numFmtId="0" fontId="26" fillId="36" borderId="11" xfId="44" applyNumberFormat="1" applyFont="1" applyFill="1" applyBorder="1" applyAlignment="1">
      <alignment horizontal="left" vertical="center"/>
    </xf>
    <xf numFmtId="170" fontId="26" fillId="36" borderId="11" xfId="48" applyFont="1" applyFill="1" applyBorder="1"/>
    <xf numFmtId="0" fontId="19" fillId="0" borderId="11" xfId="44" applyFont="1" applyFill="1" applyBorder="1" applyAlignment="1">
      <alignment horizontal="center" vertical="center" wrapText="1"/>
    </xf>
    <xf numFmtId="0" fontId="19" fillId="0" borderId="14" xfId="44" applyNumberFormat="1" applyFont="1" applyFill="1" applyBorder="1" applyAlignment="1">
      <alignment horizontal="left" vertical="center" wrapText="1"/>
    </xf>
    <xf numFmtId="170" fontId="20" fillId="0" borderId="0" xfId="48" applyFont="1" applyAlignment="1">
      <alignment vertical="center"/>
    </xf>
    <xf numFmtId="1" fontId="19" fillId="0" borderId="11" xfId="44" applyNumberFormat="1" applyFont="1" applyFill="1" applyBorder="1" applyAlignment="1">
      <alignment horizontal="center" vertical="center" wrapText="1"/>
    </xf>
    <xf numFmtId="170" fontId="26" fillId="36" borderId="14" xfId="48" applyFont="1" applyFill="1" applyBorder="1"/>
    <xf numFmtId="0" fontId="19" fillId="0" borderId="18" xfId="44" applyFont="1" applyFill="1" applyBorder="1" applyAlignment="1">
      <alignment horizontal="center" vertical="center" wrapText="1"/>
    </xf>
    <xf numFmtId="0" fontId="19" fillId="0" borderId="15" xfId="44" applyNumberFormat="1" applyFont="1" applyFill="1" applyBorder="1" applyAlignment="1">
      <alignment horizontal="left" vertical="center" wrapText="1"/>
    </xf>
    <xf numFmtId="0" fontId="26" fillId="36" borderId="18" xfId="44" applyFont="1" applyFill="1" applyBorder="1" applyAlignment="1">
      <alignment horizontal="center" vertical="center" wrapText="1"/>
    </xf>
    <xf numFmtId="0" fontId="26" fillId="36" borderId="53" xfId="44" applyNumberFormat="1" applyFont="1" applyFill="1" applyBorder="1" applyAlignment="1">
      <alignment horizontal="left" vertical="center"/>
    </xf>
    <xf numFmtId="170" fontId="26" fillId="36" borderId="0" xfId="48" applyFont="1" applyFill="1" applyBorder="1"/>
    <xf numFmtId="0" fontId="21" fillId="0" borderId="0" xfId="44" applyFont="1" applyFill="1" applyBorder="1" applyAlignment="1">
      <alignment horizontal="center" vertical="center" wrapText="1"/>
    </xf>
    <xf numFmtId="0" fontId="21" fillId="0" borderId="0" xfId="44" applyNumberFormat="1" applyFont="1" applyFill="1" applyBorder="1" applyAlignment="1">
      <alignment horizontal="left" vertical="center"/>
    </xf>
    <xf numFmtId="170" fontId="21" fillId="0" borderId="0" xfId="48" applyFont="1" applyFill="1" applyBorder="1"/>
    <xf numFmtId="170" fontId="28" fillId="0" borderId="0" xfId="48" applyFont="1" applyFill="1" applyBorder="1" applyAlignment="1">
      <alignment vertical="center"/>
    </xf>
    <xf numFmtId="170" fontId="20" fillId="0" borderId="0" xfId="48" applyFont="1" applyFill="1" applyBorder="1"/>
    <xf numFmtId="1" fontId="19" fillId="0" borderId="20" xfId="44" applyNumberFormat="1" applyFont="1" applyFill="1" applyBorder="1" applyAlignment="1">
      <alignment horizontal="center" vertical="center" wrapText="1"/>
    </xf>
    <xf numFmtId="0" fontId="19" fillId="0" borderId="20" xfId="44" applyFont="1" applyFill="1" applyBorder="1" applyAlignment="1">
      <alignment horizontal="center" vertical="center" wrapText="1"/>
    </xf>
    <xf numFmtId="0" fontId="19" fillId="0" borderId="12" xfId="44" applyNumberFormat="1" applyFont="1" applyFill="1" applyBorder="1" applyAlignment="1">
      <alignment horizontal="left" vertical="center" wrapText="1"/>
    </xf>
    <xf numFmtId="170" fontId="38" fillId="0" borderId="0" xfId="48" applyFont="1"/>
    <xf numFmtId="170" fontId="38" fillId="0" borderId="0" xfId="48" applyFont="1" applyFill="1" applyBorder="1" applyAlignment="1">
      <alignment horizontal="center" vertical="center"/>
    </xf>
    <xf numFmtId="0" fontId="26" fillId="0" borderId="0" xfId="44" applyFont="1" applyFill="1" applyBorder="1" applyAlignment="1">
      <alignment horizontal="center" vertical="center" wrapText="1"/>
    </xf>
    <xf numFmtId="172" fontId="26" fillId="0" borderId="0" xfId="55" applyNumberFormat="1" applyFont="1" applyFill="1" applyBorder="1" applyAlignment="1">
      <alignment vertical="center"/>
    </xf>
    <xf numFmtId="9" fontId="26" fillId="0" borderId="0" xfId="56" applyFont="1" applyFill="1" applyBorder="1" applyAlignment="1">
      <alignment horizontal="center" vertical="center"/>
    </xf>
    <xf numFmtId="170" fontId="26" fillId="0" borderId="0" xfId="48" applyFont="1" applyFill="1" applyBorder="1" applyAlignment="1">
      <alignment vertical="center"/>
    </xf>
    <xf numFmtId="10" fontId="26" fillId="0" borderId="0" xfId="56" applyNumberFormat="1" applyFont="1" applyFill="1" applyBorder="1" applyAlignment="1">
      <alignment horizontal="center" vertical="center"/>
    </xf>
    <xf numFmtId="170" fontId="20" fillId="0" borderId="0" xfId="48" applyFont="1" applyFill="1" applyBorder="1" applyAlignment="1">
      <alignment vertical="center"/>
    </xf>
    <xf numFmtId="170" fontId="38" fillId="0" borderId="0" xfId="48" applyFont="1" applyFill="1" applyBorder="1" applyAlignment="1">
      <alignment vertical="center"/>
    </xf>
    <xf numFmtId="167" fontId="26" fillId="43" borderId="11" xfId="0" applyNumberFormat="1" applyFont="1" applyFill="1" applyBorder="1" applyAlignment="1">
      <alignment vertical="center"/>
    </xf>
    <xf numFmtId="0" fontId="19" fillId="0" borderId="0" xfId="0" applyFont="1" applyFill="1" applyAlignment="1">
      <alignment vertical="center"/>
    </xf>
    <xf numFmtId="167" fontId="26" fillId="36" borderId="11" xfId="76" applyNumberFormat="1" applyFont="1" applyFill="1" applyBorder="1" applyAlignment="1">
      <alignment vertical="center"/>
    </xf>
    <xf numFmtId="167" fontId="20" fillId="0" borderId="11" xfId="76" applyNumberFormat="1" applyFont="1" applyBorder="1" applyAlignment="1">
      <alignment vertical="center"/>
    </xf>
    <xf numFmtId="167" fontId="20" fillId="0" borderId="0" xfId="76" applyNumberFormat="1" applyFont="1" applyAlignment="1">
      <alignment vertical="center"/>
    </xf>
    <xf numFmtId="172" fontId="19" fillId="0" borderId="0" xfId="55" applyNumberFormat="1" applyFont="1" applyFill="1" applyBorder="1" applyAlignment="1">
      <alignment horizontal="center" vertical="center" wrapText="1"/>
    </xf>
    <xf numFmtId="170" fontId="21" fillId="37" borderId="0" xfId="48" applyFont="1" applyFill="1" applyBorder="1" applyAlignment="1">
      <alignment horizontal="center" vertical="center"/>
    </xf>
    <xf numFmtId="170" fontId="21" fillId="37" borderId="54" xfId="48" applyFont="1" applyFill="1" applyBorder="1" applyAlignment="1">
      <alignment horizontal="center" vertical="center"/>
    </xf>
    <xf numFmtId="9" fontId="26" fillId="36" borderId="11" xfId="56" applyFont="1" applyFill="1" applyBorder="1" applyAlignment="1">
      <alignment horizontal="center" vertical="center"/>
    </xf>
    <xf numFmtId="9" fontId="20" fillId="0" borderId="11" xfId="56" applyFont="1" applyBorder="1" applyAlignment="1">
      <alignment horizontal="center" vertical="center"/>
    </xf>
    <xf numFmtId="174" fontId="0" fillId="0" borderId="11" xfId="0" applyNumberFormat="1" applyBorder="1"/>
    <xf numFmtId="174" fontId="0" fillId="0" borderId="11" xfId="55" applyNumberFormat="1" applyFont="1" applyBorder="1"/>
    <xf numFmtId="174" fontId="15" fillId="36" borderId="11" xfId="0" applyNumberFormat="1" applyFont="1" applyFill="1" applyBorder="1"/>
    <xf numFmtId="2" fontId="19" fillId="0" borderId="11" xfId="59" applyNumberFormat="1" applyFont="1" applyFill="1" applyBorder="1" applyAlignment="1">
      <alignment horizontal="center" vertical="center" wrapText="1"/>
    </xf>
    <xf numFmtId="0" fontId="19" fillId="0" borderId="11" xfId="0" applyFont="1" applyFill="1" applyBorder="1" applyAlignment="1">
      <alignment horizontal="center" vertical="center" wrapText="1"/>
    </xf>
    <xf numFmtId="170" fontId="21" fillId="37" borderId="20" xfId="48" applyFont="1" applyFill="1" applyBorder="1" applyAlignment="1">
      <alignment horizontal="center" vertical="center" wrapText="1"/>
    </xf>
    <xf numFmtId="170" fontId="21" fillId="37" borderId="20" xfId="48" applyFont="1" applyFill="1" applyBorder="1" applyAlignment="1">
      <alignment horizontal="center" vertical="center"/>
    </xf>
    <xf numFmtId="167" fontId="19" fillId="0" borderId="11" xfId="76" applyFont="1" applyFill="1" applyBorder="1" applyAlignment="1">
      <alignment horizontal="center" vertical="center"/>
    </xf>
    <xf numFmtId="167" fontId="20" fillId="0" borderId="11" xfId="76" applyFont="1" applyFill="1" applyBorder="1" applyAlignment="1">
      <alignment vertical="center"/>
    </xf>
    <xf numFmtId="167" fontId="26" fillId="39" borderId="11" xfId="76" applyFont="1" applyFill="1" applyBorder="1" applyAlignment="1">
      <alignment vertical="center"/>
    </xf>
    <xf numFmtId="167" fontId="20" fillId="0" borderId="11" xfId="76" applyFont="1" applyFill="1" applyBorder="1" applyAlignment="1">
      <alignment horizontal="right" vertical="center"/>
    </xf>
    <xf numFmtId="10" fontId="0" fillId="0" borderId="11" xfId="56" applyNumberFormat="1" applyFont="1" applyBorder="1" applyAlignment="1">
      <alignment horizontal="center"/>
    </xf>
    <xf numFmtId="10" fontId="15" fillId="36" borderId="11" xfId="56" applyNumberFormat="1" applyFont="1" applyFill="1" applyBorder="1" applyAlignment="1">
      <alignment horizontal="center"/>
    </xf>
    <xf numFmtId="167" fontId="20" fillId="0" borderId="11" xfId="76" applyFont="1" applyFill="1" applyBorder="1" applyAlignment="1">
      <alignment horizontal="center" vertical="center" wrapText="1"/>
    </xf>
    <xf numFmtId="167" fontId="19" fillId="0" borderId="11" xfId="76" applyFont="1" applyFill="1" applyBorder="1" applyAlignment="1">
      <alignment horizontal="center" vertical="center" wrapText="1"/>
    </xf>
    <xf numFmtId="167" fontId="19" fillId="34" borderId="11" xfId="76" applyFont="1" applyFill="1" applyBorder="1" applyAlignment="1">
      <alignment horizontal="center" vertical="center"/>
    </xf>
    <xf numFmtId="167" fontId="19" fillId="34" borderId="11" xfId="76" applyFont="1" applyFill="1" applyBorder="1" applyAlignment="1" applyProtection="1">
      <alignment vertical="center"/>
      <protection locked="0"/>
    </xf>
    <xf numFmtId="167" fontId="21" fillId="37" borderId="11" xfId="76" applyFont="1" applyFill="1" applyBorder="1" applyAlignment="1">
      <alignment horizontal="left" vertical="center"/>
    </xf>
    <xf numFmtId="167" fontId="26" fillId="38" borderId="11" xfId="76" applyFont="1" applyFill="1" applyBorder="1" applyAlignment="1">
      <alignment vertical="center"/>
    </xf>
    <xf numFmtId="167" fontId="19" fillId="0" borderId="11" xfId="76" applyFont="1" applyBorder="1" applyAlignment="1">
      <alignment horizontal="right" vertical="center" wrapText="1"/>
    </xf>
    <xf numFmtId="167" fontId="20" fillId="0" borderId="11" xfId="76" applyFont="1" applyBorder="1" applyAlignment="1">
      <alignment vertical="center" wrapText="1"/>
    </xf>
    <xf numFmtId="167" fontId="19" fillId="0" borderId="11" xfId="0" applyNumberFormat="1" applyFont="1" applyFill="1" applyBorder="1" applyAlignment="1">
      <alignment vertical="center"/>
    </xf>
    <xf numFmtId="10" fontId="26" fillId="0" borderId="11" xfId="0" applyNumberFormat="1" applyFont="1" applyFill="1" applyBorder="1" applyAlignment="1" applyProtection="1">
      <alignment horizontal="center" vertical="center"/>
      <protection locked="0"/>
    </xf>
    <xf numFmtId="171" fontId="25" fillId="34" borderId="0" xfId="57" applyNumberFormat="1" applyFont="1" applyFill="1" applyAlignment="1">
      <alignment vertical="center"/>
    </xf>
    <xf numFmtId="10" fontId="24" fillId="0" borderId="0" xfId="57" applyNumberFormat="1" applyFont="1"/>
    <xf numFmtId="171" fontId="24" fillId="0" borderId="0" xfId="57" applyNumberFormat="1" applyFont="1" applyFill="1"/>
    <xf numFmtId="9" fontId="19" fillId="0" borderId="11" xfId="56" applyFont="1" applyBorder="1" applyAlignment="1">
      <alignment horizontal="center" vertical="center"/>
    </xf>
    <xf numFmtId="9" fontId="40" fillId="33" borderId="11" xfId="56" applyFont="1" applyFill="1" applyBorder="1" applyAlignment="1">
      <alignment horizontal="center" vertical="center"/>
    </xf>
    <xf numFmtId="10" fontId="40" fillId="33" borderId="11" xfId="56" applyNumberFormat="1" applyFont="1" applyFill="1" applyBorder="1" applyAlignment="1">
      <alignment horizontal="center" vertical="center"/>
    </xf>
    <xf numFmtId="10" fontId="24" fillId="0" borderId="0" xfId="0" applyNumberFormat="1" applyFont="1" applyAlignment="1">
      <alignment vertical="center"/>
    </xf>
    <xf numFmtId="0" fontId="26" fillId="0" borderId="21" xfId="0" applyFont="1" applyFill="1" applyBorder="1" applyAlignment="1">
      <alignment horizontal="left" vertical="center" wrapText="1"/>
    </xf>
    <xf numFmtId="0" fontId="26" fillId="0" borderId="20" xfId="0" applyFont="1" applyFill="1" applyBorder="1" applyAlignment="1">
      <alignment horizontal="left" vertical="center" wrapText="1"/>
    </xf>
    <xf numFmtId="0" fontId="26" fillId="0" borderId="11" xfId="0" applyFont="1" applyFill="1" applyBorder="1" applyAlignment="1">
      <alignment horizontal="left" vertical="center" wrapText="1"/>
    </xf>
    <xf numFmtId="0" fontId="19" fillId="0" borderId="11" xfId="0" applyFont="1" applyFill="1" applyBorder="1" applyAlignment="1">
      <alignment horizontal="justify" vertical="center" wrapText="1"/>
    </xf>
    <xf numFmtId="0" fontId="19" fillId="0" borderId="11" xfId="0" applyFont="1" applyFill="1" applyBorder="1" applyAlignment="1">
      <alignment horizontal="center" vertical="center" wrapText="1"/>
    </xf>
    <xf numFmtId="171" fontId="41" fillId="33" borderId="11" xfId="57" applyNumberFormat="1" applyFont="1" applyFill="1" applyBorder="1" applyAlignment="1">
      <alignment horizontal="center" vertical="center" wrapText="1"/>
    </xf>
    <xf numFmtId="0" fontId="19" fillId="0" borderId="11" xfId="0" applyFont="1" applyFill="1" applyBorder="1" applyAlignment="1">
      <alignment horizontal="center" vertical="center" wrapText="1"/>
    </xf>
    <xf numFmtId="43" fontId="19" fillId="0" borderId="11" xfId="57" applyNumberFormat="1" applyFont="1" applyBorder="1" applyAlignment="1">
      <alignment horizontal="right" vertical="center"/>
    </xf>
    <xf numFmtId="43" fontId="20" fillId="0" borderId="11" xfId="57" applyNumberFormat="1" applyFont="1" applyBorder="1" applyAlignment="1">
      <alignment vertical="center"/>
    </xf>
    <xf numFmtId="43" fontId="19" fillId="0" borderId="11" xfId="57" applyNumberFormat="1" applyFont="1" applyBorder="1" applyAlignment="1">
      <alignment vertical="center"/>
    </xf>
    <xf numFmtId="43" fontId="21" fillId="33" borderId="11" xfId="57" applyNumberFormat="1" applyFont="1" applyFill="1" applyBorder="1" applyAlignment="1">
      <alignment vertical="center"/>
    </xf>
    <xf numFmtId="43" fontId="25" fillId="33" borderId="11" xfId="57" applyNumberFormat="1" applyFont="1" applyFill="1" applyBorder="1" applyAlignment="1">
      <alignment horizontal="center" vertical="center" wrapText="1"/>
    </xf>
    <xf numFmtId="43" fontId="19" fillId="0" borderId="11" xfId="45" applyNumberFormat="1" applyFont="1" applyBorder="1" applyAlignment="1">
      <alignment horizontal="center" vertical="center"/>
    </xf>
    <xf numFmtId="10" fontId="19" fillId="0" borderId="11" xfId="45" applyNumberFormat="1" applyFont="1" applyBorder="1" applyAlignment="1">
      <alignment horizontal="center" vertical="center"/>
    </xf>
    <xf numFmtId="10" fontId="21" fillId="33" borderId="11" xfId="45" applyNumberFormat="1" applyFont="1" applyFill="1" applyBorder="1" applyAlignment="1">
      <alignment horizontal="center" vertical="center"/>
    </xf>
    <xf numFmtId="9" fontId="39" fillId="34" borderId="0" xfId="56" applyFont="1" applyFill="1" applyBorder="1" applyAlignment="1">
      <alignment horizontal="center"/>
    </xf>
    <xf numFmtId="9" fontId="19" fillId="34" borderId="0" xfId="56" applyFont="1" applyFill="1" applyBorder="1" applyAlignment="1">
      <alignment horizontal="center" vertical="center"/>
    </xf>
    <xf numFmtId="10" fontId="19" fillId="34" borderId="0" xfId="56" applyNumberFormat="1" applyFont="1" applyFill="1" applyBorder="1" applyAlignment="1">
      <alignment horizontal="center"/>
    </xf>
    <xf numFmtId="0" fontId="22" fillId="0" borderId="0" xfId="0" applyFont="1"/>
    <xf numFmtId="0" fontId="12" fillId="0" borderId="0" xfId="0" applyFont="1" applyFill="1" applyBorder="1"/>
    <xf numFmtId="0" fontId="12" fillId="0" borderId="0" xfId="0" applyFont="1" applyFill="1" applyBorder="1" applyAlignment="1">
      <alignment horizontal="center"/>
    </xf>
    <xf numFmtId="9" fontId="16" fillId="0" borderId="0" xfId="56" applyFont="1" applyFill="1" applyBorder="1" applyAlignment="1">
      <alignment horizontal="center"/>
    </xf>
    <xf numFmtId="0" fontId="16" fillId="0" borderId="0" xfId="0" applyFont="1" applyFill="1" applyBorder="1"/>
    <xf numFmtId="171" fontId="28" fillId="0" borderId="0" xfId="57" applyNumberFormat="1" applyFont="1" applyFill="1" applyBorder="1"/>
    <xf numFmtId="9" fontId="28" fillId="0" borderId="0" xfId="56" applyFont="1" applyFill="1" applyBorder="1" applyAlignment="1">
      <alignment horizontal="center" vertical="center"/>
    </xf>
    <xf numFmtId="10" fontId="28" fillId="0" borderId="0" xfId="56" applyNumberFormat="1" applyFont="1" applyFill="1" applyBorder="1" applyAlignment="1">
      <alignment horizontal="center" vertical="center"/>
    </xf>
    <xf numFmtId="10" fontId="28" fillId="0" borderId="0" xfId="56" applyNumberFormat="1" applyFont="1" applyFill="1" applyBorder="1" applyAlignment="1">
      <alignment horizontal="center"/>
    </xf>
    <xf numFmtId="43" fontId="16" fillId="0" borderId="0" xfId="0" applyNumberFormat="1" applyFont="1" applyFill="1" applyBorder="1" applyAlignment="1">
      <alignment horizontal="left"/>
    </xf>
    <xf numFmtId="171" fontId="25" fillId="0" borderId="0" xfId="57" applyNumberFormat="1" applyFont="1" applyFill="1" applyBorder="1"/>
    <xf numFmtId="0" fontId="29" fillId="0" borderId="11" xfId="0" applyFont="1" applyFill="1" applyBorder="1" applyAlignment="1">
      <alignment horizontal="justify" vertical="center" wrapText="1"/>
    </xf>
    <xf numFmtId="4" fontId="19" fillId="0" borderId="11" xfId="41" applyNumberFormat="1" applyFont="1" applyFill="1" applyBorder="1" applyAlignment="1">
      <alignment horizontal="center" vertical="center" wrapText="1"/>
    </xf>
    <xf numFmtId="43" fontId="19" fillId="0" borderId="11" xfId="0" applyNumberFormat="1" applyFont="1" applyFill="1" applyBorder="1" applyAlignment="1">
      <alignment horizontal="center" vertical="center"/>
    </xf>
    <xf numFmtId="43" fontId="20" fillId="0" borderId="11" xfId="0" applyNumberFormat="1" applyFont="1" applyFill="1" applyBorder="1" applyAlignment="1">
      <alignment horizontal="center" vertical="center"/>
    </xf>
    <xf numFmtId="4" fontId="19" fillId="0" borderId="11" xfId="41" applyNumberFormat="1" applyFont="1" applyFill="1" applyBorder="1" applyAlignment="1">
      <alignment horizontal="center" vertical="center"/>
    </xf>
    <xf numFmtId="4" fontId="39" fillId="0" borderId="11" xfId="0" applyNumberFormat="1" applyFont="1" applyFill="1" applyBorder="1" applyAlignment="1">
      <alignment horizontal="center" vertical="center"/>
    </xf>
    <xf numFmtId="4" fontId="31" fillId="0" borderId="11" xfId="0" applyNumberFormat="1" applyFont="1" applyFill="1" applyBorder="1" applyAlignment="1">
      <alignment horizontal="center" vertical="center" readingOrder="1"/>
    </xf>
    <xf numFmtId="4" fontId="19" fillId="0" borderId="11" xfId="0" applyNumberFormat="1" applyFont="1" applyFill="1" applyBorder="1"/>
    <xf numFmtId="43" fontId="19" fillId="0" borderId="11" xfId="0" applyNumberFormat="1" applyFont="1" applyFill="1" applyBorder="1"/>
    <xf numFmtId="0" fontId="20" fillId="0" borderId="11" xfId="0" applyFont="1" applyFill="1" applyBorder="1" applyAlignment="1">
      <alignment horizontal="center" vertical="center"/>
    </xf>
    <xf numFmtId="3" fontId="19" fillId="0" borderId="11" xfId="0" applyNumberFormat="1" applyFont="1" applyFill="1" applyBorder="1" applyAlignment="1">
      <alignment horizontal="justify" vertical="center" wrapText="1"/>
    </xf>
    <xf numFmtId="43" fontId="19" fillId="0" borderId="11" xfId="0" applyNumberFormat="1" applyFont="1" applyFill="1" applyBorder="1" applyAlignment="1">
      <alignment vertical="center" wrapText="1"/>
    </xf>
    <xf numFmtId="3" fontId="19" fillId="0" borderId="11" xfId="0" applyNumberFormat="1" applyFont="1" applyFill="1" applyBorder="1" applyAlignment="1">
      <alignment horizontal="justify" vertical="center"/>
    </xf>
    <xf numFmtId="0" fontId="20" fillId="0" borderId="11" xfId="59" applyFont="1" applyFill="1" applyBorder="1" applyAlignment="1">
      <alignment horizontal="center" vertical="center" wrapText="1"/>
    </xf>
    <xf numFmtId="43" fontId="20" fillId="0" borderId="11" xfId="0" applyNumberFormat="1" applyFont="1" applyFill="1" applyBorder="1" applyAlignment="1">
      <alignment horizontal="center" vertical="center" wrapText="1"/>
    </xf>
    <xf numFmtId="167" fontId="31" fillId="0" borderId="11" xfId="76" applyFont="1" applyFill="1" applyBorder="1" applyAlignment="1">
      <alignment horizontal="center" vertical="center" wrapText="1"/>
    </xf>
    <xf numFmtId="167" fontId="19" fillId="0" borderId="11" xfId="76" applyFont="1" applyFill="1" applyBorder="1" applyAlignment="1">
      <alignment horizontal="justify" vertical="center"/>
    </xf>
    <xf numFmtId="167" fontId="31" fillId="0" borderId="11" xfId="76" applyFont="1" applyFill="1" applyBorder="1" applyAlignment="1">
      <alignment vertical="center" wrapText="1"/>
    </xf>
    <xf numFmtId="167" fontId="19" fillId="0" borderId="11" xfId="76" applyFont="1" applyFill="1" applyBorder="1" applyAlignment="1">
      <alignment horizontal="left" vertical="center" wrapText="1"/>
    </xf>
    <xf numFmtId="167" fontId="19" fillId="0" borderId="11" xfId="76" applyFont="1" applyFill="1" applyBorder="1" applyAlignment="1">
      <alignment vertical="center"/>
    </xf>
    <xf numFmtId="0" fontId="19" fillId="0" borderId="11" xfId="0" applyFont="1" applyFill="1" applyBorder="1" applyAlignment="1">
      <alignment horizontal="center" vertical="center" wrapText="1"/>
    </xf>
    <xf numFmtId="0" fontId="19" fillId="0" borderId="11" xfId="0" applyFont="1" applyFill="1" applyBorder="1" applyAlignment="1">
      <alignment horizontal="justify" vertical="center" wrapText="1"/>
    </xf>
    <xf numFmtId="0" fontId="20" fillId="0" borderId="11" xfId="0" applyFont="1" applyFill="1" applyBorder="1" applyAlignment="1">
      <alignment horizontal="justify" vertical="center" wrapText="1"/>
    </xf>
    <xf numFmtId="0" fontId="20" fillId="0" borderId="11" xfId="0" applyFont="1" applyFill="1" applyBorder="1" applyAlignment="1">
      <alignment horizontal="center" vertical="center" wrapText="1"/>
    </xf>
    <xf numFmtId="0" fontId="26" fillId="0" borderId="21" xfId="0" applyFont="1" applyFill="1" applyBorder="1" applyAlignment="1">
      <alignment horizontal="left" vertical="center" wrapText="1"/>
    </xf>
    <xf numFmtId="0" fontId="26" fillId="0" borderId="20" xfId="0" applyFont="1" applyFill="1" applyBorder="1" applyAlignment="1">
      <alignment horizontal="left" vertical="center" wrapText="1"/>
    </xf>
    <xf numFmtId="0" fontId="26" fillId="0" borderId="11" xfId="0" applyFont="1" applyFill="1" applyBorder="1" applyAlignment="1">
      <alignment horizontal="left" vertical="center" wrapText="1"/>
    </xf>
    <xf numFmtId="2" fontId="19" fillId="0" borderId="11" xfId="59" applyNumberFormat="1" applyFont="1" applyFill="1" applyBorder="1" applyAlignment="1">
      <alignment horizontal="center" vertical="center" wrapText="1"/>
    </xf>
    <xf numFmtId="4" fontId="19" fillId="0" borderId="11" xfId="0" applyNumberFormat="1" applyFont="1" applyFill="1" applyBorder="1" applyAlignment="1">
      <alignment vertical="center"/>
    </xf>
    <xf numFmtId="3" fontId="19" fillId="0" borderId="11" xfId="0" applyNumberFormat="1" applyFont="1" applyFill="1" applyBorder="1" applyAlignment="1">
      <alignment horizontal="center" vertical="center" wrapText="1"/>
    </xf>
    <xf numFmtId="175" fontId="19" fillId="0" borderId="11" xfId="59" applyNumberFormat="1" applyFont="1" applyFill="1" applyBorder="1" applyAlignment="1">
      <alignment horizontal="center" vertical="center" wrapText="1"/>
    </xf>
    <xf numFmtId="0" fontId="20" fillId="0" borderId="11" xfId="0" applyFont="1" applyFill="1" applyBorder="1" applyAlignment="1">
      <alignment vertical="center" wrapText="1"/>
    </xf>
    <xf numFmtId="0" fontId="19" fillId="0" borderId="11" xfId="0" applyFont="1" applyFill="1" applyBorder="1" applyAlignment="1">
      <alignment horizontal="center" vertical="center" wrapText="1"/>
    </xf>
    <xf numFmtId="0" fontId="19" fillId="0" borderId="11" xfId="59" applyFont="1" applyFill="1" applyBorder="1" applyAlignment="1">
      <alignment horizontal="center" vertical="center" wrapText="1"/>
    </xf>
    <xf numFmtId="2" fontId="19" fillId="0" borderId="11" xfId="59" applyNumberFormat="1" applyFont="1" applyFill="1" applyBorder="1" applyAlignment="1">
      <alignment horizontal="center" vertical="center" wrapText="1"/>
    </xf>
    <xf numFmtId="167" fontId="19" fillId="0" borderId="0" xfId="76" applyFont="1"/>
    <xf numFmtId="167" fontId="19" fillId="34" borderId="0" xfId="76" applyFont="1" applyFill="1"/>
    <xf numFmtId="43" fontId="19" fillId="0" borderId="15" xfId="51" applyFont="1" applyFill="1" applyBorder="1" applyAlignment="1">
      <alignment horizontal="center" vertical="center"/>
    </xf>
    <xf numFmtId="43" fontId="19" fillId="0" borderId="14" xfId="51" applyFont="1" applyFill="1" applyBorder="1" applyAlignment="1">
      <alignment vertical="center"/>
    </xf>
    <xf numFmtId="43" fontId="19" fillId="0" borderId="14" xfId="51" applyFont="1" applyFill="1" applyBorder="1" applyAlignment="1">
      <alignment horizontal="right" vertical="center" wrapText="1"/>
    </xf>
    <xf numFmtId="43" fontId="19" fillId="0" borderId="14" xfId="41" applyFont="1" applyFill="1" applyBorder="1" applyAlignment="1">
      <alignment horizontal="justify" vertical="center"/>
    </xf>
    <xf numFmtId="43" fontId="19" fillId="0" borderId="51" xfId="51" applyFont="1" applyFill="1" applyBorder="1" applyAlignment="1">
      <alignment vertical="center"/>
    </xf>
    <xf numFmtId="167" fontId="19" fillId="0" borderId="0" xfId="51" applyNumberFormat="1" applyFont="1" applyAlignment="1">
      <alignment horizontal="center"/>
    </xf>
    <xf numFmtId="2" fontId="19" fillId="0" borderId="11" xfId="59" applyNumberFormat="1"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1" xfId="59" applyFont="1" applyFill="1" applyBorder="1" applyAlignment="1">
      <alignment horizontal="center" vertical="center" wrapText="1"/>
    </xf>
    <xf numFmtId="0" fontId="20" fillId="0" borderId="11"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1" xfId="59" applyFont="1" applyFill="1" applyBorder="1" applyAlignment="1">
      <alignment horizontal="center" vertical="center" wrapText="1"/>
    </xf>
    <xf numFmtId="43" fontId="19" fillId="0" borderId="11" xfId="0" applyNumberFormat="1" applyFont="1" applyFill="1" applyBorder="1" applyAlignment="1">
      <alignment horizontal="right" vertical="center"/>
    </xf>
    <xf numFmtId="0" fontId="27" fillId="0" borderId="0" xfId="0" applyFont="1" applyFill="1" applyAlignment="1">
      <alignment horizontal="center" vertical="center"/>
    </xf>
    <xf numFmtId="43" fontId="26" fillId="0" borderId="0" xfId="0" applyNumberFormat="1" applyFont="1" applyFill="1" applyAlignment="1">
      <alignment vertical="center"/>
    </xf>
    <xf numFmtId="0" fontId="26" fillId="0" borderId="0" xfId="0" applyFont="1" applyFill="1" applyAlignment="1">
      <alignment vertical="center"/>
    </xf>
    <xf numFmtId="0" fontId="19" fillId="0" borderId="0" xfId="0" applyFont="1" applyFill="1" applyAlignment="1">
      <alignment horizontal="left" vertical="center" wrapText="1"/>
    </xf>
    <xf numFmtId="0" fontId="19" fillId="0" borderId="11" xfId="0" applyFont="1" applyBorder="1" applyAlignment="1">
      <alignment horizontal="justify" vertical="center" wrapText="1"/>
    </xf>
    <xf numFmtId="0" fontId="20" fillId="0" borderId="11" xfId="0" applyFont="1" applyBorder="1" applyAlignment="1">
      <alignment horizontal="justify" vertical="center" wrapText="1"/>
    </xf>
    <xf numFmtId="0" fontId="19" fillId="0" borderId="11" xfId="0" applyFont="1" applyBorder="1" applyAlignment="1">
      <alignment horizontal="center" vertical="center" wrapText="1"/>
    </xf>
    <xf numFmtId="171" fontId="27" fillId="36" borderId="14" xfId="41" applyNumberFormat="1" applyFont="1" applyFill="1" applyBorder="1" applyAlignment="1">
      <alignment horizontal="center" vertical="center" wrapText="1"/>
    </xf>
    <xf numFmtId="171" fontId="27" fillId="36" borderId="19" xfId="41" applyNumberFormat="1" applyFont="1" applyFill="1" applyBorder="1" applyAlignment="1">
      <alignment horizontal="center" vertical="center" wrapText="1"/>
    </xf>
    <xf numFmtId="171" fontId="27" fillId="36" borderId="16" xfId="41" applyNumberFormat="1" applyFont="1" applyFill="1" applyBorder="1" applyAlignment="1">
      <alignment horizontal="center" vertical="center" wrapText="1"/>
    </xf>
    <xf numFmtId="0" fontId="20" fillId="34" borderId="11" xfId="0" applyFont="1" applyFill="1" applyBorder="1" applyAlignment="1">
      <alignment horizontal="justify" vertical="center" wrapText="1"/>
    </xf>
    <xf numFmtId="0" fontId="26" fillId="0" borderId="11" xfId="0" applyFont="1" applyFill="1" applyBorder="1" applyAlignment="1">
      <alignment horizontal="left" vertical="center"/>
    </xf>
    <xf numFmtId="170" fontId="27" fillId="36" borderId="11" xfId="48" applyFont="1" applyFill="1" applyBorder="1" applyAlignment="1">
      <alignment horizontal="center" vertical="center" wrapText="1"/>
    </xf>
    <xf numFmtId="170" fontId="27" fillId="36" borderId="18" xfId="48" applyFont="1" applyFill="1" applyBorder="1" applyAlignment="1">
      <alignment horizontal="center" vertical="center" wrapText="1"/>
    </xf>
    <xf numFmtId="0" fontId="27" fillId="36" borderId="11" xfId="48" applyNumberFormat="1" applyFont="1" applyFill="1" applyBorder="1" applyAlignment="1">
      <alignment horizontal="center" vertical="center" wrapText="1"/>
    </xf>
    <xf numFmtId="0" fontId="27" fillId="36" borderId="18" xfId="48" applyNumberFormat="1" applyFont="1" applyFill="1" applyBorder="1" applyAlignment="1">
      <alignment horizontal="center" vertical="center" wrapText="1"/>
    </xf>
    <xf numFmtId="170" fontId="27" fillId="36" borderId="21" xfId="48" applyFont="1" applyFill="1" applyBorder="1" applyAlignment="1">
      <alignment horizontal="center" vertical="center" wrapText="1"/>
    </xf>
    <xf numFmtId="2" fontId="19" fillId="0" borderId="11" xfId="59" applyNumberFormat="1" applyFont="1" applyFill="1" applyBorder="1" applyAlignment="1">
      <alignment horizontal="center" vertical="center" wrapText="1"/>
    </xf>
    <xf numFmtId="43" fontId="19" fillId="0" borderId="11" xfId="51" applyFont="1" applyFill="1" applyBorder="1" applyAlignment="1">
      <alignment horizontal="center" vertical="center" wrapText="1"/>
    </xf>
    <xf numFmtId="0" fontId="26" fillId="0" borderId="11" xfId="0" applyFont="1" applyBorder="1" applyAlignment="1">
      <alignment horizontal="center" vertical="center" wrapText="1"/>
    </xf>
    <xf numFmtId="0" fontId="19" fillId="34" borderId="11" xfId="0" applyFont="1" applyFill="1" applyBorder="1" applyAlignment="1">
      <alignment horizontal="justify" vertical="center" wrapText="1"/>
    </xf>
    <xf numFmtId="0" fontId="26" fillId="0" borderId="11" xfId="0" applyFont="1" applyBorder="1" applyAlignment="1">
      <alignment horizontal="left" vertical="center" wrapText="1"/>
    </xf>
    <xf numFmtId="0" fontId="26" fillId="39" borderId="11" xfId="0" applyFont="1" applyFill="1" applyBorder="1" applyAlignment="1">
      <alignment horizontal="left" vertical="center"/>
    </xf>
    <xf numFmtId="3" fontId="19" fillId="0" borderId="11" xfId="0" applyNumberFormat="1" applyFont="1" applyBorder="1" applyAlignment="1">
      <alignment horizontal="justify" vertical="center" wrapText="1"/>
    </xf>
    <xf numFmtId="3" fontId="19" fillId="0" borderId="11" xfId="0" applyNumberFormat="1" applyFont="1" applyBorder="1" applyAlignment="1">
      <alignment horizontal="justify" vertical="center"/>
    </xf>
    <xf numFmtId="166" fontId="19" fillId="0" borderId="11" xfId="58" applyFont="1" applyFill="1" applyBorder="1" applyAlignment="1">
      <alignment horizontal="justify" vertical="center" wrapText="1"/>
    </xf>
    <xf numFmtId="0" fontId="19" fillId="0" borderId="11" xfId="0" applyFont="1" applyFill="1" applyBorder="1" applyAlignment="1">
      <alignment horizontal="justify" vertical="center" wrapText="1"/>
    </xf>
    <xf numFmtId="0" fontId="19" fillId="0" borderId="11" xfId="0" applyFont="1" applyFill="1" applyBorder="1" applyAlignment="1">
      <alignment horizontal="center" vertical="center" wrapText="1"/>
    </xf>
    <xf numFmtId="0" fontId="19" fillId="0" borderId="11" xfId="0" applyFont="1" applyFill="1" applyBorder="1" applyAlignment="1">
      <alignment horizontal="justify" vertical="center"/>
    </xf>
    <xf numFmtId="0" fontId="20" fillId="0" borderId="11" xfId="0" applyFont="1" applyFill="1" applyBorder="1" applyAlignment="1">
      <alignment horizontal="justify" vertical="center" wrapText="1"/>
    </xf>
    <xf numFmtId="0" fontId="19" fillId="0" borderId="11" xfId="0" applyFont="1" applyFill="1" applyBorder="1" applyAlignment="1">
      <alignment horizontal="left" vertical="center" wrapText="1"/>
    </xf>
    <xf numFmtId="0" fontId="26" fillId="0" borderId="21" xfId="0" applyFont="1" applyFill="1" applyBorder="1" applyAlignment="1">
      <alignment horizontal="left" vertical="center" wrapText="1"/>
    </xf>
    <xf numFmtId="0" fontId="26" fillId="0" borderId="20" xfId="0" applyFont="1" applyFill="1" applyBorder="1" applyAlignment="1">
      <alignment horizontal="left" vertical="center" wrapText="1"/>
    </xf>
    <xf numFmtId="0" fontId="26" fillId="0" borderId="11" xfId="0" applyFont="1" applyFill="1" applyBorder="1" applyAlignment="1">
      <alignment horizontal="left" vertical="center" wrapText="1"/>
    </xf>
    <xf numFmtId="0" fontId="26" fillId="0" borderId="18" xfId="0" applyFont="1" applyBorder="1" applyAlignment="1">
      <alignment horizontal="left" vertical="center" wrapText="1"/>
    </xf>
    <xf numFmtId="0" fontId="26" fillId="0" borderId="21" xfId="0" applyFont="1" applyBorder="1" applyAlignment="1">
      <alignment horizontal="left" vertical="center" wrapText="1"/>
    </xf>
    <xf numFmtId="0" fontId="19" fillId="0" borderId="11" xfId="59" applyFont="1" applyFill="1" applyBorder="1" applyAlignment="1">
      <alignment horizontal="center" vertical="center" wrapText="1"/>
    </xf>
    <xf numFmtId="0" fontId="20" fillId="0" borderId="11" xfId="0" applyFont="1" applyFill="1" applyBorder="1" applyAlignment="1">
      <alignment horizontal="center" vertical="center" wrapText="1"/>
    </xf>
    <xf numFmtId="171" fontId="19" fillId="0" borderId="11" xfId="0" applyNumberFormat="1" applyFont="1" applyBorder="1" applyAlignment="1">
      <alignment horizontal="justify" vertical="center" wrapText="1"/>
    </xf>
    <xf numFmtId="0" fontId="19" fillId="0" borderId="11" xfId="0" applyFont="1" applyBorder="1" applyAlignment="1">
      <alignment horizontal="justify" vertical="center"/>
    </xf>
    <xf numFmtId="0" fontId="26" fillId="0" borderId="18" xfId="0" applyFont="1" applyBorder="1" applyAlignment="1">
      <alignment horizontal="left" vertical="center"/>
    </xf>
    <xf numFmtId="0" fontId="26" fillId="0" borderId="21" xfId="0" applyFont="1" applyBorder="1" applyAlignment="1">
      <alignment horizontal="left" vertical="center"/>
    </xf>
    <xf numFmtId="0" fontId="26" fillId="0" borderId="20" xfId="0" applyFont="1" applyBorder="1" applyAlignment="1">
      <alignment horizontal="left" vertical="center" wrapText="1"/>
    </xf>
    <xf numFmtId="0" fontId="26" fillId="0" borderId="0" xfId="0" applyFont="1" applyBorder="1" applyAlignment="1">
      <alignment horizontal="center" vertical="center" wrapText="1"/>
    </xf>
    <xf numFmtId="0" fontId="26" fillId="0" borderId="50" xfId="0" applyFont="1" applyBorder="1" applyAlignment="1">
      <alignment horizontal="center" vertical="center" wrapText="1"/>
    </xf>
    <xf numFmtId="170" fontId="27" fillId="36" borderId="11" xfId="48" applyFont="1" applyFill="1" applyBorder="1" applyAlignment="1">
      <alignment horizontal="center" vertical="center"/>
    </xf>
    <xf numFmtId="171" fontId="27" fillId="36" borderId="12" xfId="41" applyNumberFormat="1" applyFont="1" applyFill="1" applyBorder="1" applyAlignment="1">
      <alignment horizontal="center" vertical="center" wrapText="1"/>
    </xf>
    <xf numFmtId="171" fontId="27" fillId="36" borderId="13" xfId="41" applyNumberFormat="1" applyFont="1" applyFill="1" applyBorder="1" applyAlignment="1">
      <alignment horizontal="center" vertical="center" wrapText="1"/>
    </xf>
    <xf numFmtId="171" fontId="27" fillId="36" borderId="17" xfId="41" applyNumberFormat="1" applyFont="1" applyFill="1" applyBorder="1" applyAlignment="1">
      <alignment horizontal="center" vertical="center" wrapText="1"/>
    </xf>
    <xf numFmtId="0" fontId="33" fillId="34" borderId="0" xfId="0" applyFont="1" applyFill="1" applyAlignment="1">
      <alignment horizontal="center"/>
    </xf>
    <xf numFmtId="0" fontId="32" fillId="34" borderId="0" xfId="0" applyFont="1" applyFill="1" applyAlignment="1">
      <alignment horizontal="center"/>
    </xf>
    <xf numFmtId="0" fontId="34" fillId="34" borderId="0" xfId="0" applyFont="1" applyFill="1" applyAlignment="1">
      <alignment horizontal="left" vertical="center"/>
    </xf>
    <xf numFmtId="0" fontId="34" fillId="34" borderId="0" xfId="0" applyFont="1" applyFill="1" applyAlignment="1">
      <alignment horizontal="left" vertical="center" wrapText="1"/>
    </xf>
    <xf numFmtId="0" fontId="32" fillId="0" borderId="22" xfId="0" applyFont="1" applyBorder="1" applyAlignment="1">
      <alignment horizontal="center" vertical="center"/>
    </xf>
    <xf numFmtId="0" fontId="34" fillId="0" borderId="40" xfId="0" applyFont="1" applyBorder="1" applyAlignment="1">
      <alignment horizontal="justify" vertical="center" wrapText="1"/>
    </xf>
    <xf numFmtId="0" fontId="34" fillId="0" borderId="28" xfId="0" applyFont="1" applyBorder="1" applyAlignment="1">
      <alignment horizontal="justify" vertical="center" wrapText="1"/>
    </xf>
    <xf numFmtId="0" fontId="33" fillId="40" borderId="30" xfId="0" applyFont="1" applyFill="1" applyBorder="1" applyAlignment="1">
      <alignment horizontal="justify" vertical="center" wrapText="1"/>
    </xf>
    <xf numFmtId="0" fontId="33" fillId="40" borderId="31" xfId="0" applyFont="1" applyFill="1" applyBorder="1" applyAlignment="1">
      <alignment horizontal="justify" vertical="center" wrapText="1"/>
    </xf>
    <xf numFmtId="0" fontId="33" fillId="42" borderId="30" xfId="0" applyFont="1" applyFill="1" applyBorder="1" applyAlignment="1">
      <alignment horizontal="justify" vertical="center" wrapText="1"/>
    </xf>
    <xf numFmtId="0" fontId="33" fillId="42" borderId="31" xfId="0" applyFont="1" applyFill="1" applyBorder="1" applyAlignment="1">
      <alignment horizontal="justify" vertical="center" wrapText="1"/>
    </xf>
    <xf numFmtId="0" fontId="34" fillId="0" borderId="21" xfId="0" applyFont="1" applyBorder="1" applyAlignment="1">
      <alignment horizontal="justify" vertical="center" wrapText="1"/>
    </xf>
    <xf numFmtId="0" fontId="34" fillId="0" borderId="20" xfId="0" applyFont="1" applyBorder="1" applyAlignment="1">
      <alignment horizontal="justify" vertical="center" wrapText="1"/>
    </xf>
    <xf numFmtId="0" fontId="34" fillId="0" borderId="18" xfId="0" applyFont="1" applyBorder="1" applyAlignment="1">
      <alignment horizontal="justify" vertical="center" wrapText="1"/>
    </xf>
    <xf numFmtId="0" fontId="33" fillId="41" borderId="30" xfId="0" applyFont="1" applyFill="1" applyBorder="1" applyAlignment="1">
      <alignment horizontal="left" vertical="center" wrapText="1"/>
    </xf>
    <xf numFmtId="0" fontId="33" fillId="41" borderId="31" xfId="0" applyFont="1" applyFill="1" applyBorder="1" applyAlignment="1">
      <alignment horizontal="left" vertical="center" wrapText="1"/>
    </xf>
    <xf numFmtId="0" fontId="33" fillId="41" borderId="32" xfId="0" applyFont="1" applyFill="1" applyBorder="1" applyAlignment="1">
      <alignment horizontal="left" vertical="center" wrapText="1"/>
    </xf>
    <xf numFmtId="0" fontId="34" fillId="0" borderId="29" xfId="0" applyFont="1" applyBorder="1" applyAlignment="1">
      <alignment horizontal="justify" vertical="center" wrapText="1"/>
    </xf>
    <xf numFmtId="0" fontId="33" fillId="0" borderId="29" xfId="0" applyFont="1" applyBorder="1" applyAlignment="1">
      <alignment horizontal="left" vertical="center" wrapText="1"/>
    </xf>
    <xf numFmtId="0" fontId="33" fillId="0" borderId="21" xfId="0" applyFont="1" applyBorder="1" applyAlignment="1">
      <alignment horizontal="left" vertical="center" wrapText="1"/>
    </xf>
    <xf numFmtId="0" fontId="33" fillId="0" borderId="49" xfId="0" applyFont="1" applyBorder="1" applyAlignment="1">
      <alignment horizontal="left" vertical="center" wrapText="1"/>
    </xf>
    <xf numFmtId="0" fontId="34" fillId="0" borderId="26" xfId="0" applyFont="1" applyBorder="1" applyAlignment="1">
      <alignment horizontal="justify" vertical="center" wrapText="1"/>
    </xf>
    <xf numFmtId="0" fontId="33" fillId="0" borderId="29" xfId="0" applyFont="1" applyBorder="1" applyAlignment="1">
      <alignment horizontal="justify" vertical="center" wrapText="1"/>
    </xf>
    <xf numFmtId="0" fontId="34" fillId="0" borderId="29" xfId="0" applyFont="1" applyFill="1" applyBorder="1" applyAlignment="1">
      <alignment horizontal="justify" vertical="center" wrapText="1"/>
    </xf>
    <xf numFmtId="0" fontId="34" fillId="0" borderId="21" xfId="0" applyFont="1" applyFill="1" applyBorder="1" applyAlignment="1">
      <alignment horizontal="justify" vertical="center" wrapText="1"/>
    </xf>
    <xf numFmtId="0" fontId="34" fillId="0" borderId="20" xfId="0" applyFont="1" applyFill="1" applyBorder="1" applyAlignment="1">
      <alignment horizontal="justify" vertical="center" wrapText="1"/>
    </xf>
    <xf numFmtId="0" fontId="34" fillId="0" borderId="18" xfId="0" applyFont="1" applyFill="1" applyBorder="1" applyAlignment="1">
      <alignment horizontal="justify" vertical="center" wrapText="1"/>
    </xf>
    <xf numFmtId="0" fontId="34" fillId="0" borderId="11" xfId="0" applyFont="1" applyBorder="1" applyAlignment="1">
      <alignment horizontal="justify" vertical="center" wrapText="1"/>
    </xf>
    <xf numFmtId="0" fontId="33" fillId="0" borderId="26" xfId="0" applyFont="1" applyBorder="1" applyAlignment="1">
      <alignment horizontal="justify" vertical="center" wrapText="1"/>
    </xf>
    <xf numFmtId="0" fontId="34" fillId="0" borderId="28" xfId="41" applyNumberFormat="1" applyFont="1" applyFill="1" applyBorder="1" applyAlignment="1">
      <alignment horizontal="justify" vertical="center" wrapText="1"/>
    </xf>
    <xf numFmtId="0" fontId="34" fillId="0" borderId="26" xfId="41" applyNumberFormat="1" applyFont="1" applyFill="1" applyBorder="1" applyAlignment="1">
      <alignment horizontal="justify" vertical="center" wrapText="1"/>
    </xf>
    <xf numFmtId="0" fontId="33" fillId="0" borderId="40" xfId="0" applyFont="1" applyBorder="1" applyAlignment="1">
      <alignment horizontal="justify" vertical="center" wrapText="1"/>
    </xf>
    <xf numFmtId="0" fontId="33" fillId="0" borderId="28" xfId="0" applyFont="1" applyBorder="1" applyAlignment="1">
      <alignment horizontal="justify" vertical="center" wrapText="1"/>
    </xf>
    <xf numFmtId="0" fontId="33" fillId="0" borderId="37" xfId="0" applyFont="1" applyBorder="1" applyAlignment="1">
      <alignment horizontal="justify" vertical="center" wrapText="1"/>
    </xf>
    <xf numFmtId="0" fontId="33" fillId="0" borderId="43" xfId="0" applyFont="1" applyBorder="1" applyAlignment="1">
      <alignment horizontal="center" vertical="center" wrapText="1"/>
    </xf>
    <xf numFmtId="0" fontId="33" fillId="0" borderId="44" xfId="0" applyFont="1" applyBorder="1" applyAlignment="1">
      <alignment horizontal="center" vertical="center" wrapText="1"/>
    </xf>
    <xf numFmtId="0" fontId="33" fillId="0" borderId="45"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23" xfId="0" applyFont="1" applyBorder="1" applyAlignment="1">
      <alignment horizontal="center" vertical="center" wrapText="1"/>
    </xf>
    <xf numFmtId="0" fontId="33" fillId="40" borderId="30" xfId="0" applyFont="1" applyFill="1" applyBorder="1" applyAlignment="1">
      <alignment horizontal="center" vertical="center" wrapText="1"/>
    </xf>
    <xf numFmtId="0" fontId="33" fillId="40" borderId="31" xfId="0" applyFont="1" applyFill="1" applyBorder="1" applyAlignment="1">
      <alignment horizontal="center" vertical="center" wrapText="1"/>
    </xf>
    <xf numFmtId="0" fontId="33" fillId="40" borderId="32" xfId="0" applyFont="1" applyFill="1" applyBorder="1" applyAlignment="1">
      <alignment horizontal="center" vertical="center" wrapText="1"/>
    </xf>
    <xf numFmtId="171" fontId="25" fillId="34" borderId="0" xfId="57" applyNumberFormat="1" applyFont="1" applyFill="1" applyAlignment="1">
      <alignment horizontal="center" vertical="center"/>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19" fillId="46" borderId="28" xfId="68" applyNumberFormat="1" applyFont="1" applyFill="1" applyBorder="1" applyAlignment="1">
      <alignment horizontal="left" vertical="center" wrapText="1"/>
    </xf>
    <xf numFmtId="0" fontId="19" fillId="46" borderId="11" xfId="68" applyNumberFormat="1" applyFont="1" applyFill="1" applyBorder="1" applyAlignment="1">
      <alignment horizontal="left" vertical="center" wrapText="1"/>
    </xf>
    <xf numFmtId="0" fontId="26" fillId="0" borderId="55" xfId="68" applyNumberFormat="1" applyFont="1" applyBorder="1" applyAlignment="1">
      <alignment horizontal="center" vertical="center" wrapText="1"/>
    </xf>
    <xf numFmtId="0" fontId="26" fillId="0" borderId="56" xfId="68" applyNumberFormat="1" applyFont="1" applyBorder="1" applyAlignment="1">
      <alignment horizontal="center" vertical="center" wrapText="1"/>
    </xf>
    <xf numFmtId="0" fontId="19" fillId="45" borderId="28" xfId="68" applyNumberFormat="1" applyFont="1" applyFill="1" applyBorder="1" applyAlignment="1">
      <alignment horizontal="left" vertical="center" wrapText="1"/>
    </xf>
    <xf numFmtId="0" fontId="19" fillId="45" borderId="11" xfId="68" applyNumberFormat="1" applyFont="1" applyFill="1" applyBorder="1" applyAlignment="1">
      <alignment horizontal="left" vertical="center" wrapText="1"/>
    </xf>
    <xf numFmtId="0" fontId="19" fillId="36" borderId="28" xfId="68" applyNumberFormat="1" applyFont="1" applyFill="1" applyBorder="1" applyAlignment="1">
      <alignment horizontal="left" vertical="center" wrapText="1"/>
    </xf>
    <xf numFmtId="0" fontId="19" fillId="36" borderId="11" xfId="68" applyNumberFormat="1" applyFont="1" applyFill="1" applyBorder="1" applyAlignment="1">
      <alignment horizontal="left" vertical="center" wrapText="1"/>
    </xf>
    <xf numFmtId="0" fontId="19" fillId="44" borderId="28" xfId="68" applyNumberFormat="1" applyFont="1" applyFill="1" applyBorder="1" applyAlignment="1">
      <alignment horizontal="left" vertical="center" wrapText="1"/>
    </xf>
    <xf numFmtId="0" fontId="19" fillId="44" borderId="11" xfId="68" applyNumberFormat="1" applyFont="1" applyFill="1" applyBorder="1" applyAlignment="1">
      <alignment horizontal="left" vertical="center" wrapText="1"/>
    </xf>
    <xf numFmtId="0" fontId="19" fillId="38" borderId="28" xfId="68" applyNumberFormat="1" applyFont="1" applyFill="1" applyBorder="1" applyAlignment="1">
      <alignment horizontal="left" vertical="center" wrapText="1"/>
    </xf>
    <xf numFmtId="0" fontId="19" fillId="38" borderId="11" xfId="68" applyNumberFormat="1" applyFont="1" applyFill="1" applyBorder="1" applyAlignment="1">
      <alignment horizontal="left" vertical="center" wrapText="1"/>
    </xf>
    <xf numFmtId="0" fontId="21" fillId="37" borderId="14" xfId="76" applyNumberFormat="1" applyFont="1" applyFill="1" applyBorder="1" applyAlignment="1">
      <alignment horizontal="center" vertical="center" wrapText="1"/>
    </xf>
    <xf numFmtId="0" fontId="21" fillId="37" borderId="19" xfId="76" applyNumberFormat="1" applyFont="1" applyFill="1" applyBorder="1" applyAlignment="1">
      <alignment horizontal="center" vertical="center" wrapText="1"/>
    </xf>
    <xf numFmtId="0" fontId="21" fillId="37" borderId="16" xfId="76" applyNumberFormat="1" applyFont="1" applyFill="1" applyBorder="1" applyAlignment="1">
      <alignment horizontal="center" vertical="center" wrapText="1"/>
    </xf>
    <xf numFmtId="0" fontId="15" fillId="0" borderId="11" xfId="0" applyFont="1" applyBorder="1" applyAlignment="1">
      <alignment horizontal="center" wrapText="1"/>
    </xf>
  </cellXfs>
  <cellStyles count="77">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1" xfId="22"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Incorrecto" xfId="31" builtinId="27" customBuiltin="1"/>
    <cellStyle name="KPT04" xfId="49"/>
    <cellStyle name="KPT04 2" xfId="43"/>
    <cellStyle name="Millares" xfId="76" builtinId="3"/>
    <cellStyle name="Millares [0]" xfId="55" builtinId="6"/>
    <cellStyle name="Millares [0] 2" xfId="46"/>
    <cellStyle name="Millares 2" xfId="41"/>
    <cellStyle name="Millares 2 2" xfId="51"/>
    <cellStyle name="Millares 2 2 2 2" xfId="42"/>
    <cellStyle name="Millares 2 2 2 2 2" xfId="64"/>
    <cellStyle name="Millares 2 4" xfId="57"/>
    <cellStyle name="Millares 3" xfId="67"/>
    <cellStyle name="Millares 4" xfId="62"/>
    <cellStyle name="Millares 5" xfId="72"/>
    <cellStyle name="Millares 6" xfId="69"/>
    <cellStyle name="Millares 7" xfId="63"/>
    <cellStyle name="Moneda [0] 2" xfId="52"/>
    <cellStyle name="Moneda [0] 2 2" xfId="60"/>
    <cellStyle name="Moneda 2" xfId="50"/>
    <cellStyle name="Moneda 2 2" xfId="54"/>
    <cellStyle name="Moneda 2 4" xfId="58"/>
    <cellStyle name="Moneda 3" xfId="71"/>
    <cellStyle name="Moneda 3 2" xfId="75"/>
    <cellStyle name="Moneda 4" xfId="66"/>
    <cellStyle name="Moneda 5" xfId="65"/>
    <cellStyle name="Moneda 6" xfId="73"/>
    <cellStyle name="Moneda 7" xfId="74"/>
    <cellStyle name="Neutral" xfId="32" builtinId="28" customBuiltin="1"/>
    <cellStyle name="Normal" xfId="0" builtinId="0"/>
    <cellStyle name="Normal 2" xfId="44"/>
    <cellStyle name="Normal 2 2" xfId="53"/>
    <cellStyle name="Normal 2 2 2" xfId="61"/>
    <cellStyle name="Normal 2 3" xfId="59"/>
    <cellStyle name="Normal 2 3 2" xfId="70"/>
    <cellStyle name="Normal 2 3 3" xfId="68"/>
    <cellStyle name="Normal 3" xfId="48"/>
    <cellStyle name="Notas" xfId="33" builtinId="10" customBuiltin="1"/>
    <cellStyle name="Porcentaje" xfId="56" builtinId="5"/>
    <cellStyle name="Porcentaje 2 2" xfId="45"/>
    <cellStyle name="Porcentaje 2 2 2" xfId="47"/>
    <cellStyle name="Salida" xfId="34" builtinId="21" customBuiltin="1"/>
    <cellStyle name="Texto de advertencia" xfId="35" builtinId="11" customBuiltin="1"/>
    <cellStyle name="Texto explicativo" xfId="36" builtinId="53" customBuiltin="1"/>
    <cellStyle name="Título" xfId="37" builtinId="15" customBuiltin="1"/>
    <cellStyle name="Título 2" xfId="38" builtinId="17" customBuiltin="1"/>
    <cellStyle name="Título 3" xfId="39" builtinId="18" customBuiltin="1"/>
    <cellStyle name="Total" xfId="40" builtinId="25" customBuiltin="1"/>
  </cellStyles>
  <dxfs count="59">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1" i="0" u="none" strike="noStrike" kern="1200" spc="0" baseline="0">
                <a:solidFill>
                  <a:schemeClr val="tx1">
                    <a:lumMod val="65000"/>
                    <a:lumOff val="35000"/>
                  </a:schemeClr>
                </a:solidFill>
                <a:latin typeface="+mn-lt"/>
                <a:ea typeface="+mn-ea"/>
                <a:cs typeface="+mn-cs"/>
              </a:defRPr>
            </a:pPr>
            <a:r>
              <a:rPr lang="es-CO" sz="1050" b="1"/>
              <a:t>Departamento del Quindío</a:t>
            </a:r>
          </a:p>
          <a:p>
            <a:pPr>
              <a:defRPr sz="1050" b="1" i="0" u="none" strike="noStrike" kern="1200" spc="0" baseline="0">
                <a:solidFill>
                  <a:schemeClr val="tx1">
                    <a:lumMod val="65000"/>
                    <a:lumOff val="35000"/>
                  </a:schemeClr>
                </a:solidFill>
                <a:latin typeface="+mn-lt"/>
                <a:ea typeface="+mn-ea"/>
                <a:cs typeface="+mn-cs"/>
              </a:defRPr>
            </a:pPr>
            <a:r>
              <a:rPr lang="es-CO" sz="1050" b="1"/>
              <a:t>Estado de ejecución gastos de inversión</a:t>
            </a:r>
          </a:p>
          <a:p>
            <a:pPr>
              <a:defRPr sz="1050" b="1" i="0" u="none" strike="noStrike" kern="1200" spc="0" baseline="0">
                <a:solidFill>
                  <a:schemeClr val="tx1">
                    <a:lumMod val="65000"/>
                    <a:lumOff val="35000"/>
                  </a:schemeClr>
                </a:solidFill>
                <a:latin typeface="+mn-lt"/>
                <a:ea typeface="+mn-ea"/>
                <a:cs typeface="+mn-cs"/>
              </a:defRPr>
            </a:pPr>
            <a:r>
              <a:rPr lang="es-CO" sz="1050" b="1" baseline="0"/>
              <a:t>IV Trimestre 2020 2020</a:t>
            </a:r>
            <a:r>
              <a:rPr lang="es-CO" sz="1050" b="1"/>
              <a:t> </a:t>
            </a:r>
          </a:p>
        </c:rich>
      </c:tx>
      <c:overlay val="0"/>
      <c:spPr>
        <a:noFill/>
        <a:ln w="25400">
          <a:noFill/>
        </a:ln>
      </c:spPr>
    </c:title>
    <c:autoTitleDeleted val="0"/>
    <c:plotArea>
      <c:layout/>
      <c:barChart>
        <c:barDir val="col"/>
        <c:grouping val="clustered"/>
        <c:varyColors val="0"/>
        <c:ser>
          <c:idx val="0"/>
          <c:order val="0"/>
          <c:tx>
            <c:strRef>
              <c:f>UNIDADES!$L$29</c:f>
              <c:strCache>
                <c:ptCount val="1"/>
                <c:pt idx="0">
                  <c:v>Valor</c:v>
                </c:pt>
              </c:strCache>
            </c:strRef>
          </c:tx>
          <c:spPr>
            <a:solidFill>
              <a:srgbClr val="5B9BD5"/>
            </a:solidFill>
            <a:ln w="25400">
              <a:noFill/>
            </a:ln>
          </c:spPr>
          <c:invertIfNegative val="0"/>
          <c:dPt>
            <c:idx val="0"/>
            <c:invertIfNegative val="0"/>
            <c:bubble3D val="0"/>
            <c:spPr>
              <a:solidFill>
                <a:schemeClr val="accent5">
                  <a:lumMod val="50000"/>
                </a:schemeClr>
              </a:solidFill>
              <a:ln>
                <a:noFill/>
              </a:ln>
              <a:effectLst/>
            </c:spPr>
            <c:extLst xmlns:c16r2="http://schemas.microsoft.com/office/drawing/2015/06/chart">
              <c:ext xmlns:c16="http://schemas.microsoft.com/office/drawing/2014/chart" uri="{C3380CC4-5D6E-409C-BE32-E72D297353CC}">
                <c16:uniqueId val="{00000001-6E13-4DDA-BFC6-1A55103DB8FA}"/>
              </c:ext>
            </c:extLst>
          </c:dPt>
          <c:dPt>
            <c:idx val="1"/>
            <c:invertIfNegative val="0"/>
            <c:bubble3D val="0"/>
            <c:spPr>
              <a:solidFill>
                <a:srgbClr val="92D050"/>
              </a:solidFill>
              <a:ln w="25400">
                <a:noFill/>
              </a:ln>
            </c:spPr>
            <c:extLst xmlns:c16r2="http://schemas.microsoft.com/office/drawing/2015/06/chart">
              <c:ext xmlns:c16="http://schemas.microsoft.com/office/drawing/2014/chart" uri="{C3380CC4-5D6E-409C-BE32-E72D297353CC}">
                <c16:uniqueId val="{00000003-6E13-4DDA-BFC6-1A55103DB8FA}"/>
              </c:ext>
            </c:extLst>
          </c:dPt>
          <c:dPt>
            <c:idx val="2"/>
            <c:invertIfNegative val="0"/>
            <c:bubble3D val="0"/>
            <c:spPr>
              <a:solidFill>
                <a:srgbClr val="0070C0"/>
              </a:solidFill>
              <a:ln w="25400">
                <a:noFill/>
              </a:ln>
            </c:spPr>
            <c:extLst xmlns:c16r2="http://schemas.microsoft.com/office/drawing/2015/06/chart">
              <c:ext xmlns:c16="http://schemas.microsoft.com/office/drawing/2014/chart" uri="{C3380CC4-5D6E-409C-BE32-E72D297353CC}">
                <c16:uniqueId val="{00000005-6E13-4DDA-BFC6-1A55103DB8FA}"/>
              </c:ext>
            </c:extLst>
          </c:dPt>
          <c:dPt>
            <c:idx val="3"/>
            <c:invertIfNegative val="0"/>
            <c:bubble3D val="0"/>
            <c:spPr>
              <a:solidFill>
                <a:srgbClr val="FFC000"/>
              </a:solidFill>
              <a:ln w="25400">
                <a:noFill/>
              </a:ln>
            </c:spPr>
            <c:extLst xmlns:c16r2="http://schemas.microsoft.com/office/drawing/2015/06/chart">
              <c:ext xmlns:c16="http://schemas.microsoft.com/office/drawing/2014/chart" uri="{C3380CC4-5D6E-409C-BE32-E72D297353CC}">
                <c16:uniqueId val="{00000007-6E13-4DDA-BFC6-1A55103DB8FA}"/>
              </c:ext>
            </c:extLst>
          </c:dPt>
          <c:cat>
            <c:strRef>
              <c:f>UNIDADES!$K$30:$K$34</c:f>
              <c:strCache>
                <c:ptCount val="5"/>
                <c:pt idx="0">
                  <c:v>Definitivo</c:v>
                </c:pt>
                <c:pt idx="1">
                  <c:v>Disponibilidades</c:v>
                </c:pt>
                <c:pt idx="2">
                  <c:v>Compromisos</c:v>
                </c:pt>
                <c:pt idx="3">
                  <c:v>Obligaciones</c:v>
                </c:pt>
                <c:pt idx="4">
                  <c:v>Disponible</c:v>
                </c:pt>
              </c:strCache>
            </c:strRef>
          </c:cat>
          <c:val>
            <c:numRef>
              <c:f>UNIDADES!$L$30:$L$34</c:f>
              <c:numCache>
                <c:formatCode>_(* #,##0_);_(* \(#,##0\);_(* "-"??_);_(@_)</c:formatCode>
                <c:ptCount val="5"/>
                <c:pt idx="0">
                  <c:v>261880040260.62003</c:v>
                </c:pt>
                <c:pt idx="1">
                  <c:v>239390220671.21332</c:v>
                </c:pt>
                <c:pt idx="2">
                  <c:v>239390220671.21332</c:v>
                </c:pt>
                <c:pt idx="3">
                  <c:v>238322617351.21332</c:v>
                </c:pt>
                <c:pt idx="4">
                  <c:v>22489819589.406654</c:v>
                </c:pt>
              </c:numCache>
            </c:numRef>
          </c:val>
          <c:extLst xmlns:c16r2="http://schemas.microsoft.com/office/drawing/2015/06/chart">
            <c:ext xmlns:c16="http://schemas.microsoft.com/office/drawing/2014/chart" uri="{C3380CC4-5D6E-409C-BE32-E72D297353CC}">
              <c16:uniqueId val="{00000008-6E13-4DDA-BFC6-1A55103DB8FA}"/>
            </c:ext>
          </c:extLst>
        </c:ser>
        <c:ser>
          <c:idx val="1"/>
          <c:order val="1"/>
          <c:tx>
            <c:strRef>
              <c:f>UNIDADES!$M$29</c:f>
              <c:strCache>
                <c:ptCount val="1"/>
                <c:pt idx="0">
                  <c:v>%</c:v>
                </c:pt>
              </c:strCache>
            </c:strRef>
          </c:tx>
          <c:spPr>
            <a:solidFill>
              <a:srgbClr val="ED7D31"/>
            </a:solidFill>
            <a:ln w="25400">
              <a:noFill/>
            </a:ln>
          </c:spPr>
          <c:invertIfNegative val="0"/>
          <c:cat>
            <c:strRef>
              <c:f>UNIDADES!$K$30:$K$34</c:f>
              <c:strCache>
                <c:ptCount val="5"/>
                <c:pt idx="0">
                  <c:v>Definitivo</c:v>
                </c:pt>
                <c:pt idx="1">
                  <c:v>Disponibilidades</c:v>
                </c:pt>
                <c:pt idx="2">
                  <c:v>Compromisos</c:v>
                </c:pt>
                <c:pt idx="3">
                  <c:v>Obligaciones</c:v>
                </c:pt>
                <c:pt idx="4">
                  <c:v>Disponible</c:v>
                </c:pt>
              </c:strCache>
            </c:strRef>
          </c:cat>
          <c:val>
            <c:numRef>
              <c:f>UNIDADES!$M$30:$M$34</c:f>
              <c:numCache>
                <c:formatCode>0.00%</c:formatCode>
                <c:ptCount val="5"/>
                <c:pt idx="0" formatCode="0%">
                  <c:v>1</c:v>
                </c:pt>
                <c:pt idx="1">
                  <c:v>0.91412167354554741</c:v>
                </c:pt>
                <c:pt idx="2">
                  <c:v>0.91412167354554741</c:v>
                </c:pt>
                <c:pt idx="3">
                  <c:v>0.99554032191872077</c:v>
                </c:pt>
                <c:pt idx="4">
                  <c:v>8.5878326454452356E-2</c:v>
                </c:pt>
              </c:numCache>
            </c:numRef>
          </c:val>
          <c:extLst xmlns:c16r2="http://schemas.microsoft.com/office/drawing/2015/06/chart">
            <c:ext xmlns:c16="http://schemas.microsoft.com/office/drawing/2014/chart" uri="{C3380CC4-5D6E-409C-BE32-E72D297353CC}">
              <c16:uniqueId val="{00000009-6E13-4DDA-BFC6-1A55103DB8FA}"/>
            </c:ext>
          </c:extLst>
        </c:ser>
        <c:dLbls>
          <c:showLegendKey val="0"/>
          <c:showVal val="0"/>
          <c:showCatName val="0"/>
          <c:showSerName val="0"/>
          <c:showPercent val="0"/>
          <c:showBubbleSize val="0"/>
        </c:dLbls>
        <c:gapWidth val="219"/>
        <c:overlap val="-27"/>
        <c:axId val="304451592"/>
        <c:axId val="305138368"/>
      </c:barChart>
      <c:catAx>
        <c:axId val="304451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05138368"/>
        <c:crosses val="autoZero"/>
        <c:auto val="1"/>
        <c:lblAlgn val="ctr"/>
        <c:lblOffset val="100"/>
        <c:noMultiLvlLbl val="0"/>
      </c:catAx>
      <c:valAx>
        <c:axId val="305138368"/>
        <c:scaling>
          <c:orientation val="minMax"/>
        </c:scaling>
        <c:delete val="0"/>
        <c:axPos val="l"/>
        <c:numFmt formatCode="_(* #,##0_);_(* \(#,##0\);_(* &quot;-&quot;??_);_(@_)"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0445159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w="25400">
          <a:noFill/>
        </a:ln>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CO"/>
              <a:t>Departamento Quindío</a:t>
            </a:r>
          </a:p>
          <a:p>
            <a:pPr>
              <a:defRPr/>
            </a:pPr>
            <a:r>
              <a:rPr lang="es-CO"/>
              <a:t>avance porcentaje de ejecución gastos de inversión por unidad ejecutora</a:t>
            </a:r>
          </a:p>
          <a:p>
            <a:pPr>
              <a:defRPr/>
            </a:pPr>
            <a:r>
              <a:rPr lang="es-CO"/>
              <a:t>IV TRIMESTRE </a:t>
            </a:r>
            <a:r>
              <a:rPr lang="es-CO" baseline="0"/>
              <a:t>2020</a:t>
            </a:r>
            <a:r>
              <a:rPr lang="es-CO"/>
              <a:t> </a:t>
            </a:r>
          </a:p>
        </c:rich>
      </c:tx>
      <c:layout>
        <c:manualLayout>
          <c:xMode val="edge"/>
          <c:yMode val="edge"/>
          <c:x val="0.24296631419714565"/>
          <c:y val="0"/>
        </c:manualLayout>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UNIDADES!$D$2</c:f>
              <c:strCache>
                <c:ptCount val="1"/>
                <c:pt idx="0">
                  <c:v>% PD</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(UNIDADES!$B$3:$B$15,UNIDADES!$B$17:$B$19,UNIDADES!$B$22)</c:f>
              <c:strCache>
                <c:ptCount val="17"/>
                <c:pt idx="0">
                  <c:v>Administrativa</c:v>
                </c:pt>
                <c:pt idx="1">
                  <c:v>Planeación</c:v>
                </c:pt>
                <c:pt idx="2">
                  <c:v>Hacienda</c:v>
                </c:pt>
                <c:pt idx="3">
                  <c:v>Aguas e Infraestructura</c:v>
                </c:pt>
                <c:pt idx="4">
                  <c:v>Interior</c:v>
                </c:pt>
                <c:pt idx="5">
                  <c:v>Cultura</c:v>
                </c:pt>
                <c:pt idx="6">
                  <c:v>Turismo Industria y Comercio</c:v>
                </c:pt>
                <c:pt idx="7">
                  <c:v>Agricultura, Desarrollo Rural y Medio Ambiente</c:v>
                </c:pt>
                <c:pt idx="8">
                  <c:v>Oficina Privada</c:v>
                </c:pt>
                <c:pt idx="9">
                  <c:v>Educación</c:v>
                </c:pt>
                <c:pt idx="10">
                  <c:v>Familia</c:v>
                </c:pt>
                <c:pt idx="11">
                  <c:v>Salud</c:v>
                </c:pt>
                <c:pt idx="12">
                  <c:v>Tecnología de la Información y las Comunicaciones</c:v>
                </c:pt>
                <c:pt idx="13">
                  <c:v>Indeportes</c:v>
                </c:pt>
                <c:pt idx="14">
                  <c:v>Promotora</c:v>
                </c:pt>
                <c:pt idx="15">
                  <c:v>IDTQ</c:v>
                </c:pt>
                <c:pt idx="16">
                  <c:v>TOTAL INVERSION</c:v>
                </c:pt>
              </c:strCache>
              <c:extLst xmlns:c16r2="http://schemas.microsoft.com/office/drawing/2015/06/chart"/>
            </c:strRef>
          </c:cat>
          <c:val>
            <c:numRef>
              <c:f>(UNIDADES!$D$3:$D$15,UNIDADES!$D$17:$D$19,UNIDADES!$D$22)</c:f>
              <c:numCache>
                <c:formatCode>0%</c:formatCode>
                <c:ptCount val="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numCache>
              <c:extLst xmlns:c16r2="http://schemas.microsoft.com/office/drawing/2015/06/chart"/>
            </c:numRef>
          </c:val>
          <c:extLst xmlns:c16r2="http://schemas.microsoft.com/office/drawing/2015/06/chart">
            <c:ext xmlns:c16="http://schemas.microsoft.com/office/drawing/2014/chart" uri="{C3380CC4-5D6E-409C-BE32-E72D297353CC}">
              <c16:uniqueId val="{00000000-47E1-4C68-AFB7-BEDE79BC0B55}"/>
            </c:ext>
          </c:extLst>
        </c:ser>
        <c:ser>
          <c:idx val="2"/>
          <c:order val="2"/>
          <c:tx>
            <c:strRef>
              <c:f>UNIDADES!$H$2</c:f>
              <c:strCache>
                <c:ptCount val="1"/>
                <c:pt idx="0">
                  <c:v>Semáforo (Compromiso):
Sobresaliente  (Entre 80%-100%)
Satisfactorio (Entre 70% -79,99%)
Medio (Entre 60%-69,99%)
Bajo (Entre 40% - 59,99%)
Critico (Entre 0% - 39,99%)</c:v>
                </c:pt>
              </c:strCache>
            </c:strRef>
          </c:tx>
          <c:spPr>
            <a:solidFill>
              <a:schemeClr val="accent3"/>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(UNIDADES!$B$3:$B$15,UNIDADES!$B$17:$B$19,UNIDADES!$B$22)</c:f>
              <c:strCache>
                <c:ptCount val="17"/>
                <c:pt idx="0">
                  <c:v>Administrativa</c:v>
                </c:pt>
                <c:pt idx="1">
                  <c:v>Planeación</c:v>
                </c:pt>
                <c:pt idx="2">
                  <c:v>Hacienda</c:v>
                </c:pt>
                <c:pt idx="3">
                  <c:v>Aguas e Infraestructura</c:v>
                </c:pt>
                <c:pt idx="4">
                  <c:v>Interior</c:v>
                </c:pt>
                <c:pt idx="5">
                  <c:v>Cultura</c:v>
                </c:pt>
                <c:pt idx="6">
                  <c:v>Turismo Industria y Comercio</c:v>
                </c:pt>
                <c:pt idx="7">
                  <c:v>Agricultura, Desarrollo Rural y Medio Ambiente</c:v>
                </c:pt>
                <c:pt idx="8">
                  <c:v>Oficina Privada</c:v>
                </c:pt>
                <c:pt idx="9">
                  <c:v>Educación</c:v>
                </c:pt>
                <c:pt idx="10">
                  <c:v>Familia</c:v>
                </c:pt>
                <c:pt idx="11">
                  <c:v>Salud</c:v>
                </c:pt>
                <c:pt idx="12">
                  <c:v>Tecnología de la Información y las Comunicaciones</c:v>
                </c:pt>
                <c:pt idx="13">
                  <c:v>Indeportes</c:v>
                </c:pt>
                <c:pt idx="14">
                  <c:v>Promotora</c:v>
                </c:pt>
                <c:pt idx="15">
                  <c:v>IDTQ</c:v>
                </c:pt>
                <c:pt idx="16">
                  <c:v>TOTAL INVERSION</c:v>
                </c:pt>
              </c:strCache>
              <c:extLst xmlns:c16r2="http://schemas.microsoft.com/office/drawing/2015/06/chart"/>
            </c:strRef>
          </c:cat>
          <c:val>
            <c:numRef>
              <c:f>(UNIDADES!$H$3:$H$15,UNIDADES!$H$17:$H$19,UNIDADES!$H$22)</c:f>
              <c:numCache>
                <c:formatCode>0.00%</c:formatCode>
                <c:ptCount val="17"/>
                <c:pt idx="0">
                  <c:v>0.93090817511895962</c:v>
                </c:pt>
                <c:pt idx="1">
                  <c:v>0.88256583111804754</c:v>
                </c:pt>
                <c:pt idx="2">
                  <c:v>0.66432106555677795</c:v>
                </c:pt>
                <c:pt idx="3">
                  <c:v>0.69613519465167029</c:v>
                </c:pt>
                <c:pt idx="4">
                  <c:v>0.26105827102632717</c:v>
                </c:pt>
                <c:pt idx="5">
                  <c:v>0.52303742538616071</c:v>
                </c:pt>
                <c:pt idx="6">
                  <c:v>0.68145381087101486</c:v>
                </c:pt>
                <c:pt idx="7">
                  <c:v>0.54150575548314273</c:v>
                </c:pt>
                <c:pt idx="8">
                  <c:v>0.90235840828631275</c:v>
                </c:pt>
                <c:pt idx="9">
                  <c:v>0.9772615013226571</c:v>
                </c:pt>
                <c:pt idx="10">
                  <c:v>0.8075671633377064</c:v>
                </c:pt>
                <c:pt idx="11">
                  <c:v>0.86545687478100009</c:v>
                </c:pt>
                <c:pt idx="12">
                  <c:v>0.91129776499680037</c:v>
                </c:pt>
                <c:pt idx="13">
                  <c:v>0.62838303257502703</c:v>
                </c:pt>
                <c:pt idx="14">
                  <c:v>0.8639824906203285</c:v>
                </c:pt>
                <c:pt idx="15">
                  <c:v>0.4892710280373832</c:v>
                </c:pt>
                <c:pt idx="16">
                  <c:v>0.91412167354554741</c:v>
                </c:pt>
              </c:numCache>
              <c:extLst xmlns:c16r2="http://schemas.microsoft.com/office/drawing/2015/06/chart"/>
            </c:numRef>
          </c:val>
          <c:extLst xmlns:c16r2="http://schemas.microsoft.com/office/drawing/2015/06/chart">
            <c:ext xmlns:c16="http://schemas.microsoft.com/office/drawing/2014/chart" uri="{C3380CC4-5D6E-409C-BE32-E72D297353CC}">
              <c16:uniqueId val="{00000002-47E1-4C68-AFB7-BEDE79BC0B55}"/>
            </c:ext>
          </c:extLst>
        </c:ser>
        <c:ser>
          <c:idx val="3"/>
          <c:order val="3"/>
          <c:tx>
            <c:strRef>
              <c:f>UNIDADES!$L$2</c:f>
              <c:strCache>
                <c:ptCount val="1"/>
                <c:pt idx="0">
                  <c:v>% SALDO DISP.</c:v>
                </c:pt>
              </c:strCache>
            </c:strRef>
          </c:tx>
          <c:spPr>
            <a:solidFill>
              <a:schemeClr val="accent4"/>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(UNIDADES!$B$3:$B$15,UNIDADES!$B$17:$B$19,UNIDADES!$B$22)</c:f>
              <c:strCache>
                <c:ptCount val="17"/>
                <c:pt idx="0">
                  <c:v>Administrativa</c:v>
                </c:pt>
                <c:pt idx="1">
                  <c:v>Planeación</c:v>
                </c:pt>
                <c:pt idx="2">
                  <c:v>Hacienda</c:v>
                </c:pt>
                <c:pt idx="3">
                  <c:v>Aguas e Infraestructura</c:v>
                </c:pt>
                <c:pt idx="4">
                  <c:v>Interior</c:v>
                </c:pt>
                <c:pt idx="5">
                  <c:v>Cultura</c:v>
                </c:pt>
                <c:pt idx="6">
                  <c:v>Turismo Industria y Comercio</c:v>
                </c:pt>
                <c:pt idx="7">
                  <c:v>Agricultura, Desarrollo Rural y Medio Ambiente</c:v>
                </c:pt>
                <c:pt idx="8">
                  <c:v>Oficina Privada</c:v>
                </c:pt>
                <c:pt idx="9">
                  <c:v>Educación</c:v>
                </c:pt>
                <c:pt idx="10">
                  <c:v>Familia</c:v>
                </c:pt>
                <c:pt idx="11">
                  <c:v>Salud</c:v>
                </c:pt>
                <c:pt idx="12">
                  <c:v>Tecnología de la Información y las Comunicaciones</c:v>
                </c:pt>
                <c:pt idx="13">
                  <c:v>Indeportes</c:v>
                </c:pt>
                <c:pt idx="14">
                  <c:v>Promotora</c:v>
                </c:pt>
                <c:pt idx="15">
                  <c:v>IDTQ</c:v>
                </c:pt>
                <c:pt idx="16">
                  <c:v>TOTAL INVERSION</c:v>
                </c:pt>
              </c:strCache>
              <c:extLst xmlns:c16r2="http://schemas.microsoft.com/office/drawing/2015/06/chart"/>
            </c:strRef>
          </c:cat>
          <c:val>
            <c:numRef>
              <c:f>(UNIDADES!$L$3:$L$15,UNIDADES!$L$17:$L$19,UNIDADES!$L$22)</c:f>
              <c:numCache>
                <c:formatCode>0.00%</c:formatCode>
                <c:ptCount val="17"/>
                <c:pt idx="0">
                  <c:v>6.9091824881040348E-2</c:v>
                </c:pt>
                <c:pt idx="1">
                  <c:v>0.11743416888195249</c:v>
                </c:pt>
                <c:pt idx="2">
                  <c:v>0.33567893444322205</c:v>
                </c:pt>
                <c:pt idx="3">
                  <c:v>0.30386480534832966</c:v>
                </c:pt>
                <c:pt idx="4">
                  <c:v>0.73894172897367283</c:v>
                </c:pt>
                <c:pt idx="5">
                  <c:v>0.47696257461383923</c:v>
                </c:pt>
                <c:pt idx="6">
                  <c:v>0.31854618912898508</c:v>
                </c:pt>
                <c:pt idx="7">
                  <c:v>0.45849424451685727</c:v>
                </c:pt>
                <c:pt idx="8">
                  <c:v>9.7641591713687262E-2</c:v>
                </c:pt>
                <c:pt idx="9">
                  <c:v>2.2738498677342886E-2</c:v>
                </c:pt>
                <c:pt idx="10">
                  <c:v>0.19243283666229366</c:v>
                </c:pt>
                <c:pt idx="11">
                  <c:v>0.13454312521899997</c:v>
                </c:pt>
                <c:pt idx="12">
                  <c:v>8.8702235003199639E-2</c:v>
                </c:pt>
                <c:pt idx="13">
                  <c:v>0.37161696742497302</c:v>
                </c:pt>
                <c:pt idx="14">
                  <c:v>0.13601750937967144</c:v>
                </c:pt>
                <c:pt idx="15">
                  <c:v>0.5107289719626168</c:v>
                </c:pt>
                <c:pt idx="16">
                  <c:v>8.5878326454452356E-2</c:v>
                </c:pt>
              </c:numCache>
              <c:extLst xmlns:c16r2="http://schemas.microsoft.com/office/drawing/2015/06/chart"/>
            </c:numRef>
          </c:val>
          <c:extLst xmlns:c16r2="http://schemas.microsoft.com/office/drawing/2015/06/chart">
            <c:ext xmlns:c16="http://schemas.microsoft.com/office/drawing/2014/chart" uri="{C3380CC4-5D6E-409C-BE32-E72D297353CC}">
              <c16:uniqueId val="{00000003-47E1-4C68-AFB7-BEDE79BC0B55}"/>
            </c:ext>
          </c:extLst>
        </c:ser>
        <c:dLbls>
          <c:dLblPos val="outEnd"/>
          <c:showLegendKey val="0"/>
          <c:showVal val="1"/>
          <c:showCatName val="0"/>
          <c:showSerName val="0"/>
          <c:showPercent val="0"/>
          <c:showBubbleSize val="0"/>
        </c:dLbls>
        <c:gapWidth val="444"/>
        <c:overlap val="-90"/>
        <c:axId val="183551056"/>
        <c:axId val="83743056"/>
        <c:extLst xmlns:c16r2="http://schemas.microsoft.com/office/drawing/2015/06/chart">
          <c:ext xmlns:c15="http://schemas.microsoft.com/office/drawing/2012/chart" uri="{02D57815-91ED-43cb-92C2-25804820EDAC}">
            <c15:filteredBarSeries>
              <c15:ser>
                <c:idx val="1"/>
                <c:order val="1"/>
                <c:tx>
                  <c:strRef>
                    <c:extLst xmlns:c16r2="http://schemas.microsoft.com/office/drawing/2015/06/chart">
                      <c:ext uri="{02D57815-91ED-43cb-92C2-25804820EDAC}">
                        <c15:formulaRef>
                          <c15:sqref>UNIDADES!#REF!</c15:sqref>
                        </c15:formulaRef>
                      </c:ext>
                    </c:extLst>
                    <c:strCache>
                      <c:ptCount val="1"/>
                      <c:pt idx="0">
                        <c:v>#REF!</c:v>
                      </c:pt>
                    </c:strCache>
                  </c:strRef>
                </c:tx>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xmlns:c16r2="http://schemas.microsoft.com/office/drawing/2015/06/chart">
                    <c:ext uri="{CE6537A1-D6FC-4f65-9D91-7224C49458BB}">
                      <c15:showLeaderLines val="1"/>
                      <c15:leaderLines>
                        <c:spPr>
                          <a:ln w="9525">
                            <a:solidFill>
                              <a:schemeClr val="tx1">
                                <a:lumMod val="35000"/>
                                <a:lumOff val="65000"/>
                              </a:schemeClr>
                            </a:solidFill>
                          </a:ln>
                          <a:effectLst/>
                        </c:spPr>
                      </c15:leaderLines>
                    </c:ext>
                  </c:extLst>
                </c:dLbls>
                <c:cat>
                  <c:strRef>
                    <c:extLst xmlns:c16r2="http://schemas.microsoft.com/office/drawing/2015/06/chart">
                      <c:ext uri="{02D57815-91ED-43cb-92C2-25804820EDAC}">
                        <c15:formulaRef>
                          <c15:sqref>(UNIDADES!$B$3:$B$15,UNIDADES!$B$17:$B$19,UNIDADES!$B$22)</c15:sqref>
                        </c15:formulaRef>
                      </c:ext>
                    </c:extLst>
                    <c:strCache>
                      <c:ptCount val="17"/>
                      <c:pt idx="0">
                        <c:v>Administrativa</c:v>
                      </c:pt>
                      <c:pt idx="1">
                        <c:v>Planeación</c:v>
                      </c:pt>
                      <c:pt idx="2">
                        <c:v>Hacienda</c:v>
                      </c:pt>
                      <c:pt idx="3">
                        <c:v>Aguas e Infraestructura</c:v>
                      </c:pt>
                      <c:pt idx="4">
                        <c:v>Interior</c:v>
                      </c:pt>
                      <c:pt idx="5">
                        <c:v>Cultura</c:v>
                      </c:pt>
                      <c:pt idx="6">
                        <c:v>Turismo Industria y Comercio</c:v>
                      </c:pt>
                      <c:pt idx="7">
                        <c:v>Agricultura, Desarrollo Rural y Medio Ambiente</c:v>
                      </c:pt>
                      <c:pt idx="8">
                        <c:v>Oficina Privada</c:v>
                      </c:pt>
                      <c:pt idx="9">
                        <c:v>Educación</c:v>
                      </c:pt>
                      <c:pt idx="10">
                        <c:v>Familia</c:v>
                      </c:pt>
                      <c:pt idx="11">
                        <c:v>Salud</c:v>
                      </c:pt>
                      <c:pt idx="12">
                        <c:v>Tecnología de la Información y las Comunicaciones</c:v>
                      </c:pt>
                      <c:pt idx="13">
                        <c:v>Indeportes</c:v>
                      </c:pt>
                      <c:pt idx="14">
                        <c:v>Promotora</c:v>
                      </c:pt>
                      <c:pt idx="15">
                        <c:v>IDTQ</c:v>
                      </c:pt>
                      <c:pt idx="16">
                        <c:v>TOTAL INVERSION</c:v>
                      </c:pt>
                    </c:strCache>
                  </c:strRef>
                </c:cat>
                <c:val>
                  <c:numRef>
                    <c:extLst xmlns:c16r2="http://schemas.microsoft.com/office/drawing/2015/06/chart">
                      <c:ext uri="{02D57815-91ED-43cb-92C2-25804820EDAC}">
                        <c15:formulaRef>
                          <c15:sqref>UNIDADES!#REF!</c15:sqref>
                        </c15:formulaRef>
                      </c:ext>
                    </c:extLst>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47E1-4C68-AFB7-BEDE79BC0B55}"/>
                  </c:ext>
                </c:extLst>
              </c15:ser>
            </c15:filteredBarSeries>
          </c:ext>
        </c:extLst>
      </c:barChart>
      <c:catAx>
        <c:axId val="183551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CO"/>
          </a:p>
        </c:txPr>
        <c:crossAx val="83743056"/>
        <c:crosses val="autoZero"/>
        <c:auto val="1"/>
        <c:lblAlgn val="ctr"/>
        <c:lblOffset val="100"/>
        <c:noMultiLvlLbl val="0"/>
      </c:catAx>
      <c:valAx>
        <c:axId val="83743056"/>
        <c:scaling>
          <c:orientation val="minMax"/>
        </c:scaling>
        <c:delete val="1"/>
        <c:axPos val="l"/>
        <c:numFmt formatCode="0%" sourceLinked="1"/>
        <c:majorTickMark val="none"/>
        <c:minorTickMark val="none"/>
        <c:tickLblPos val="nextTo"/>
        <c:crossAx val="18355105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CO" sz="1200"/>
              <a:t>Departamento</a:t>
            </a:r>
            <a:r>
              <a:rPr lang="es-CO" sz="1200" baseline="0"/>
              <a:t> Quindío</a:t>
            </a:r>
          </a:p>
          <a:p>
            <a:pPr>
              <a:defRPr sz="1200"/>
            </a:pPr>
            <a:r>
              <a:rPr lang="es-CO" sz="1200" baseline="0"/>
              <a:t>Avance Ejecución Gastos Inversión</a:t>
            </a:r>
          </a:p>
          <a:p>
            <a:pPr>
              <a:defRPr sz="1200"/>
            </a:pPr>
            <a:r>
              <a:rPr lang="es-CO" sz="1200" baseline="0"/>
              <a:t>Sector Central</a:t>
            </a:r>
          </a:p>
          <a:p>
            <a:pPr>
              <a:defRPr sz="1200"/>
            </a:pPr>
            <a:r>
              <a:rPr lang="es-CO" sz="1200" baseline="0"/>
              <a:t> IV Trimestre 2020</a:t>
            </a:r>
            <a:endParaRPr lang="es-CO" sz="1200"/>
          </a:p>
        </c:rich>
      </c:tx>
      <c:layout>
        <c:manualLayout>
          <c:xMode val="edge"/>
          <c:yMode val="edge"/>
          <c:x val="0.38225537996805209"/>
          <c:y val="8.6644376548000709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UNIDADES!$C$29</c:f>
              <c:strCache>
                <c:ptCount val="1"/>
                <c:pt idx="0">
                  <c:v>Valor</c:v>
                </c:pt>
              </c:strCache>
            </c:strRef>
          </c:tx>
          <c:spPr>
            <a:solidFill>
              <a:srgbClr val="002060"/>
            </a:solidFill>
            <a:ln>
              <a:noFill/>
            </a:ln>
            <a:effectLst/>
          </c:spPr>
          <c:invertIfNegative val="0"/>
          <c:dPt>
            <c:idx val="1"/>
            <c:invertIfNegative val="0"/>
            <c:bubble3D val="0"/>
            <c:spPr>
              <a:solidFill>
                <a:schemeClr val="accent2">
                  <a:lumMod val="50000"/>
                </a:schemeClr>
              </a:solidFill>
              <a:ln>
                <a:noFill/>
              </a:ln>
              <a:effectLst/>
            </c:spPr>
            <c:extLst xmlns:c16r2="http://schemas.microsoft.com/office/drawing/2015/06/chart">
              <c:ext xmlns:c16="http://schemas.microsoft.com/office/drawing/2014/chart" uri="{C3380CC4-5D6E-409C-BE32-E72D297353CC}">
                <c16:uniqueId val="{00000003-3960-46AD-8AEB-A9264092E8AD}"/>
              </c:ext>
            </c:extLst>
          </c:dPt>
          <c:dPt>
            <c:idx val="2"/>
            <c:invertIfNegative val="0"/>
            <c:bubble3D val="0"/>
            <c:spPr>
              <a:solidFill>
                <a:schemeClr val="accent4">
                  <a:lumMod val="50000"/>
                </a:schemeClr>
              </a:solidFill>
              <a:ln>
                <a:noFill/>
              </a:ln>
              <a:effectLst/>
            </c:spPr>
            <c:extLst xmlns:c16r2="http://schemas.microsoft.com/office/drawing/2015/06/chart">
              <c:ext xmlns:c16="http://schemas.microsoft.com/office/drawing/2014/chart" uri="{C3380CC4-5D6E-409C-BE32-E72D297353CC}">
                <c16:uniqueId val="{00000006-3960-46AD-8AEB-A9264092E8AD}"/>
              </c:ext>
            </c:extLst>
          </c:dPt>
          <c:dPt>
            <c:idx val="3"/>
            <c:invertIfNegative val="0"/>
            <c:bubble3D val="0"/>
            <c:spPr>
              <a:solidFill>
                <a:schemeClr val="accent6">
                  <a:lumMod val="50000"/>
                </a:schemeClr>
              </a:solidFill>
              <a:ln>
                <a:noFill/>
              </a:ln>
              <a:effectLst/>
            </c:spPr>
            <c:extLst xmlns:c16r2="http://schemas.microsoft.com/office/drawing/2015/06/chart">
              <c:ext xmlns:c16="http://schemas.microsoft.com/office/drawing/2014/chart" uri="{C3380CC4-5D6E-409C-BE32-E72D297353CC}">
                <c16:uniqueId val="{00000009-3960-46AD-8AEB-A9264092E8AD}"/>
              </c:ext>
            </c:extLst>
          </c:dPt>
          <c:dPt>
            <c:idx val="4"/>
            <c:invertIfNegative val="0"/>
            <c:bubble3D val="0"/>
            <c:spPr>
              <a:solidFill>
                <a:schemeClr val="bg2">
                  <a:lumMod val="50000"/>
                </a:schemeClr>
              </a:solidFill>
              <a:ln>
                <a:noFill/>
              </a:ln>
              <a:effectLst/>
            </c:spPr>
            <c:extLst xmlns:c16r2="http://schemas.microsoft.com/office/drawing/2015/06/chart">
              <c:ext xmlns:c16="http://schemas.microsoft.com/office/drawing/2014/chart" uri="{C3380CC4-5D6E-409C-BE32-E72D297353CC}">
                <c16:uniqueId val="{0000000E-3960-46AD-8AEB-A9264092E8AD}"/>
              </c:ext>
            </c:extLst>
          </c:dPt>
          <c:dPt>
            <c:idx val="5"/>
            <c:invertIfNegative val="0"/>
            <c:bubble3D val="0"/>
            <c:spPr>
              <a:solidFill>
                <a:srgbClr val="C00000"/>
              </a:solidFill>
              <a:ln>
                <a:noFill/>
              </a:ln>
              <a:effectLst/>
            </c:spPr>
            <c:extLst xmlns:c16r2="http://schemas.microsoft.com/office/drawing/2015/06/chart">
              <c:ext xmlns:c16="http://schemas.microsoft.com/office/drawing/2014/chart" uri="{C3380CC4-5D6E-409C-BE32-E72D297353CC}">
                <c16:uniqueId val="{00000012-3960-46AD-8AEB-A9264092E8AD}"/>
              </c:ext>
            </c:extLst>
          </c:dPt>
          <c:cat>
            <c:strRef>
              <c:f>UNIDADES!$B$30:$B$34</c:f>
              <c:strCache>
                <c:ptCount val="5"/>
                <c:pt idx="0">
                  <c:v>Definitivo</c:v>
                </c:pt>
                <c:pt idx="1">
                  <c:v>Disponibilidades</c:v>
                </c:pt>
                <c:pt idx="2">
                  <c:v>Compromisos</c:v>
                </c:pt>
                <c:pt idx="3">
                  <c:v>Obligaciones</c:v>
                </c:pt>
                <c:pt idx="4">
                  <c:v>Disponible</c:v>
                </c:pt>
              </c:strCache>
            </c:strRef>
          </c:cat>
          <c:val>
            <c:numRef>
              <c:f>UNIDADES!$C$30:$C$34</c:f>
              <c:numCache>
                <c:formatCode>_(* #,##0_);_(* \(#,##0\);_(* "-"??_);_(@_)</c:formatCode>
                <c:ptCount val="5"/>
                <c:pt idx="0">
                  <c:v>255722471860.34003</c:v>
                </c:pt>
                <c:pt idx="1">
                  <c:v>235133136043.79999</c:v>
                </c:pt>
                <c:pt idx="2">
                  <c:v>235133136043.79999</c:v>
                </c:pt>
                <c:pt idx="3">
                  <c:v>234065532723.79999</c:v>
                </c:pt>
                <c:pt idx="4">
                  <c:v>20589335816.539989</c:v>
                </c:pt>
              </c:numCache>
            </c:numRef>
          </c:val>
          <c:extLst xmlns:c16r2="http://schemas.microsoft.com/office/drawing/2015/06/chart">
            <c:ext xmlns:c16="http://schemas.microsoft.com/office/drawing/2014/chart" uri="{C3380CC4-5D6E-409C-BE32-E72D297353CC}">
              <c16:uniqueId val="{00000000-3960-46AD-8AEB-A9264092E8AD}"/>
            </c:ext>
          </c:extLst>
        </c:ser>
        <c:ser>
          <c:idx val="1"/>
          <c:order val="1"/>
          <c:tx>
            <c:strRef>
              <c:f>UNIDADES!$D$29</c:f>
              <c:strCache>
                <c:ptCount val="1"/>
                <c:pt idx="0">
                  <c:v>%</c:v>
                </c:pt>
              </c:strCache>
            </c:strRef>
          </c:tx>
          <c:spPr>
            <a:solidFill>
              <a:schemeClr val="accent2"/>
            </a:solidFill>
            <a:ln>
              <a:noFill/>
            </a:ln>
            <a:effectLst/>
          </c:spPr>
          <c:invertIfNegative val="0"/>
          <c:cat>
            <c:strRef>
              <c:f>UNIDADES!$B$30:$B$34</c:f>
              <c:strCache>
                <c:ptCount val="5"/>
                <c:pt idx="0">
                  <c:v>Definitivo</c:v>
                </c:pt>
                <c:pt idx="1">
                  <c:v>Disponibilidades</c:v>
                </c:pt>
                <c:pt idx="2">
                  <c:v>Compromisos</c:v>
                </c:pt>
                <c:pt idx="3">
                  <c:v>Obligaciones</c:v>
                </c:pt>
                <c:pt idx="4">
                  <c:v>Disponible</c:v>
                </c:pt>
              </c:strCache>
            </c:strRef>
          </c:cat>
          <c:val>
            <c:numRef>
              <c:f>UNIDADES!$D$30:$D$34</c:f>
              <c:numCache>
                <c:formatCode>0.00%</c:formatCode>
                <c:ptCount val="5"/>
                <c:pt idx="0" formatCode="0%">
                  <c:v>1</c:v>
                </c:pt>
                <c:pt idx="1">
                  <c:v>0.9194856217885119</c:v>
                </c:pt>
                <c:pt idx="2">
                  <c:v>0.9194856217885119</c:v>
                </c:pt>
                <c:pt idx="3">
                  <c:v>0.99545957946224506</c:v>
                </c:pt>
                <c:pt idx="4">
                  <c:v>8.0514378211487908E-2</c:v>
                </c:pt>
              </c:numCache>
            </c:numRef>
          </c:val>
          <c:extLst xmlns:c16r2="http://schemas.microsoft.com/office/drawing/2015/06/chart">
            <c:ext xmlns:c16="http://schemas.microsoft.com/office/drawing/2014/chart" uri="{C3380CC4-5D6E-409C-BE32-E72D297353CC}">
              <c16:uniqueId val="{00000001-3960-46AD-8AEB-A9264092E8AD}"/>
            </c:ext>
          </c:extLst>
        </c:ser>
        <c:dLbls>
          <c:showLegendKey val="0"/>
          <c:showVal val="0"/>
          <c:showCatName val="0"/>
          <c:showSerName val="0"/>
          <c:showPercent val="0"/>
          <c:showBubbleSize val="0"/>
        </c:dLbls>
        <c:gapWidth val="219"/>
        <c:overlap val="-27"/>
        <c:axId val="83524160"/>
        <c:axId val="239884472"/>
      </c:barChart>
      <c:catAx>
        <c:axId val="83524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39884472"/>
        <c:crosses val="autoZero"/>
        <c:auto val="1"/>
        <c:lblAlgn val="ctr"/>
        <c:lblOffset val="100"/>
        <c:noMultiLvlLbl val="0"/>
      </c:catAx>
      <c:valAx>
        <c:axId val="239884472"/>
        <c:scaling>
          <c:orientation val="minMax"/>
        </c:scaling>
        <c:delete val="0"/>
        <c:axPos val="l"/>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52416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'LINEAS ESTRATEGICAS'!$B$14</c:f>
              <c:strCache>
                <c:ptCount val="1"/>
                <c:pt idx="0">
                  <c:v>Inclusión Social y Equidad</c:v>
                </c:pt>
              </c:strCache>
            </c:strRef>
          </c:tx>
          <c:spPr>
            <a:solidFill>
              <a:schemeClr val="accent1"/>
            </a:solidFill>
            <a:ln>
              <a:noFill/>
            </a:ln>
            <a:effectLst/>
          </c:spPr>
          <c:invertIfNegative val="0"/>
          <c:cat>
            <c:strRef>
              <c:f>'LINEAS ESTRATEGICAS'!$C$13:$H$13</c:f>
              <c:strCache>
                <c:ptCount val="6"/>
                <c:pt idx="0">
                  <c:v>Presupuesto</c:v>
                </c:pt>
                <c:pt idx="1">
                  <c:v>%</c:v>
                </c:pt>
                <c:pt idx="2">
                  <c:v>Compromisos</c:v>
                </c:pt>
                <c:pt idx="3">
                  <c:v>% </c:v>
                </c:pt>
                <c:pt idx="4">
                  <c:v>Obligaciones</c:v>
                </c:pt>
                <c:pt idx="5">
                  <c:v>%</c:v>
                </c:pt>
              </c:strCache>
            </c:strRef>
          </c:cat>
          <c:val>
            <c:numRef>
              <c:f>'LINEAS ESTRATEGICAS'!$C$14:$H$14</c:f>
              <c:numCache>
                <c:formatCode>0%</c:formatCode>
                <c:ptCount val="6"/>
                <c:pt idx="0" formatCode="_-* #,##0_-;\-* #,##0_-;_-* &quot;-&quot;??_-;_-@_-">
                  <c:v>247237373639.39999</c:v>
                </c:pt>
                <c:pt idx="1">
                  <c:v>1</c:v>
                </c:pt>
                <c:pt idx="2" formatCode="_-* #,##0_-;\-* #,##0_-;_-* &quot;-&quot;??_-;_-@_-">
                  <c:v>228586087776.03329</c:v>
                </c:pt>
                <c:pt idx="3" formatCode="0.00%">
                  <c:v>0.9245612198964307</c:v>
                </c:pt>
                <c:pt idx="4" formatCode="_-* #,##0_-;\-* #,##0_-;_-* &quot;-&quot;??_-;_-@_-">
                  <c:v>227679437537.03329</c:v>
                </c:pt>
                <c:pt idx="5" formatCode="0.00%">
                  <c:v>0.9208940953607917</c:v>
                </c:pt>
              </c:numCache>
            </c:numRef>
          </c:val>
          <c:extLst xmlns:c16r2="http://schemas.microsoft.com/office/drawing/2015/06/chart">
            <c:ext xmlns:c16="http://schemas.microsoft.com/office/drawing/2014/chart" uri="{C3380CC4-5D6E-409C-BE32-E72D297353CC}">
              <c16:uniqueId val="{00000000-FF6B-46F1-8D52-65121D04A349}"/>
            </c:ext>
          </c:extLst>
        </c:ser>
        <c:ser>
          <c:idx val="1"/>
          <c:order val="1"/>
          <c:tx>
            <c:strRef>
              <c:f>'LINEAS ESTRATEGICAS'!$B$15</c:f>
              <c:strCache>
                <c:ptCount val="1"/>
                <c:pt idx="0">
                  <c:v>Productividad y Competitividad</c:v>
                </c:pt>
              </c:strCache>
            </c:strRef>
          </c:tx>
          <c:spPr>
            <a:solidFill>
              <a:schemeClr val="accent2"/>
            </a:solidFill>
            <a:ln>
              <a:noFill/>
            </a:ln>
            <a:effectLst/>
          </c:spPr>
          <c:invertIfNegative val="0"/>
          <c:cat>
            <c:strRef>
              <c:f>'LINEAS ESTRATEGICAS'!$C$13:$H$13</c:f>
              <c:strCache>
                <c:ptCount val="6"/>
                <c:pt idx="0">
                  <c:v>Presupuesto</c:v>
                </c:pt>
                <c:pt idx="1">
                  <c:v>%</c:v>
                </c:pt>
                <c:pt idx="2">
                  <c:v>Compromisos</c:v>
                </c:pt>
                <c:pt idx="3">
                  <c:v>% </c:v>
                </c:pt>
                <c:pt idx="4">
                  <c:v>Obligaciones</c:v>
                </c:pt>
                <c:pt idx="5">
                  <c:v>%</c:v>
                </c:pt>
              </c:strCache>
            </c:strRef>
          </c:cat>
          <c:val>
            <c:numRef>
              <c:f>'LINEAS ESTRATEGICAS'!$C$15:$H$15</c:f>
              <c:numCache>
                <c:formatCode>0%</c:formatCode>
                <c:ptCount val="6"/>
                <c:pt idx="0" formatCode="_-* #,##0_-;\-* #,##0_-;_-* &quot;-&quot;??_-;_-@_-">
                  <c:v>3847235864.8199997</c:v>
                </c:pt>
                <c:pt idx="1">
                  <c:v>1</c:v>
                </c:pt>
                <c:pt idx="2" formatCode="_-* #,##0_-;\-* #,##0_-;_-* &quot;-&quot;??_-;_-@_-">
                  <c:v>2539730970</c:v>
                </c:pt>
                <c:pt idx="3" formatCode="0.00%">
                  <c:v>0.66014433719124888</c:v>
                </c:pt>
                <c:pt idx="4" formatCode="_-* #,##0_-;\-* #,##0_-;_-* &quot;-&quot;??_-;_-@_-">
                  <c:v>2539730970</c:v>
                </c:pt>
                <c:pt idx="5" formatCode="0.00%">
                  <c:v>0.66014433719124888</c:v>
                </c:pt>
              </c:numCache>
            </c:numRef>
          </c:val>
          <c:extLst xmlns:c16r2="http://schemas.microsoft.com/office/drawing/2015/06/chart">
            <c:ext xmlns:c16="http://schemas.microsoft.com/office/drawing/2014/chart" uri="{C3380CC4-5D6E-409C-BE32-E72D297353CC}">
              <c16:uniqueId val="{00000001-FF6B-46F1-8D52-65121D04A349}"/>
            </c:ext>
          </c:extLst>
        </c:ser>
        <c:ser>
          <c:idx val="2"/>
          <c:order val="2"/>
          <c:tx>
            <c:strRef>
              <c:f>'LINEAS ESTRATEGICAS'!$B$16</c:f>
              <c:strCache>
                <c:ptCount val="1"/>
                <c:pt idx="0">
                  <c:v>Territorio, Ambiente y Desarrollo Sostenible </c:v>
                </c:pt>
              </c:strCache>
            </c:strRef>
          </c:tx>
          <c:spPr>
            <a:solidFill>
              <a:schemeClr val="accent3"/>
            </a:solidFill>
            <a:ln>
              <a:noFill/>
            </a:ln>
            <a:effectLst/>
          </c:spPr>
          <c:invertIfNegative val="0"/>
          <c:cat>
            <c:strRef>
              <c:f>'LINEAS ESTRATEGICAS'!$C$13:$H$13</c:f>
              <c:strCache>
                <c:ptCount val="6"/>
                <c:pt idx="0">
                  <c:v>Presupuesto</c:v>
                </c:pt>
                <c:pt idx="1">
                  <c:v>%</c:v>
                </c:pt>
                <c:pt idx="2">
                  <c:v>Compromisos</c:v>
                </c:pt>
                <c:pt idx="3">
                  <c:v>% </c:v>
                </c:pt>
                <c:pt idx="4">
                  <c:v>Obligaciones</c:v>
                </c:pt>
                <c:pt idx="5">
                  <c:v>%</c:v>
                </c:pt>
              </c:strCache>
            </c:strRef>
          </c:cat>
          <c:val>
            <c:numRef>
              <c:f>'LINEAS ESTRATEGICAS'!$C$16:$H$16</c:f>
              <c:numCache>
                <c:formatCode>0%</c:formatCode>
                <c:ptCount val="6"/>
                <c:pt idx="0" formatCode="_-* #,##0_-;\-* #,##0_-;_-* &quot;-&quot;??_-;_-@_-">
                  <c:v>5864049290.6599998</c:v>
                </c:pt>
                <c:pt idx="1">
                  <c:v>1</c:v>
                </c:pt>
                <c:pt idx="2" formatCode="_-* #,##0_-;\-* #,##0_-;_-* &quot;-&quot;??_-;_-@_-">
                  <c:v>4459377780.8500004</c:v>
                </c:pt>
                <c:pt idx="3" formatCode="0.00%">
                  <c:v>0.76046048725284443</c:v>
                </c:pt>
                <c:pt idx="4" formatCode="_-* #,##0_-;\-* #,##0_-;_-* &quot;-&quot;??_-;_-@_-">
                  <c:v>4378469713.8500004</c:v>
                </c:pt>
                <c:pt idx="5" formatCode="0.00%">
                  <c:v>0.74666318388964337</c:v>
                </c:pt>
              </c:numCache>
            </c:numRef>
          </c:val>
          <c:extLst xmlns:c16r2="http://schemas.microsoft.com/office/drawing/2015/06/chart">
            <c:ext xmlns:c16="http://schemas.microsoft.com/office/drawing/2014/chart" uri="{C3380CC4-5D6E-409C-BE32-E72D297353CC}">
              <c16:uniqueId val="{00000002-FF6B-46F1-8D52-65121D04A349}"/>
            </c:ext>
          </c:extLst>
        </c:ser>
        <c:ser>
          <c:idx val="3"/>
          <c:order val="3"/>
          <c:tx>
            <c:strRef>
              <c:f>'LINEAS ESTRATEGICAS'!$B$17</c:f>
              <c:strCache>
                <c:ptCount val="1"/>
                <c:pt idx="0">
                  <c:v>Liderazgo, Gobernabilidad y Transparencia</c:v>
                </c:pt>
              </c:strCache>
            </c:strRef>
          </c:tx>
          <c:spPr>
            <a:solidFill>
              <a:schemeClr val="accent4"/>
            </a:solidFill>
            <a:ln>
              <a:noFill/>
            </a:ln>
            <a:effectLst/>
          </c:spPr>
          <c:invertIfNegative val="0"/>
          <c:cat>
            <c:strRef>
              <c:f>'LINEAS ESTRATEGICAS'!$C$13:$H$13</c:f>
              <c:strCache>
                <c:ptCount val="6"/>
                <c:pt idx="0">
                  <c:v>Presupuesto</c:v>
                </c:pt>
                <c:pt idx="1">
                  <c:v>%</c:v>
                </c:pt>
                <c:pt idx="2">
                  <c:v>Compromisos</c:v>
                </c:pt>
                <c:pt idx="3">
                  <c:v>% </c:v>
                </c:pt>
                <c:pt idx="4">
                  <c:v>Obligaciones</c:v>
                </c:pt>
                <c:pt idx="5">
                  <c:v>%</c:v>
                </c:pt>
              </c:strCache>
            </c:strRef>
          </c:cat>
          <c:val>
            <c:numRef>
              <c:f>'LINEAS ESTRATEGICAS'!$C$17:$H$17</c:f>
              <c:numCache>
                <c:formatCode>0%</c:formatCode>
                <c:ptCount val="6"/>
                <c:pt idx="0" formatCode="_-* #,##0_-;\-* #,##0_-;_-* &quot;-&quot;??_-;_-@_-">
                  <c:v>4931381465.7399998</c:v>
                </c:pt>
                <c:pt idx="1">
                  <c:v>1</c:v>
                </c:pt>
                <c:pt idx="2" formatCode="_-* #,##0_-;\-* #,##0_-;_-* &quot;-&quot;??_-;_-@_-">
                  <c:v>3805024144.3299999</c:v>
                </c:pt>
                <c:pt idx="3" formatCode="0.00%">
                  <c:v>0.77159395815651433</c:v>
                </c:pt>
                <c:pt idx="4" formatCode="_-* #,##0_-;\-* #,##0_-;_-* &quot;-&quot;??_-;_-@_-">
                  <c:v>3724979130.3299999</c:v>
                </c:pt>
                <c:pt idx="5" formatCode="0.00%">
                  <c:v>0.75536219540279104</c:v>
                </c:pt>
              </c:numCache>
            </c:numRef>
          </c:val>
          <c:extLst xmlns:c16r2="http://schemas.microsoft.com/office/drawing/2015/06/chart">
            <c:ext xmlns:c16="http://schemas.microsoft.com/office/drawing/2014/chart" uri="{C3380CC4-5D6E-409C-BE32-E72D297353CC}">
              <c16:uniqueId val="{00000003-FF6B-46F1-8D52-65121D04A349}"/>
            </c:ext>
          </c:extLst>
        </c:ser>
        <c:ser>
          <c:idx val="4"/>
          <c:order val="4"/>
          <c:tx>
            <c:strRef>
              <c:f>'LINEAS ESTRATEGICAS'!$B$18</c:f>
              <c:strCache>
                <c:ptCount val="1"/>
                <c:pt idx="0">
                  <c:v>Total</c:v>
                </c:pt>
              </c:strCache>
            </c:strRef>
          </c:tx>
          <c:spPr>
            <a:solidFill>
              <a:schemeClr val="accent5"/>
            </a:solidFill>
            <a:ln>
              <a:noFill/>
            </a:ln>
            <a:effectLst/>
          </c:spPr>
          <c:invertIfNegative val="0"/>
          <c:cat>
            <c:strRef>
              <c:f>'LINEAS ESTRATEGICAS'!$C$13:$H$13</c:f>
              <c:strCache>
                <c:ptCount val="6"/>
                <c:pt idx="0">
                  <c:v>Presupuesto</c:v>
                </c:pt>
                <c:pt idx="1">
                  <c:v>%</c:v>
                </c:pt>
                <c:pt idx="2">
                  <c:v>Compromisos</c:v>
                </c:pt>
                <c:pt idx="3">
                  <c:v>% </c:v>
                </c:pt>
                <c:pt idx="4">
                  <c:v>Obligaciones</c:v>
                </c:pt>
                <c:pt idx="5">
                  <c:v>%</c:v>
                </c:pt>
              </c:strCache>
            </c:strRef>
          </c:cat>
          <c:val>
            <c:numRef>
              <c:f>'LINEAS ESTRATEGICAS'!$C$18:$H$18</c:f>
              <c:numCache>
                <c:formatCode>0%</c:formatCode>
                <c:ptCount val="6"/>
                <c:pt idx="0" formatCode="_-* #,##0_-;\-* #,##0_-;_-* &quot;-&quot;??_-;_-@_-">
                  <c:v>261880040260.62</c:v>
                </c:pt>
                <c:pt idx="1">
                  <c:v>1</c:v>
                </c:pt>
                <c:pt idx="2" formatCode="_-* #,##0_-;\-* #,##0_-;_-* &quot;-&quot;??_-;_-@_-">
                  <c:v>239390220671.21329</c:v>
                </c:pt>
                <c:pt idx="3" formatCode="0.00%">
                  <c:v>0.91412167354554741</c:v>
                </c:pt>
                <c:pt idx="4" formatCode="_-* #,##0_-;\-* #,##0_-;_-* &quot;-&quot;??_-;_-@_-">
                  <c:v>238322617351.21329</c:v>
                </c:pt>
                <c:pt idx="5" formatCode="0.00%">
                  <c:v>0.99554032191872077</c:v>
                </c:pt>
              </c:numCache>
            </c:numRef>
          </c:val>
          <c:extLst xmlns:c16r2="http://schemas.microsoft.com/office/drawing/2015/06/chart">
            <c:ext xmlns:c16="http://schemas.microsoft.com/office/drawing/2014/chart" uri="{C3380CC4-5D6E-409C-BE32-E72D297353CC}">
              <c16:uniqueId val="{00000004-FF6B-46F1-8D52-65121D04A349}"/>
            </c:ext>
          </c:extLst>
        </c:ser>
        <c:dLbls>
          <c:showLegendKey val="0"/>
          <c:showVal val="0"/>
          <c:showCatName val="0"/>
          <c:showSerName val="0"/>
          <c:showPercent val="0"/>
          <c:showBubbleSize val="0"/>
        </c:dLbls>
        <c:gapWidth val="219"/>
        <c:overlap val="-27"/>
        <c:axId val="240167016"/>
        <c:axId val="304947648"/>
      </c:barChart>
      <c:catAx>
        <c:axId val="240167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04947648"/>
        <c:crosses val="autoZero"/>
        <c:auto val="1"/>
        <c:lblAlgn val="ctr"/>
        <c:lblOffset val="100"/>
        <c:noMultiLvlLbl val="0"/>
      </c:catAx>
      <c:valAx>
        <c:axId val="304947648"/>
        <c:scaling>
          <c:orientation val="minMax"/>
        </c:scaling>
        <c:delete val="0"/>
        <c:axPos val="l"/>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4016701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ysClr val="windowText" lastClr="000000"/>
                </a:solidFill>
                <a:latin typeface="+mn-lt"/>
                <a:ea typeface="+mn-ea"/>
                <a:cs typeface="+mn-cs"/>
              </a:defRPr>
            </a:pPr>
            <a:endParaRPr lang="es-CO"/>
          </a:p>
        </c:txPr>
      </c:dTable>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240392</xdr:colOff>
      <xdr:row>0</xdr:row>
      <xdr:rowOff>0</xdr:rowOff>
    </xdr:from>
    <xdr:to>
      <xdr:col>3</xdr:col>
      <xdr:colOff>6803</xdr:colOff>
      <xdr:row>4</xdr:row>
      <xdr:rowOff>907</xdr:rowOff>
    </xdr:to>
    <xdr:pic>
      <xdr:nvPicPr>
        <xdr:cNvPr id="2" name="Imagen 1">
          <a:extLst>
            <a:ext uri="{FF2B5EF4-FFF2-40B4-BE49-F238E27FC236}">
              <a16:creationId xmlns:a16="http://schemas.microsoft.com/office/drawing/2014/main" xmlns="" id="{D3A3E867-7E82-46EF-A99C-64353A5E85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7996" t="12991" r="67844" b="74319"/>
        <a:stretch>
          <a:fillRect/>
        </a:stretch>
      </xdr:blipFill>
      <xdr:spPr bwMode="auto">
        <a:xfrm>
          <a:off x="240392" y="0"/>
          <a:ext cx="3413125" cy="1089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15</xdr:col>
      <xdr:colOff>328083</xdr:colOff>
      <xdr:row>24</xdr:row>
      <xdr:rowOff>126999</xdr:rowOff>
    </xdr:from>
    <xdr:to>
      <xdr:col>25</xdr:col>
      <xdr:colOff>191860</xdr:colOff>
      <xdr:row>42</xdr:row>
      <xdr:rowOff>55787</xdr:rowOff>
    </xdr:to>
    <xdr:graphicFrame macro="">
      <xdr:nvGraphicFramePr>
        <xdr:cNvPr id="2" name="Gráfico 1">
          <a:extLst>
            <a:ext uri="{FF2B5EF4-FFF2-40B4-BE49-F238E27FC236}">
              <a16:creationId xmlns:a16="http://schemas.microsoft.com/office/drawing/2014/main" xmlns=""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47</xdr:row>
      <xdr:rowOff>50346</xdr:rowOff>
    </xdr:from>
    <xdr:to>
      <xdr:col>20</xdr:col>
      <xdr:colOff>598714</xdr:colOff>
      <xdr:row>75</xdr:row>
      <xdr:rowOff>122464</xdr:rowOff>
    </xdr:to>
    <xdr:graphicFrame macro="">
      <xdr:nvGraphicFramePr>
        <xdr:cNvPr id="3" name="Gráfico 2">
          <a:extLst>
            <a:ext uri="{FF2B5EF4-FFF2-40B4-BE49-F238E27FC236}">
              <a16:creationId xmlns:a16="http://schemas.microsoft.com/office/drawing/2014/main" xmlns=""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1012031</xdr:colOff>
      <xdr:row>26</xdr:row>
      <xdr:rowOff>137091</xdr:rowOff>
    </xdr:from>
    <xdr:to>
      <xdr:col>9</xdr:col>
      <xdr:colOff>437128</xdr:colOff>
      <xdr:row>45</xdr:row>
      <xdr:rowOff>95251</xdr:rowOff>
    </xdr:to>
    <xdr:graphicFrame macro="">
      <xdr:nvGraphicFramePr>
        <xdr:cNvPr id="4" name="Gráfico 3">
          <a:extLst>
            <a:ext uri="{FF2B5EF4-FFF2-40B4-BE49-F238E27FC236}">
              <a16:creationId xmlns:a16="http://schemas.microsoft.com/office/drawing/2014/main" xmlns=""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95250</xdr:colOff>
      <xdr:row>9</xdr:row>
      <xdr:rowOff>152400</xdr:rowOff>
    </xdr:from>
    <xdr:to>
      <xdr:col>19</xdr:col>
      <xdr:colOff>266699</xdr:colOff>
      <xdr:row>31</xdr:row>
      <xdr:rowOff>19050</xdr:rowOff>
    </xdr:to>
    <xdr:graphicFrame macro="">
      <xdr:nvGraphicFramePr>
        <xdr:cNvPr id="2" name="Gráfico 1">
          <a:extLst>
            <a:ext uri="{FF2B5EF4-FFF2-40B4-BE49-F238E27FC236}">
              <a16:creationId xmlns:a16="http://schemas.microsoft.com/office/drawing/2014/main" xmlns=""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UXPLANEACION03/Downloads/SGTO%20PLANEACION%20DIC%2020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USERPC/Desktop/SGTO%20PDD%20IV%20TRIMESTRE%202020/UNIDADES%20EJECUTORAS%20IV%20TRIM%202020/SGTO%20INDEPORTES%20%20IV%20TRIM%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PC/Desktop/SGTO%20PDD%20IV%20TRIMESTRE%202020/UNIDADES%20EJECUTORAS%20IV%20TRIM%202020/METAS%20HACIENDA%20IV%20TRIM%20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UXPLANEACION03/Downloads/6.%20CULTURA%20X%20SGMO%2030%20Dic%20v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INSTRUMENTOS%20DICIEMBRE%202020\UNIDADES%20DIC%202020\SGTO%20TURISMO%20DIC%2020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INSTRUMENTOS%20DICIEMBRE%202020\UNIDADES%20DIC%202020\SGTO%20AGRICULTURA%20DIC%2020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USERPC/Desktop/SGTO%20PDD%20IV%20TRIMESTRE%202020/UNIDADES%20EJECUTORAS%20IV%20TRIM%202020/SGTO%20EDUCACION%20IV%20TRIM%20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uxplaneacion32/Downloads/SGTO%20FAMILIA%20DIC20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USERPC/Desktop/SGTO%20PDD%20IV%20TRIMESTRE%202020/SALUD%20F-PLA-47%20METAS%20%20IV%20TRIMSTRE%202020%20(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USERPC/Desktop/SGTO%20PDD%20IV%20TRIMESTRE%202020/UNIDADES%20EJECUTORAS%20IV%20TRIM%202020/METAS%20SALUD%20DIC%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I ajustado nov 30"/>
      <sheetName val="F-PLA 47 Metas Producto Planeac"/>
      <sheetName val="F-PLA-06 Plan Acciòn Planeación"/>
      <sheetName val="F-PLA-07 Sgto Plan Acciòn Plane"/>
      <sheetName val="F-PLA-39 Inversion Territorial"/>
      <sheetName val="F-PLA-40 Gestión Recursos"/>
    </sheetNames>
    <sheetDataSet>
      <sheetData sheetId="0"/>
      <sheetData sheetId="1">
        <row r="23">
          <cell r="R23">
            <v>81906667</v>
          </cell>
        </row>
        <row r="24">
          <cell r="R24">
            <v>61786666</v>
          </cell>
        </row>
      </sheetData>
      <sheetData sheetId="2"/>
      <sheetData sheetId="3"/>
      <sheetData sheetId="4"/>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PLA-47 MP INDEPORTES DIC "/>
      <sheetName val=" F-PLA 06 Plan Accion"/>
      <sheetName val="Seguimiento P.A F-PLA 07."/>
      <sheetName val="Inversión Mpios -PLA 39"/>
      <sheetName val="Gestión Recursos F-PLA 40"/>
      <sheetName val="POAI 30 NOV."/>
    </sheetNames>
    <sheetDataSet>
      <sheetData sheetId="0">
        <row r="22">
          <cell r="R22">
            <v>7000000</v>
          </cell>
        </row>
        <row r="24">
          <cell r="R24">
            <v>4000000</v>
          </cell>
        </row>
      </sheetData>
      <sheetData sheetId="1"/>
      <sheetData sheetId="2"/>
      <sheetData sheetId="3"/>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s Producto F-PLA-47"/>
    </sheetNames>
    <sheetDataSet>
      <sheetData sheetId="0">
        <row r="16">
          <cell r="R16">
            <v>127550000</v>
          </cell>
          <cell r="S16">
            <v>127550000</v>
          </cell>
        </row>
        <row r="18">
          <cell r="R18">
            <v>328131401</v>
          </cell>
          <cell r="S18">
            <v>328131401</v>
          </cell>
        </row>
        <row r="19">
          <cell r="R19">
            <v>640185868</v>
          </cell>
          <cell r="S19">
            <v>597288854</v>
          </cell>
        </row>
        <row r="20">
          <cell r="S20">
            <v>99346663</v>
          </cell>
        </row>
        <row r="21">
          <cell r="S21">
            <v>96172300</v>
          </cell>
        </row>
        <row r="22">
          <cell r="S22">
            <v>143466664</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ON 30 NOV "/>
      <sheetName val="Metas Producto F-PLA-47"/>
      <sheetName val="Plan de Acción F-PLA-06"/>
      <sheetName val="Seguimiento P.A F-PLA 07"/>
      <sheetName val="POAI SEP 30"/>
      <sheetName val="Inversión Mpios -PLA 39"/>
      <sheetName val="Gestión Recursos F-PLA 40"/>
      <sheetName val="EJECUCIÓN PRESUPUESTAL"/>
    </sheetNames>
    <sheetDataSet>
      <sheetData sheetId="0"/>
      <sheetData sheetId="1">
        <row r="16">
          <cell r="U16">
            <v>6000000</v>
          </cell>
          <cell r="V16">
            <v>6000000</v>
          </cell>
        </row>
        <row r="17">
          <cell r="U17">
            <v>78400000</v>
          </cell>
          <cell r="V17">
            <v>78400000</v>
          </cell>
        </row>
      </sheetData>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PLA-47 Metas Producto Turismo"/>
      <sheetName val="F-PLA-06 PA Turismo"/>
      <sheetName val="F-PLA 07 Sgto PA Turismo"/>
      <sheetName val="F-PLA-40 Gestión Recursos "/>
      <sheetName val=" F-PLA-39  Inver Territorial"/>
    </sheetNames>
    <sheetDataSet>
      <sheetData sheetId="0">
        <row r="27">
          <cell r="R27">
            <v>32316650</v>
          </cell>
        </row>
        <row r="28">
          <cell r="R28">
            <v>19311236</v>
          </cell>
        </row>
        <row r="30">
          <cell r="R30">
            <v>232026666</v>
          </cell>
        </row>
      </sheetData>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s Producto F-PLA-47"/>
      <sheetName val="Inversión Mpios -PLA 39"/>
      <sheetName val="Sgto Plan de Acción F-PLA-07"/>
      <sheetName val="F-PLA-06 PA AGRICULTURA DIC"/>
      <sheetName val="Gestión Recursos F-PLA 40"/>
    </sheetNames>
    <sheetDataSet>
      <sheetData sheetId="0">
        <row r="20">
          <cell r="R20">
            <v>7166666</v>
          </cell>
        </row>
        <row r="21">
          <cell r="R21">
            <v>51466666</v>
          </cell>
        </row>
      </sheetData>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PLA-47 MP EDUCACION DIC"/>
      <sheetName val="F-PLA-06 PA Educación"/>
      <sheetName val="Seguimiento P.A F PLA- 07"/>
      <sheetName val="F-PLA-39 Inversion Territorial"/>
      <sheetName val="F-PLA-40 Gestión Recursos"/>
    </sheetNames>
    <sheetDataSet>
      <sheetData sheetId="0">
        <row r="23">
          <cell r="R23">
            <v>1490272399.55</v>
          </cell>
          <cell r="S23">
            <v>1490272399.55</v>
          </cell>
        </row>
        <row r="24">
          <cell r="R24">
            <v>9572546.0099999998</v>
          </cell>
          <cell r="S24">
            <v>9572546.0099999998</v>
          </cell>
        </row>
        <row r="26">
          <cell r="R26">
            <v>66897204.869999997</v>
          </cell>
          <cell r="S26">
            <v>66897204.869999997</v>
          </cell>
        </row>
        <row r="28">
          <cell r="R28">
            <v>7200000</v>
          </cell>
          <cell r="S28">
            <v>7200000</v>
          </cell>
        </row>
        <row r="29">
          <cell r="R29">
            <v>10033103712</v>
          </cell>
          <cell r="S29">
            <v>10033103712</v>
          </cell>
        </row>
        <row r="30">
          <cell r="R30">
            <v>100000000</v>
          </cell>
          <cell r="S30">
            <v>100000000</v>
          </cell>
        </row>
        <row r="32">
          <cell r="R32">
            <v>1577223665.5699999</v>
          </cell>
          <cell r="S32">
            <v>1573341778.97</v>
          </cell>
        </row>
        <row r="35">
          <cell r="R35">
            <v>28823294</v>
          </cell>
          <cell r="S35">
            <v>28823294</v>
          </cell>
        </row>
        <row r="36">
          <cell r="R36">
            <v>1142450300</v>
          </cell>
          <cell r="S36">
            <v>1142450300</v>
          </cell>
        </row>
        <row r="51">
          <cell r="R51">
            <v>50013332</v>
          </cell>
          <cell r="S51">
            <v>50013332</v>
          </cell>
        </row>
        <row r="52">
          <cell r="R52">
            <v>20600000</v>
          </cell>
          <cell r="S52">
            <v>20600000</v>
          </cell>
        </row>
      </sheetData>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I ajustado nov 30"/>
      <sheetName val="F-PLA-47 Metas Producto FamilI "/>
      <sheetName val="F-PLA 06 PA Familia "/>
      <sheetName val="F-PLA 07 Sgto PA Familia Dic"/>
      <sheetName val="F-PLA-39 Inversion Territorial"/>
      <sheetName val="F-PLA-40 Gestión Recursos"/>
      <sheetName val="Ejecucion parcial nov"/>
    </sheetNames>
    <sheetDataSet>
      <sheetData sheetId="0"/>
      <sheetData sheetId="1">
        <row r="27">
          <cell r="R27">
            <v>45480000</v>
          </cell>
        </row>
        <row r="43">
          <cell r="R43">
            <v>8333333</v>
          </cell>
        </row>
        <row r="44">
          <cell r="R44">
            <v>5639971</v>
          </cell>
        </row>
      </sheetData>
      <sheetData sheetId="2"/>
      <sheetData sheetId="3"/>
      <sheetData sheetId="4"/>
      <sheetData sheetId="5"/>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PLA-47 MP ADMINISTRATIVA DIC"/>
      <sheetName val="F-PLA-47 MP PLANEACION DIC"/>
      <sheetName val="F-PLA-47 MP HACIENDA DIC"/>
      <sheetName val=" F-PLA-47 MP INFRAEST DIC"/>
      <sheetName val="F-PLA-47 MP INTERIOR DIC"/>
      <sheetName val="F-PLA-47 MP CULTURA DIC"/>
      <sheetName val="F-PLA-47 MP TURISMO DIC"/>
      <sheetName val="F-PLA-47 MP AGRIC DIC"/>
      <sheetName val="F-PLA-47 PA PRIVADA DIC"/>
      <sheetName val="F-PLA-47 MP EDUCACION DIC"/>
      <sheetName val="F-PLA-47 MP FAMILIA DIC "/>
      <sheetName val="F-PLA-47 MP SALUD DIC"/>
      <sheetName val="ejec salud"/>
      <sheetName val="F-PLA-47 MP TIC DIC"/>
      <sheetName val="F-PLA-47 MP INDEPORTES DIC "/>
      <sheetName val="F-PLA 47 MP PROMOTORA DIC"/>
      <sheetName val=" F-PLA-47 MP IDTQ DIC"/>
      <sheetName val="Metas Producto Dic 2020"/>
    </sheetNames>
    <sheetDataSet>
      <sheetData sheetId="0"/>
      <sheetData sheetId="1"/>
      <sheetData sheetId="2"/>
      <sheetData sheetId="3"/>
      <sheetData sheetId="4"/>
      <sheetData sheetId="5"/>
      <sheetData sheetId="6"/>
      <sheetData sheetId="7"/>
      <sheetData sheetId="8"/>
      <sheetData sheetId="9"/>
      <sheetData sheetId="10"/>
      <sheetData sheetId="11">
        <row r="17">
          <cell r="R17">
            <v>20539999</v>
          </cell>
          <cell r="S17">
            <v>20539999</v>
          </cell>
        </row>
        <row r="18">
          <cell r="R18">
            <v>11866667</v>
          </cell>
          <cell r="S18">
            <v>11866667</v>
          </cell>
        </row>
        <row r="30">
          <cell r="R30">
            <v>41666665</v>
          </cell>
          <cell r="S30">
            <v>41666665</v>
          </cell>
        </row>
        <row r="31">
          <cell r="R31">
            <v>14933333</v>
          </cell>
          <cell r="S31">
            <v>14933333</v>
          </cell>
        </row>
        <row r="35">
          <cell r="R35">
            <v>66251746</v>
          </cell>
          <cell r="S35">
            <v>66251746</v>
          </cell>
        </row>
        <row r="36">
          <cell r="R36">
            <v>428671494</v>
          </cell>
          <cell r="S36">
            <v>428671494</v>
          </cell>
        </row>
        <row r="99">
          <cell r="R99">
            <v>1317782484.3299999</v>
          </cell>
          <cell r="S99">
            <v>928011515.33000004</v>
          </cell>
        </row>
        <row r="100">
          <cell r="R100">
            <v>728498115</v>
          </cell>
          <cell r="S100">
            <v>728498115</v>
          </cell>
        </row>
        <row r="107">
          <cell r="R107">
            <v>572239833</v>
          </cell>
          <cell r="S107">
            <v>520860333</v>
          </cell>
        </row>
        <row r="108">
          <cell r="R108">
            <v>28433332</v>
          </cell>
          <cell r="S108">
            <v>28433332</v>
          </cell>
        </row>
        <row r="109">
          <cell r="R109">
            <v>436818666</v>
          </cell>
          <cell r="S109">
            <v>399591500</v>
          </cell>
        </row>
      </sheetData>
      <sheetData sheetId="12"/>
      <sheetData sheetId="13"/>
      <sheetData sheetId="14"/>
      <sheetData sheetId="15"/>
      <sheetData sheetId="16"/>
      <sheetData sheetId="1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 salud"/>
      <sheetName val="F-PLA-47 MP SALUD DIC"/>
    </sheetNames>
    <sheetDataSet>
      <sheetData sheetId="0"/>
      <sheetData sheetId="1">
        <row r="105">
          <cell r="S105">
            <v>119164736</v>
          </cell>
        </row>
        <row r="106">
          <cell r="S106">
            <v>111618484</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BL396"/>
  <sheetViews>
    <sheetView showGridLines="0" tabSelected="1" zoomScale="60" zoomScaleNormal="60" workbookViewId="0">
      <selection sqref="A1:BG4"/>
    </sheetView>
  </sheetViews>
  <sheetFormatPr baseColWidth="10" defaultColWidth="11.42578125" defaultRowHeight="15" x14ac:dyDescent="0.2"/>
  <cols>
    <col min="1" max="1" width="15.5703125" style="130" customWidth="1"/>
    <col min="2" max="2" width="19" style="158" customWidth="1"/>
    <col min="3" max="3" width="20.140625" style="158" customWidth="1"/>
    <col min="4" max="4" width="19.5703125" style="159" customWidth="1"/>
    <col min="5" max="5" width="18.7109375" style="160" customWidth="1"/>
    <col min="6" max="6" width="67.28515625" style="161" customWidth="1"/>
    <col min="7" max="7" width="25.7109375" style="162" customWidth="1"/>
    <col min="8" max="8" width="16.7109375" style="160" customWidth="1"/>
    <col min="9" max="9" width="50" style="161" customWidth="1"/>
    <col min="10" max="10" width="23.7109375" style="162" customWidth="1"/>
    <col min="11" max="11" width="23.85546875" style="162" customWidth="1"/>
    <col min="12" max="12" width="33" style="161" customWidth="1"/>
    <col min="13" max="13" width="11.42578125" style="160" customWidth="1"/>
    <col min="14" max="14" width="16.7109375" style="160" customWidth="1"/>
    <col min="15" max="15" width="13.5703125" style="162" customWidth="1"/>
    <col min="16" max="16" width="13.85546875" style="162" customWidth="1"/>
    <col min="17" max="17" width="26.140625" style="160" customWidth="1"/>
    <col min="18" max="18" width="21.5703125" style="163" customWidth="1"/>
    <col min="19" max="19" width="64.7109375" style="161" customWidth="1"/>
    <col min="20" max="22" width="28.140625" style="130" customWidth="1"/>
    <col min="23" max="23" width="30.85546875" style="130" customWidth="1"/>
    <col min="24" max="24" width="26" style="130" customWidth="1"/>
    <col min="25" max="25" width="27.85546875" style="130" customWidth="1"/>
    <col min="26" max="26" width="27.42578125" style="130" customWidth="1"/>
    <col min="27" max="28" width="24.28515625" style="130" customWidth="1"/>
    <col min="29" max="29" width="28.5703125" style="130" customWidth="1"/>
    <col min="30" max="30" width="27.7109375" style="130" customWidth="1"/>
    <col min="31" max="31" width="29.28515625" style="130" customWidth="1"/>
    <col min="32" max="32" width="28.7109375" style="130" customWidth="1"/>
    <col min="33" max="33" width="28.42578125" style="130" customWidth="1"/>
    <col min="34" max="34" width="27.7109375" style="130" customWidth="1"/>
    <col min="35" max="35" width="32.7109375" style="130" customWidth="1"/>
    <col min="36" max="36" width="28.42578125" style="130" customWidth="1"/>
    <col min="37" max="37" width="29.85546875" style="130" customWidth="1"/>
    <col min="38" max="38" width="31.5703125" style="132" customWidth="1"/>
    <col min="39" max="39" width="30.7109375" style="132" customWidth="1"/>
    <col min="40" max="40" width="30" style="132" customWidth="1"/>
    <col min="41" max="41" width="35" style="132" customWidth="1"/>
    <col min="42" max="42" width="31.85546875" style="132" customWidth="1"/>
    <col min="43" max="43" width="40.28515625" style="132" customWidth="1"/>
    <col min="44" max="44" width="32.85546875" style="130" customWidth="1"/>
    <col min="45" max="45" width="30.5703125" style="130" customWidth="1"/>
    <col min="46" max="46" width="33" style="130" customWidth="1"/>
    <col min="47" max="47" width="29.5703125" style="130" customWidth="1"/>
    <col min="48" max="48" width="30.28515625" style="130" customWidth="1"/>
    <col min="49" max="49" width="31" style="130" customWidth="1"/>
    <col min="50" max="50" width="30.85546875" style="35" customWidth="1"/>
    <col min="51" max="51" width="30.42578125" style="35" customWidth="1"/>
    <col min="52" max="52" width="32" style="35" customWidth="1"/>
    <col min="53" max="53" width="33.42578125" style="130" customWidth="1"/>
    <col min="54" max="54" width="30.7109375" style="130" customWidth="1"/>
    <col min="55" max="55" width="31.42578125" style="130" customWidth="1"/>
    <col min="56" max="56" width="29.140625" style="130" customWidth="1"/>
    <col min="57" max="57" width="29.7109375" style="130" customWidth="1"/>
    <col min="58" max="58" width="30.5703125" style="130" customWidth="1"/>
    <col min="59" max="61" width="35.140625" style="132" customWidth="1"/>
    <col min="62" max="62" width="34.85546875" style="178" customWidth="1"/>
    <col min="63" max="63" width="28.5703125" style="178" customWidth="1"/>
    <col min="64" max="64" width="30.42578125" style="178" customWidth="1"/>
    <col min="65" max="16384" width="11.42578125" style="130"/>
  </cols>
  <sheetData>
    <row r="1" spans="1:64" ht="24.75" customHeight="1" x14ac:dyDescent="0.25">
      <c r="A1" s="650" t="s">
        <v>1535</v>
      </c>
      <c r="B1" s="650"/>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1"/>
      <c r="BH1" s="131" t="s">
        <v>48</v>
      </c>
      <c r="BI1" s="282" t="s">
        <v>1461</v>
      </c>
    </row>
    <row r="2" spans="1:64" ht="24.75" customHeight="1" x14ac:dyDescent="0.25">
      <c r="A2" s="650"/>
      <c r="B2" s="650"/>
      <c r="C2" s="650"/>
      <c r="D2" s="650"/>
      <c r="E2" s="650"/>
      <c r="F2" s="650"/>
      <c r="G2" s="650"/>
      <c r="H2" s="650"/>
      <c r="I2" s="650"/>
      <c r="J2" s="650"/>
      <c r="K2" s="650"/>
      <c r="L2" s="650"/>
      <c r="M2" s="650"/>
      <c r="N2" s="650"/>
      <c r="O2" s="650"/>
      <c r="P2" s="650"/>
      <c r="Q2" s="650"/>
      <c r="R2" s="650"/>
      <c r="S2" s="650"/>
      <c r="T2" s="650"/>
      <c r="U2" s="650"/>
      <c r="V2" s="650"/>
      <c r="W2" s="650"/>
      <c r="X2" s="650"/>
      <c r="Y2" s="650"/>
      <c r="Z2" s="650"/>
      <c r="AA2" s="650"/>
      <c r="AB2" s="650"/>
      <c r="AC2" s="650"/>
      <c r="AD2" s="650"/>
      <c r="AE2" s="650"/>
      <c r="AF2" s="650"/>
      <c r="AG2" s="650"/>
      <c r="AH2" s="650"/>
      <c r="AI2" s="650"/>
      <c r="AJ2" s="650"/>
      <c r="AK2" s="650"/>
      <c r="AL2" s="650"/>
      <c r="AM2" s="650"/>
      <c r="AN2" s="650"/>
      <c r="AO2" s="650"/>
      <c r="AP2" s="650"/>
      <c r="AQ2" s="650"/>
      <c r="AR2" s="650"/>
      <c r="AS2" s="650"/>
      <c r="AT2" s="650"/>
      <c r="AU2" s="650"/>
      <c r="AV2" s="650"/>
      <c r="AW2" s="650"/>
      <c r="AX2" s="650"/>
      <c r="AY2" s="650"/>
      <c r="AZ2" s="650"/>
      <c r="BA2" s="650"/>
      <c r="BB2" s="650"/>
      <c r="BC2" s="650"/>
      <c r="BD2" s="650"/>
      <c r="BE2" s="650"/>
      <c r="BF2" s="650"/>
      <c r="BG2" s="651"/>
      <c r="BH2" s="133" t="s">
        <v>49</v>
      </c>
      <c r="BI2" s="283">
        <v>3</v>
      </c>
    </row>
    <row r="3" spans="1:64" ht="22.5" customHeight="1" x14ac:dyDescent="0.25">
      <c r="A3" s="650"/>
      <c r="B3" s="650"/>
      <c r="C3" s="650"/>
      <c r="D3" s="650"/>
      <c r="E3" s="650"/>
      <c r="F3" s="650"/>
      <c r="G3" s="650"/>
      <c r="H3" s="650"/>
      <c r="I3" s="650"/>
      <c r="J3" s="650"/>
      <c r="K3" s="650"/>
      <c r="L3" s="650"/>
      <c r="M3" s="650"/>
      <c r="N3" s="650"/>
      <c r="O3" s="650"/>
      <c r="P3" s="650"/>
      <c r="Q3" s="650"/>
      <c r="R3" s="650"/>
      <c r="S3" s="650"/>
      <c r="T3" s="650"/>
      <c r="U3" s="650"/>
      <c r="V3" s="650"/>
      <c r="W3" s="650"/>
      <c r="X3" s="650"/>
      <c r="Y3" s="650"/>
      <c r="Z3" s="650"/>
      <c r="AA3" s="650"/>
      <c r="AB3" s="650"/>
      <c r="AC3" s="650"/>
      <c r="AD3" s="650"/>
      <c r="AE3" s="650"/>
      <c r="AF3" s="650"/>
      <c r="AG3" s="650"/>
      <c r="AH3" s="650"/>
      <c r="AI3" s="650"/>
      <c r="AJ3" s="650"/>
      <c r="AK3" s="650"/>
      <c r="AL3" s="650"/>
      <c r="AM3" s="650"/>
      <c r="AN3" s="650"/>
      <c r="AO3" s="650"/>
      <c r="AP3" s="650"/>
      <c r="AQ3" s="650"/>
      <c r="AR3" s="650"/>
      <c r="AS3" s="650"/>
      <c r="AT3" s="650"/>
      <c r="AU3" s="650"/>
      <c r="AV3" s="650"/>
      <c r="AW3" s="650"/>
      <c r="AX3" s="650"/>
      <c r="AY3" s="650"/>
      <c r="AZ3" s="650"/>
      <c r="BA3" s="650"/>
      <c r="BB3" s="650"/>
      <c r="BC3" s="650"/>
      <c r="BD3" s="650"/>
      <c r="BE3" s="650"/>
      <c r="BF3" s="650"/>
      <c r="BG3" s="651"/>
      <c r="BH3" s="131" t="s">
        <v>50</v>
      </c>
      <c r="BI3" s="284" t="s">
        <v>1462</v>
      </c>
    </row>
    <row r="4" spans="1:64" ht="14.25" customHeight="1" x14ac:dyDescent="0.25">
      <c r="A4" s="650"/>
      <c r="B4" s="650"/>
      <c r="C4" s="650"/>
      <c r="D4" s="650"/>
      <c r="E4" s="650"/>
      <c r="F4" s="650"/>
      <c r="G4" s="650"/>
      <c r="H4" s="650"/>
      <c r="I4" s="650"/>
      <c r="J4" s="650"/>
      <c r="K4" s="650"/>
      <c r="L4" s="650"/>
      <c r="M4" s="650"/>
      <c r="N4" s="650"/>
      <c r="O4" s="650"/>
      <c r="P4" s="650"/>
      <c r="Q4" s="650"/>
      <c r="R4" s="650"/>
      <c r="S4" s="650"/>
      <c r="T4" s="650"/>
      <c r="U4" s="650"/>
      <c r="V4" s="650"/>
      <c r="W4" s="650"/>
      <c r="X4" s="650"/>
      <c r="Y4" s="650"/>
      <c r="Z4" s="650"/>
      <c r="AA4" s="650"/>
      <c r="AB4" s="650"/>
      <c r="AC4" s="650"/>
      <c r="AD4" s="650"/>
      <c r="AE4" s="650"/>
      <c r="AF4" s="650"/>
      <c r="AG4" s="650"/>
      <c r="AH4" s="650"/>
      <c r="AI4" s="650"/>
      <c r="AJ4" s="650"/>
      <c r="AK4" s="650"/>
      <c r="AL4" s="650"/>
      <c r="AM4" s="650"/>
      <c r="AN4" s="650"/>
      <c r="AO4" s="650"/>
      <c r="AP4" s="650"/>
      <c r="AQ4" s="650"/>
      <c r="AR4" s="650"/>
      <c r="AS4" s="650"/>
      <c r="AT4" s="650"/>
      <c r="AU4" s="650"/>
      <c r="AV4" s="650"/>
      <c r="AW4" s="650"/>
      <c r="AX4" s="650"/>
      <c r="AY4" s="650"/>
      <c r="AZ4" s="650"/>
      <c r="BA4" s="650"/>
      <c r="BB4" s="650"/>
      <c r="BC4" s="650"/>
      <c r="BD4" s="650"/>
      <c r="BE4" s="650"/>
      <c r="BF4" s="650"/>
      <c r="BG4" s="651"/>
      <c r="BH4" s="131" t="s">
        <v>51</v>
      </c>
      <c r="BI4" s="285" t="s">
        <v>52</v>
      </c>
    </row>
    <row r="5" spans="1:64" s="134" customFormat="1" ht="40.5" customHeight="1" x14ac:dyDescent="0.25">
      <c r="A5" s="621" t="s">
        <v>12</v>
      </c>
      <c r="B5" s="621" t="s">
        <v>53</v>
      </c>
      <c r="C5" s="621" t="s">
        <v>54</v>
      </c>
      <c r="D5" s="621" t="s">
        <v>55</v>
      </c>
      <c r="E5" s="619" t="s">
        <v>56</v>
      </c>
      <c r="F5" s="619" t="s">
        <v>57</v>
      </c>
      <c r="G5" s="619" t="s">
        <v>58</v>
      </c>
      <c r="H5" s="619" t="s">
        <v>59</v>
      </c>
      <c r="I5" s="652" t="s">
        <v>60</v>
      </c>
      <c r="J5" s="619" t="s">
        <v>61</v>
      </c>
      <c r="K5" s="619" t="s">
        <v>62</v>
      </c>
      <c r="L5" s="619" t="s">
        <v>63</v>
      </c>
      <c r="M5" s="619" t="s">
        <v>64</v>
      </c>
      <c r="N5" s="621" t="s">
        <v>1517</v>
      </c>
      <c r="O5" s="621" t="s">
        <v>65</v>
      </c>
      <c r="P5" s="621"/>
      <c r="Q5" s="619" t="s">
        <v>66</v>
      </c>
      <c r="R5" s="620" t="s">
        <v>67</v>
      </c>
      <c r="S5" s="620" t="s">
        <v>68</v>
      </c>
      <c r="T5" s="614" t="s">
        <v>69</v>
      </c>
      <c r="U5" s="615"/>
      <c r="V5" s="616"/>
      <c r="W5" s="614" t="s">
        <v>70</v>
      </c>
      <c r="X5" s="615"/>
      <c r="Y5" s="616"/>
      <c r="Z5" s="614" t="s">
        <v>71</v>
      </c>
      <c r="AA5" s="615"/>
      <c r="AB5" s="616"/>
      <c r="AC5" s="614" t="s">
        <v>1547</v>
      </c>
      <c r="AD5" s="615"/>
      <c r="AE5" s="616"/>
      <c r="AF5" s="614" t="s">
        <v>1375</v>
      </c>
      <c r="AG5" s="615"/>
      <c r="AH5" s="616"/>
      <c r="AI5" s="614" t="s">
        <v>1480</v>
      </c>
      <c r="AJ5" s="615"/>
      <c r="AK5" s="616"/>
      <c r="AL5" s="614" t="s">
        <v>72</v>
      </c>
      <c r="AM5" s="615"/>
      <c r="AN5" s="616"/>
      <c r="AO5" s="614" t="s">
        <v>73</v>
      </c>
      <c r="AP5" s="615"/>
      <c r="AQ5" s="616"/>
      <c r="AR5" s="614" t="s">
        <v>74</v>
      </c>
      <c r="AS5" s="615"/>
      <c r="AT5" s="616"/>
      <c r="AU5" s="614" t="s">
        <v>75</v>
      </c>
      <c r="AV5" s="615"/>
      <c r="AW5" s="616"/>
      <c r="AX5" s="614" t="s">
        <v>76</v>
      </c>
      <c r="AY5" s="615"/>
      <c r="AZ5" s="616"/>
      <c r="BA5" s="614" t="s">
        <v>1376</v>
      </c>
      <c r="BB5" s="615"/>
      <c r="BC5" s="616"/>
      <c r="BD5" s="653" t="s">
        <v>1377</v>
      </c>
      <c r="BE5" s="654"/>
      <c r="BF5" s="655"/>
      <c r="BG5" s="653" t="s">
        <v>77</v>
      </c>
      <c r="BH5" s="615"/>
      <c r="BI5" s="616"/>
      <c r="BJ5" s="607"/>
      <c r="BK5" s="607"/>
      <c r="BL5" s="607"/>
    </row>
    <row r="6" spans="1:64" s="134" customFormat="1" ht="25.5" customHeight="1" x14ac:dyDescent="0.25">
      <c r="A6" s="621"/>
      <c r="B6" s="621"/>
      <c r="C6" s="621"/>
      <c r="D6" s="621"/>
      <c r="E6" s="619"/>
      <c r="F6" s="619"/>
      <c r="G6" s="619"/>
      <c r="H6" s="619"/>
      <c r="I6" s="652"/>
      <c r="J6" s="620"/>
      <c r="K6" s="620"/>
      <c r="L6" s="620"/>
      <c r="M6" s="620"/>
      <c r="N6" s="622"/>
      <c r="O6" s="320" t="s">
        <v>78</v>
      </c>
      <c r="P6" s="320" t="s">
        <v>79</v>
      </c>
      <c r="Q6" s="620"/>
      <c r="R6" s="623"/>
      <c r="S6" s="623"/>
      <c r="T6" s="321" t="s">
        <v>1378</v>
      </c>
      <c r="U6" s="321" t="s">
        <v>80</v>
      </c>
      <c r="V6" s="321" t="s">
        <v>1372</v>
      </c>
      <c r="W6" s="321" t="s">
        <v>1378</v>
      </c>
      <c r="X6" s="321" t="s">
        <v>80</v>
      </c>
      <c r="Y6" s="321" t="s">
        <v>1372</v>
      </c>
      <c r="Z6" s="321" t="s">
        <v>1378</v>
      </c>
      <c r="AA6" s="321" t="s">
        <v>80</v>
      </c>
      <c r="AB6" s="321" t="s">
        <v>1372</v>
      </c>
      <c r="AC6" s="321" t="s">
        <v>1378</v>
      </c>
      <c r="AD6" s="321" t="s">
        <v>80</v>
      </c>
      <c r="AE6" s="321" t="s">
        <v>1372</v>
      </c>
      <c r="AF6" s="321" t="s">
        <v>1378</v>
      </c>
      <c r="AG6" s="321" t="s">
        <v>80</v>
      </c>
      <c r="AH6" s="321" t="s">
        <v>1372</v>
      </c>
      <c r="AI6" s="321" t="s">
        <v>1378</v>
      </c>
      <c r="AJ6" s="321" t="s">
        <v>80</v>
      </c>
      <c r="AK6" s="321" t="s">
        <v>1372</v>
      </c>
      <c r="AL6" s="321" t="s">
        <v>1378</v>
      </c>
      <c r="AM6" s="321" t="s">
        <v>80</v>
      </c>
      <c r="AN6" s="321" t="s">
        <v>1372</v>
      </c>
      <c r="AO6" s="321" t="s">
        <v>1378</v>
      </c>
      <c r="AP6" s="321" t="s">
        <v>80</v>
      </c>
      <c r="AQ6" s="321" t="s">
        <v>1372</v>
      </c>
      <c r="AR6" s="321" t="s">
        <v>1378</v>
      </c>
      <c r="AS6" s="321" t="s">
        <v>80</v>
      </c>
      <c r="AT6" s="321" t="s">
        <v>1372</v>
      </c>
      <c r="AU6" s="321" t="s">
        <v>1378</v>
      </c>
      <c r="AV6" s="321" t="s">
        <v>80</v>
      </c>
      <c r="AW6" s="321" t="s">
        <v>1372</v>
      </c>
      <c r="AX6" s="321" t="s">
        <v>1378</v>
      </c>
      <c r="AY6" s="321" t="s">
        <v>80</v>
      </c>
      <c r="AZ6" s="321" t="s">
        <v>1372</v>
      </c>
      <c r="BA6" s="321" t="s">
        <v>1378</v>
      </c>
      <c r="BB6" s="321" t="s">
        <v>80</v>
      </c>
      <c r="BC6" s="321" t="s">
        <v>1372</v>
      </c>
      <c r="BD6" s="321" t="s">
        <v>1378</v>
      </c>
      <c r="BE6" s="321" t="s">
        <v>80</v>
      </c>
      <c r="BF6" s="321" t="s">
        <v>1372</v>
      </c>
      <c r="BG6" s="321" t="s">
        <v>1378</v>
      </c>
      <c r="BH6" s="321" t="s">
        <v>80</v>
      </c>
      <c r="BI6" s="321" t="s">
        <v>1372</v>
      </c>
      <c r="BJ6" s="607"/>
      <c r="BK6" s="607"/>
      <c r="BL6" s="607"/>
    </row>
    <row r="7" spans="1:64" s="137" customFormat="1" ht="15.75" x14ac:dyDescent="0.25">
      <c r="A7" s="183" t="s">
        <v>81</v>
      </c>
      <c r="B7" s="183"/>
      <c r="C7" s="183"/>
      <c r="D7" s="184"/>
      <c r="E7" s="184"/>
      <c r="F7" s="185"/>
      <c r="G7" s="186"/>
      <c r="H7" s="135"/>
      <c r="I7" s="185"/>
      <c r="J7" s="186"/>
      <c r="K7" s="186"/>
      <c r="L7" s="185"/>
      <c r="M7" s="135"/>
      <c r="N7" s="135"/>
      <c r="O7" s="186"/>
      <c r="P7" s="186"/>
      <c r="Q7" s="184"/>
      <c r="R7" s="186"/>
      <c r="S7" s="185"/>
      <c r="T7" s="136">
        <f>T8</f>
        <v>0</v>
      </c>
      <c r="U7" s="136"/>
      <c r="V7" s="136"/>
      <c r="W7" s="136">
        <f>W8</f>
        <v>0</v>
      </c>
      <c r="X7" s="136"/>
      <c r="Y7" s="136"/>
      <c r="Z7" s="136">
        <f>Z8</f>
        <v>0</v>
      </c>
      <c r="AA7" s="136"/>
      <c r="AB7" s="136"/>
      <c r="AC7" s="136">
        <f>AC8</f>
        <v>0</v>
      </c>
      <c r="AD7" s="136"/>
      <c r="AE7" s="136"/>
      <c r="AF7" s="136">
        <f>AF8</f>
        <v>0</v>
      </c>
      <c r="AG7" s="136"/>
      <c r="AH7" s="136"/>
      <c r="AI7" s="136">
        <f>AI8</f>
        <v>0</v>
      </c>
      <c r="AJ7" s="136"/>
      <c r="AK7" s="136"/>
      <c r="AL7" s="136">
        <f>AL8</f>
        <v>0</v>
      </c>
      <c r="AM7" s="136"/>
      <c r="AN7" s="136"/>
      <c r="AO7" s="136">
        <f>AO8</f>
        <v>0</v>
      </c>
      <c r="AP7" s="136"/>
      <c r="AQ7" s="136"/>
      <c r="AR7" s="136">
        <f>AR8</f>
        <v>0</v>
      </c>
      <c r="AS7" s="136"/>
      <c r="AT7" s="136"/>
      <c r="AU7" s="136">
        <f>AU8</f>
        <v>0</v>
      </c>
      <c r="AV7" s="136"/>
      <c r="AW7" s="136"/>
      <c r="AX7" s="136">
        <f>AX8</f>
        <v>75702140</v>
      </c>
      <c r="AY7" s="136">
        <f>AY8</f>
        <v>70471741</v>
      </c>
      <c r="AZ7" s="136">
        <f>AZ8</f>
        <v>70471741</v>
      </c>
      <c r="BA7" s="136">
        <f>BA8</f>
        <v>0</v>
      </c>
      <c r="BB7" s="136"/>
      <c r="BC7" s="136"/>
      <c r="BD7" s="136">
        <f>BD8</f>
        <v>0</v>
      </c>
      <c r="BE7" s="136"/>
      <c r="BF7" s="136"/>
      <c r="BG7" s="136">
        <f>BG8</f>
        <v>75702140</v>
      </c>
      <c r="BH7" s="136">
        <f>BH8</f>
        <v>70471741</v>
      </c>
      <c r="BI7" s="136">
        <f>BI8</f>
        <v>70471741</v>
      </c>
      <c r="BJ7" s="608"/>
      <c r="BK7" s="608"/>
      <c r="BL7" s="608"/>
    </row>
    <row r="8" spans="1:64" s="137" customFormat="1" ht="15.75" x14ac:dyDescent="0.25">
      <c r="A8" s="376"/>
      <c r="B8" s="222">
        <v>4</v>
      </c>
      <c r="C8" s="138" t="s">
        <v>82</v>
      </c>
      <c r="D8" s="139"/>
      <c r="E8" s="139"/>
      <c r="F8" s="140"/>
      <c r="G8" s="141"/>
      <c r="H8" s="142"/>
      <c r="I8" s="140"/>
      <c r="J8" s="141"/>
      <c r="K8" s="141"/>
      <c r="L8" s="140"/>
      <c r="M8" s="143"/>
      <c r="N8" s="143"/>
      <c r="O8" s="141"/>
      <c r="P8" s="141"/>
      <c r="Q8" s="139"/>
      <c r="R8" s="141"/>
      <c r="S8" s="140"/>
      <c r="T8" s="144">
        <f>T9+T12</f>
        <v>0</v>
      </c>
      <c r="U8" s="144"/>
      <c r="V8" s="144"/>
      <c r="W8" s="144">
        <f>W9+W12</f>
        <v>0</v>
      </c>
      <c r="X8" s="144"/>
      <c r="Y8" s="144"/>
      <c r="Z8" s="144">
        <f>Z9+Z12</f>
        <v>0</v>
      </c>
      <c r="AA8" s="144"/>
      <c r="AB8" s="144"/>
      <c r="AC8" s="144">
        <f>AC9+AC12</f>
        <v>0</v>
      </c>
      <c r="AD8" s="144"/>
      <c r="AE8" s="144"/>
      <c r="AF8" s="144">
        <f>AF9+AF12</f>
        <v>0</v>
      </c>
      <c r="AG8" s="144"/>
      <c r="AH8" s="144"/>
      <c r="AI8" s="144">
        <f>AI9+AI12</f>
        <v>0</v>
      </c>
      <c r="AJ8" s="144"/>
      <c r="AK8" s="144"/>
      <c r="AL8" s="144">
        <f>AL9+AL12</f>
        <v>0</v>
      </c>
      <c r="AM8" s="144"/>
      <c r="AN8" s="144"/>
      <c r="AO8" s="144">
        <f>AO9+AO12</f>
        <v>0</v>
      </c>
      <c r="AP8" s="144"/>
      <c r="AQ8" s="144"/>
      <c r="AR8" s="144">
        <f>AR9+AR12</f>
        <v>0</v>
      </c>
      <c r="AS8" s="144"/>
      <c r="AT8" s="144"/>
      <c r="AU8" s="144">
        <f>AU9+AU12</f>
        <v>0</v>
      </c>
      <c r="AV8" s="144"/>
      <c r="AW8" s="144"/>
      <c r="AX8" s="144">
        <f>AX9+AX12</f>
        <v>75702140</v>
      </c>
      <c r="AY8" s="144">
        <f>AY9+AY12</f>
        <v>70471741</v>
      </c>
      <c r="AZ8" s="144">
        <f>AZ9+AZ12</f>
        <v>70471741</v>
      </c>
      <c r="BA8" s="144">
        <f>BA9+BA12</f>
        <v>0</v>
      </c>
      <c r="BB8" s="144"/>
      <c r="BC8" s="144"/>
      <c r="BD8" s="144">
        <f>BD9+BD12</f>
        <v>0</v>
      </c>
      <c r="BE8" s="144"/>
      <c r="BF8" s="144"/>
      <c r="BG8" s="144">
        <f>BG9+BG12</f>
        <v>75702140</v>
      </c>
      <c r="BH8" s="144">
        <f>BH9+BH12</f>
        <v>70471741</v>
      </c>
      <c r="BI8" s="144">
        <f>BI9+BI12</f>
        <v>70471741</v>
      </c>
      <c r="BJ8" s="609"/>
      <c r="BK8" s="608"/>
      <c r="BL8" s="609"/>
    </row>
    <row r="9" spans="1:64" ht="15.75" x14ac:dyDescent="0.2">
      <c r="A9" s="377"/>
      <c r="B9" s="379"/>
      <c r="C9" s="308">
        <v>45</v>
      </c>
      <c r="D9" s="149" t="s">
        <v>83</v>
      </c>
      <c r="E9" s="308" t="s">
        <v>84</v>
      </c>
      <c r="F9" s="145"/>
      <c r="G9" s="146"/>
      <c r="H9" s="147"/>
      <c r="I9" s="145"/>
      <c r="J9" s="146"/>
      <c r="K9" s="146"/>
      <c r="L9" s="145"/>
      <c r="M9" s="148"/>
      <c r="N9" s="148"/>
      <c r="O9" s="146"/>
      <c r="P9" s="146"/>
      <c r="Q9" s="149"/>
      <c r="R9" s="146"/>
      <c r="S9" s="145"/>
      <c r="T9" s="150">
        <f>SUM(T10:T11)</f>
        <v>0</v>
      </c>
      <c r="U9" s="150"/>
      <c r="V9" s="150"/>
      <c r="W9" s="150">
        <f>SUM(W10:W11)</f>
        <v>0</v>
      </c>
      <c r="X9" s="150"/>
      <c r="Y9" s="150"/>
      <c r="Z9" s="150">
        <f>SUM(Z10:Z11)</f>
        <v>0</v>
      </c>
      <c r="AA9" s="150"/>
      <c r="AB9" s="150"/>
      <c r="AC9" s="150">
        <f>SUM(AC10:AC11)</f>
        <v>0</v>
      </c>
      <c r="AD9" s="150"/>
      <c r="AE9" s="150"/>
      <c r="AF9" s="150">
        <f>SUM(AF10:AF11)</f>
        <v>0</v>
      </c>
      <c r="AG9" s="150"/>
      <c r="AH9" s="150"/>
      <c r="AI9" s="150">
        <f>SUM(AI10:AI11)</f>
        <v>0</v>
      </c>
      <c r="AJ9" s="150"/>
      <c r="AK9" s="150"/>
      <c r="AL9" s="150">
        <f>SUM(AL10:AL11)</f>
        <v>0</v>
      </c>
      <c r="AM9" s="150"/>
      <c r="AN9" s="150"/>
      <c r="AO9" s="150">
        <f>SUM(AO10:AO11)</f>
        <v>0</v>
      </c>
      <c r="AP9" s="150"/>
      <c r="AQ9" s="150"/>
      <c r="AR9" s="150">
        <f>SUM(AR10:AR11)</f>
        <v>0</v>
      </c>
      <c r="AS9" s="150"/>
      <c r="AT9" s="150"/>
      <c r="AU9" s="150">
        <f>SUM(AU10:AU11)</f>
        <v>0</v>
      </c>
      <c r="AV9" s="150"/>
      <c r="AW9" s="150"/>
      <c r="AX9" s="150">
        <f>SUM(AX10:AX11)</f>
        <v>45702140</v>
      </c>
      <c r="AY9" s="150">
        <f>SUM(AY10:AY11)</f>
        <v>42596664</v>
      </c>
      <c r="AZ9" s="150">
        <f>SUM(AZ10:AZ11)</f>
        <v>42596664</v>
      </c>
      <c r="BA9" s="150">
        <f>SUM(BA10:BA11)</f>
        <v>0</v>
      </c>
      <c r="BB9" s="150"/>
      <c r="BC9" s="150"/>
      <c r="BD9" s="150">
        <f>SUM(BD10:BD11)</f>
        <v>0</v>
      </c>
      <c r="BE9" s="150"/>
      <c r="BF9" s="150"/>
      <c r="BG9" s="150">
        <f>SUM(BG10:BG11)</f>
        <v>45702140</v>
      </c>
      <c r="BH9" s="150">
        <f>SUM(BH10:BH11)</f>
        <v>42596664</v>
      </c>
      <c r="BI9" s="150">
        <f>SUM(BI10:BI11)</f>
        <v>42596664</v>
      </c>
      <c r="BK9" s="608"/>
    </row>
    <row r="10" spans="1:64" ht="111.75" customHeight="1" x14ac:dyDescent="0.2">
      <c r="A10" s="377"/>
      <c r="B10" s="380"/>
      <c r="C10" s="322"/>
      <c r="D10" s="323"/>
      <c r="E10" s="305" t="s">
        <v>83</v>
      </c>
      <c r="F10" s="367" t="s">
        <v>85</v>
      </c>
      <c r="G10" s="313" t="s">
        <v>86</v>
      </c>
      <c r="H10" s="305" t="s">
        <v>83</v>
      </c>
      <c r="I10" s="367" t="s">
        <v>1411</v>
      </c>
      <c r="J10" s="313" t="s">
        <v>87</v>
      </c>
      <c r="K10" s="313" t="s">
        <v>83</v>
      </c>
      <c r="L10" s="307" t="s">
        <v>88</v>
      </c>
      <c r="M10" s="305" t="s">
        <v>89</v>
      </c>
      <c r="N10" s="288">
        <v>5</v>
      </c>
      <c r="O10" s="288">
        <v>5</v>
      </c>
      <c r="P10" s="288">
        <v>5</v>
      </c>
      <c r="Q10" s="365" t="s">
        <v>90</v>
      </c>
      <c r="R10" s="305" t="s">
        <v>91</v>
      </c>
      <c r="S10" s="307" t="s">
        <v>92</v>
      </c>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505">
        <f>60000000-30000000</f>
        <v>30000000</v>
      </c>
      <c r="AY10" s="429">
        <v>26916665</v>
      </c>
      <c r="AZ10" s="429">
        <v>26916665</v>
      </c>
      <c r="BA10" s="27"/>
      <c r="BB10" s="27"/>
      <c r="BC10" s="27"/>
      <c r="BD10" s="27"/>
      <c r="BE10" s="27"/>
      <c r="BF10" s="27"/>
      <c r="BG10" s="151">
        <f t="shared" ref="BG10:BI11" si="0">+T10+W10+Z10+AC10+AF10+AI10+AL10+AO10+AR10+AU10+AX10+BA10+BD10</f>
        <v>30000000</v>
      </c>
      <c r="BH10" s="151">
        <f t="shared" si="0"/>
        <v>26916665</v>
      </c>
      <c r="BI10" s="151">
        <f t="shared" si="0"/>
        <v>26916665</v>
      </c>
      <c r="BK10" s="608"/>
    </row>
    <row r="11" spans="1:64" ht="142.5" customHeight="1" x14ac:dyDescent="0.2">
      <c r="A11" s="377"/>
      <c r="B11" s="380"/>
      <c r="C11" s="322"/>
      <c r="D11" s="323"/>
      <c r="E11" s="305" t="s">
        <v>83</v>
      </c>
      <c r="F11" s="367" t="s">
        <v>85</v>
      </c>
      <c r="G11" s="313" t="s">
        <v>93</v>
      </c>
      <c r="H11" s="305" t="s">
        <v>83</v>
      </c>
      <c r="I11" s="367" t="s">
        <v>94</v>
      </c>
      <c r="J11" s="313" t="s">
        <v>95</v>
      </c>
      <c r="K11" s="313" t="s">
        <v>83</v>
      </c>
      <c r="L11" s="307" t="s">
        <v>96</v>
      </c>
      <c r="M11" s="305" t="s">
        <v>89</v>
      </c>
      <c r="N11" s="288">
        <v>4</v>
      </c>
      <c r="O11" s="288">
        <v>4</v>
      </c>
      <c r="P11" s="288">
        <v>4</v>
      </c>
      <c r="Q11" s="365" t="s">
        <v>90</v>
      </c>
      <c r="R11" s="305" t="s">
        <v>97</v>
      </c>
      <c r="S11" s="307" t="s">
        <v>98</v>
      </c>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506">
        <f>31000000-15297860</f>
        <v>15702140</v>
      </c>
      <c r="AY11" s="430">
        <v>15679999</v>
      </c>
      <c r="AZ11" s="431">
        <v>15679999</v>
      </c>
      <c r="BA11" s="27"/>
      <c r="BB11" s="27"/>
      <c r="BC11" s="27"/>
      <c r="BD11" s="27"/>
      <c r="BE11" s="27"/>
      <c r="BF11" s="27"/>
      <c r="BG11" s="151">
        <f t="shared" si="0"/>
        <v>15702140</v>
      </c>
      <c r="BH11" s="151">
        <f t="shared" si="0"/>
        <v>15679999</v>
      </c>
      <c r="BI11" s="151">
        <f t="shared" si="0"/>
        <v>15679999</v>
      </c>
      <c r="BK11" s="608"/>
    </row>
    <row r="12" spans="1:64" ht="15.75" x14ac:dyDescent="0.2">
      <c r="A12" s="377"/>
      <c r="B12" s="380"/>
      <c r="C12" s="308">
        <v>42</v>
      </c>
      <c r="D12" s="149">
        <v>4502</v>
      </c>
      <c r="E12" s="195" t="s">
        <v>99</v>
      </c>
      <c r="F12" s="145"/>
      <c r="G12" s="146"/>
      <c r="H12" s="147"/>
      <c r="I12" s="145"/>
      <c r="J12" s="146"/>
      <c r="K12" s="146"/>
      <c r="L12" s="145"/>
      <c r="M12" s="148"/>
      <c r="N12" s="148"/>
      <c r="O12" s="146"/>
      <c r="P12" s="146"/>
      <c r="Q12" s="368"/>
      <c r="R12" s="146"/>
      <c r="S12" s="145"/>
      <c r="T12" s="150">
        <f>SUM(T13)</f>
        <v>0</v>
      </c>
      <c r="U12" s="150"/>
      <c r="V12" s="150"/>
      <c r="W12" s="150">
        <f>SUM(W13)</f>
        <v>0</v>
      </c>
      <c r="X12" s="150"/>
      <c r="Y12" s="150"/>
      <c r="Z12" s="150">
        <f>SUM(Z13)</f>
        <v>0</v>
      </c>
      <c r="AA12" s="150"/>
      <c r="AB12" s="150"/>
      <c r="AC12" s="150">
        <f>SUM(AC13)</f>
        <v>0</v>
      </c>
      <c r="AD12" s="150"/>
      <c r="AE12" s="150"/>
      <c r="AF12" s="150">
        <f>SUM(AF13)</f>
        <v>0</v>
      </c>
      <c r="AG12" s="150"/>
      <c r="AH12" s="150"/>
      <c r="AI12" s="150">
        <f>SUM(AI13)</f>
        <v>0</v>
      </c>
      <c r="AJ12" s="150"/>
      <c r="AK12" s="150"/>
      <c r="AL12" s="150">
        <f>SUM(AL13)</f>
        <v>0</v>
      </c>
      <c r="AM12" s="150"/>
      <c r="AN12" s="150"/>
      <c r="AO12" s="150">
        <f>SUM(AO13)</f>
        <v>0</v>
      </c>
      <c r="AP12" s="150"/>
      <c r="AQ12" s="150"/>
      <c r="AR12" s="150">
        <f>SUM(AR13)</f>
        <v>0</v>
      </c>
      <c r="AS12" s="150"/>
      <c r="AT12" s="150"/>
      <c r="AU12" s="150">
        <f>SUM(AU13)</f>
        <v>0</v>
      </c>
      <c r="AV12" s="150"/>
      <c r="AW12" s="150"/>
      <c r="AX12" s="507">
        <f>SUM(AX13)</f>
        <v>30000000</v>
      </c>
      <c r="AY12" s="150">
        <f>SUM(AY13)</f>
        <v>27875077</v>
      </c>
      <c r="AZ12" s="150">
        <f>SUM(AZ13)</f>
        <v>27875077</v>
      </c>
      <c r="BA12" s="150">
        <f>SUM(BA13)</f>
        <v>0</v>
      </c>
      <c r="BB12" s="150"/>
      <c r="BC12" s="150"/>
      <c r="BD12" s="150">
        <f>SUM(BD13)</f>
        <v>0</v>
      </c>
      <c r="BE12" s="150"/>
      <c r="BF12" s="150"/>
      <c r="BG12" s="150">
        <f>SUM(BG13)</f>
        <v>30000000</v>
      </c>
      <c r="BH12" s="150">
        <f>SUM(BH13)</f>
        <v>27875077</v>
      </c>
      <c r="BI12" s="150">
        <f>SUM(BI13)</f>
        <v>27875077</v>
      </c>
      <c r="BK12" s="608"/>
    </row>
    <row r="13" spans="1:64" ht="106.5" customHeight="1" x14ac:dyDescent="0.2">
      <c r="A13" s="378"/>
      <c r="B13" s="381"/>
      <c r="C13" s="322"/>
      <c r="D13" s="323"/>
      <c r="E13" s="305" t="s">
        <v>83</v>
      </c>
      <c r="F13" s="365" t="s">
        <v>100</v>
      </c>
      <c r="G13" s="305" t="s">
        <v>101</v>
      </c>
      <c r="H13" s="305" t="s">
        <v>83</v>
      </c>
      <c r="I13" s="367" t="s">
        <v>102</v>
      </c>
      <c r="J13" s="261" t="s">
        <v>103</v>
      </c>
      <c r="K13" s="261" t="s">
        <v>83</v>
      </c>
      <c r="L13" s="262" t="s">
        <v>104</v>
      </c>
      <c r="M13" s="305" t="s">
        <v>89</v>
      </c>
      <c r="N13" s="305">
        <v>1</v>
      </c>
      <c r="O13" s="175">
        <v>1</v>
      </c>
      <c r="P13" s="288">
        <v>1</v>
      </c>
      <c r="Q13" s="367" t="s">
        <v>105</v>
      </c>
      <c r="R13" s="305" t="s">
        <v>106</v>
      </c>
      <c r="S13" s="307" t="s">
        <v>0</v>
      </c>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508">
        <f>55122927.21+0.39-25122927.6</f>
        <v>30000000</v>
      </c>
      <c r="AY13" s="508">
        <v>27875077</v>
      </c>
      <c r="AZ13" s="508">
        <v>27875077</v>
      </c>
      <c r="BA13" s="27"/>
      <c r="BB13" s="27"/>
      <c r="BC13" s="27"/>
      <c r="BD13" s="27"/>
      <c r="BE13" s="27"/>
      <c r="BF13" s="27"/>
      <c r="BG13" s="151">
        <f>+T13+W13+Z13+AC13+AF13+AI13+AL13+AO13+AR13+AU13+AX13+BA13+BD13</f>
        <v>30000000</v>
      </c>
      <c r="BH13" s="151">
        <f>+U13+X13+AA13+AD13+AG13+AJ13+AM13+AP13+AS13+AV13+AY13+BB13+BE13</f>
        <v>27875077</v>
      </c>
      <c r="BI13" s="151">
        <f>+V13+Y13+AB13+AE13+AH13+AK13+AN13+AQ13+AT13+AW13+AZ13+BC13+BF13</f>
        <v>27875077</v>
      </c>
      <c r="BK13" s="608"/>
    </row>
    <row r="14" spans="1:64" s="137" customFormat="1" ht="18" customHeight="1" x14ac:dyDescent="0.25">
      <c r="A14" s="183" t="s">
        <v>107</v>
      </c>
      <c r="B14" s="183"/>
      <c r="C14" s="183"/>
      <c r="D14" s="184"/>
      <c r="E14" s="184"/>
      <c r="F14" s="185"/>
      <c r="G14" s="186"/>
      <c r="H14" s="135"/>
      <c r="I14" s="185"/>
      <c r="J14" s="186"/>
      <c r="K14" s="186"/>
      <c r="L14" s="185"/>
      <c r="M14" s="135"/>
      <c r="N14" s="135"/>
      <c r="O14" s="186"/>
      <c r="P14" s="186"/>
      <c r="Q14" s="369"/>
      <c r="R14" s="186"/>
      <c r="S14" s="185"/>
      <c r="T14" s="152">
        <f>T15</f>
        <v>0</v>
      </c>
      <c r="U14" s="152"/>
      <c r="V14" s="152"/>
      <c r="W14" s="152">
        <f>W15</f>
        <v>0</v>
      </c>
      <c r="X14" s="152"/>
      <c r="Y14" s="152"/>
      <c r="Z14" s="152">
        <f>Z15</f>
        <v>0</v>
      </c>
      <c r="AA14" s="152"/>
      <c r="AB14" s="152"/>
      <c r="AC14" s="152">
        <f>AC15</f>
        <v>0</v>
      </c>
      <c r="AD14" s="152"/>
      <c r="AE14" s="152"/>
      <c r="AF14" s="152">
        <f>AF15</f>
        <v>0</v>
      </c>
      <c r="AG14" s="152"/>
      <c r="AH14" s="152"/>
      <c r="AI14" s="152">
        <f>AI15</f>
        <v>0</v>
      </c>
      <c r="AJ14" s="152"/>
      <c r="AK14" s="152"/>
      <c r="AL14" s="152">
        <f>AL15</f>
        <v>0</v>
      </c>
      <c r="AM14" s="152"/>
      <c r="AN14" s="152"/>
      <c r="AO14" s="152">
        <f>AO15</f>
        <v>0</v>
      </c>
      <c r="AP14" s="152"/>
      <c r="AQ14" s="152"/>
      <c r="AR14" s="152">
        <f>AR15</f>
        <v>0</v>
      </c>
      <c r="AS14" s="152"/>
      <c r="AT14" s="152"/>
      <c r="AU14" s="152">
        <f>AU15</f>
        <v>0</v>
      </c>
      <c r="AV14" s="152"/>
      <c r="AW14" s="152"/>
      <c r="AX14" s="152">
        <f>AX15</f>
        <v>677628511</v>
      </c>
      <c r="AY14" s="152">
        <f>AY15</f>
        <v>598051770</v>
      </c>
      <c r="AZ14" s="152">
        <f>AZ15</f>
        <v>560903770</v>
      </c>
      <c r="BA14" s="152">
        <f>BA15</f>
        <v>0</v>
      </c>
      <c r="BB14" s="152"/>
      <c r="BC14" s="152"/>
      <c r="BD14" s="152">
        <f>BD15</f>
        <v>0</v>
      </c>
      <c r="BE14" s="152"/>
      <c r="BF14" s="152"/>
      <c r="BG14" s="152">
        <f>BG15</f>
        <v>677628511</v>
      </c>
      <c r="BH14" s="152">
        <f>BH15</f>
        <v>598051770</v>
      </c>
      <c r="BI14" s="152">
        <f>BI15</f>
        <v>560903770</v>
      </c>
      <c r="BJ14" s="608"/>
      <c r="BK14" s="608"/>
      <c r="BL14" s="608"/>
    </row>
    <row r="15" spans="1:64" ht="20.25" customHeight="1" x14ac:dyDescent="0.2">
      <c r="A15" s="382"/>
      <c r="B15" s="222">
        <v>4</v>
      </c>
      <c r="C15" s="138" t="s">
        <v>108</v>
      </c>
      <c r="D15" s="139"/>
      <c r="E15" s="139"/>
      <c r="F15" s="140"/>
      <c r="G15" s="141"/>
      <c r="H15" s="142"/>
      <c r="I15" s="140"/>
      <c r="J15" s="141"/>
      <c r="K15" s="141"/>
      <c r="L15" s="140"/>
      <c r="M15" s="143"/>
      <c r="N15" s="143"/>
      <c r="O15" s="141"/>
      <c r="P15" s="141"/>
      <c r="Q15" s="370"/>
      <c r="R15" s="141"/>
      <c r="S15" s="140"/>
      <c r="T15" s="153">
        <f>T16+T18</f>
        <v>0</v>
      </c>
      <c r="U15" s="153"/>
      <c r="V15" s="153"/>
      <c r="W15" s="153">
        <f>W16+W18</f>
        <v>0</v>
      </c>
      <c r="X15" s="153"/>
      <c r="Y15" s="153"/>
      <c r="Z15" s="153">
        <f>Z16+Z18</f>
        <v>0</v>
      </c>
      <c r="AA15" s="153"/>
      <c r="AB15" s="153"/>
      <c r="AC15" s="153">
        <f>AC16+AC18</f>
        <v>0</v>
      </c>
      <c r="AD15" s="153"/>
      <c r="AE15" s="153"/>
      <c r="AF15" s="153">
        <f>AF16+AF18</f>
        <v>0</v>
      </c>
      <c r="AG15" s="153"/>
      <c r="AH15" s="153"/>
      <c r="AI15" s="153">
        <f>AI16+AI18</f>
        <v>0</v>
      </c>
      <c r="AJ15" s="153"/>
      <c r="AK15" s="153"/>
      <c r="AL15" s="153">
        <f>AL16+AL18</f>
        <v>0</v>
      </c>
      <c r="AM15" s="153"/>
      <c r="AN15" s="153"/>
      <c r="AO15" s="153">
        <f>AO16+AO18</f>
        <v>0</v>
      </c>
      <c r="AP15" s="153"/>
      <c r="AQ15" s="153"/>
      <c r="AR15" s="153">
        <f>AR16+AR18</f>
        <v>0</v>
      </c>
      <c r="AS15" s="153"/>
      <c r="AT15" s="153"/>
      <c r="AU15" s="153">
        <f>AU16+AU18</f>
        <v>0</v>
      </c>
      <c r="AV15" s="153"/>
      <c r="AW15" s="153"/>
      <c r="AX15" s="153">
        <f>AX16+AX18</f>
        <v>677628511</v>
      </c>
      <c r="AY15" s="153">
        <f>AY16+AY18</f>
        <v>598051770</v>
      </c>
      <c r="AZ15" s="153">
        <f>AZ16+AZ18</f>
        <v>560903770</v>
      </c>
      <c r="BA15" s="153">
        <f>BA16+BA18</f>
        <v>0</v>
      </c>
      <c r="BB15" s="153"/>
      <c r="BC15" s="153"/>
      <c r="BD15" s="153">
        <f>BD16+BD18</f>
        <v>0</v>
      </c>
      <c r="BE15" s="153"/>
      <c r="BF15" s="153"/>
      <c r="BG15" s="153">
        <f>BG16+BG18</f>
        <v>677628511</v>
      </c>
      <c r="BH15" s="153">
        <f>BH16+BH18</f>
        <v>598051770</v>
      </c>
      <c r="BI15" s="153">
        <f>BI16+BI18</f>
        <v>560903770</v>
      </c>
      <c r="BK15" s="608"/>
    </row>
    <row r="16" spans="1:64" ht="18.75" customHeight="1" x14ac:dyDescent="0.2">
      <c r="A16" s="377"/>
      <c r="B16" s="379"/>
      <c r="C16" s="308">
        <v>42</v>
      </c>
      <c r="D16" s="149">
        <v>4502</v>
      </c>
      <c r="E16" s="308" t="s">
        <v>99</v>
      </c>
      <c r="F16" s="145"/>
      <c r="G16" s="146"/>
      <c r="H16" s="147"/>
      <c r="I16" s="145"/>
      <c r="J16" s="146"/>
      <c r="K16" s="146"/>
      <c r="L16" s="145"/>
      <c r="M16" s="148"/>
      <c r="N16" s="148"/>
      <c r="O16" s="146"/>
      <c r="P16" s="146"/>
      <c r="Q16" s="368"/>
      <c r="R16" s="146"/>
      <c r="S16" s="145"/>
      <c r="T16" s="47">
        <f>T17</f>
        <v>0</v>
      </c>
      <c r="U16" s="47"/>
      <c r="V16" s="47"/>
      <c r="W16" s="47">
        <f>W17</f>
        <v>0</v>
      </c>
      <c r="X16" s="47"/>
      <c r="Y16" s="47"/>
      <c r="Z16" s="47">
        <f>Z17</f>
        <v>0</v>
      </c>
      <c r="AA16" s="47"/>
      <c r="AB16" s="47"/>
      <c r="AC16" s="47">
        <f>AC17</f>
        <v>0</v>
      </c>
      <c r="AD16" s="47"/>
      <c r="AE16" s="47"/>
      <c r="AF16" s="47">
        <f>AF17</f>
        <v>0</v>
      </c>
      <c r="AG16" s="47"/>
      <c r="AH16" s="47"/>
      <c r="AI16" s="47">
        <f>AI17</f>
        <v>0</v>
      </c>
      <c r="AJ16" s="47"/>
      <c r="AK16" s="47"/>
      <c r="AL16" s="47">
        <f>AL17</f>
        <v>0</v>
      </c>
      <c r="AM16" s="47"/>
      <c r="AN16" s="47"/>
      <c r="AO16" s="47">
        <f>AO17</f>
        <v>0</v>
      </c>
      <c r="AP16" s="47"/>
      <c r="AQ16" s="47"/>
      <c r="AR16" s="47">
        <f>AR17</f>
        <v>0</v>
      </c>
      <c r="AS16" s="47"/>
      <c r="AT16" s="47"/>
      <c r="AU16" s="47">
        <f>AU17</f>
        <v>0</v>
      </c>
      <c r="AV16" s="47"/>
      <c r="AW16" s="47"/>
      <c r="AX16" s="47">
        <f>AX17</f>
        <v>102285179</v>
      </c>
      <c r="AY16" s="47">
        <f>AY17</f>
        <v>98951650</v>
      </c>
      <c r="AZ16" s="47">
        <f>AZ17</f>
        <v>98951650</v>
      </c>
      <c r="BA16" s="47">
        <f>BA17</f>
        <v>0</v>
      </c>
      <c r="BB16" s="47"/>
      <c r="BC16" s="47"/>
      <c r="BD16" s="47">
        <f>BD17</f>
        <v>0</v>
      </c>
      <c r="BE16" s="47"/>
      <c r="BF16" s="47"/>
      <c r="BG16" s="47">
        <f>BG17</f>
        <v>102285179</v>
      </c>
      <c r="BH16" s="47">
        <f>BH17</f>
        <v>98951650</v>
      </c>
      <c r="BI16" s="47">
        <f>BI17</f>
        <v>98951650</v>
      </c>
      <c r="BK16" s="608"/>
    </row>
    <row r="17" spans="1:64" ht="93.75" customHeight="1" x14ac:dyDescent="0.2">
      <c r="A17" s="377"/>
      <c r="B17" s="380"/>
      <c r="C17" s="324"/>
      <c r="D17" s="305"/>
      <c r="E17" s="305" t="s">
        <v>83</v>
      </c>
      <c r="F17" s="306" t="s">
        <v>109</v>
      </c>
      <c r="G17" s="305" t="s">
        <v>110</v>
      </c>
      <c r="H17" s="305" t="s">
        <v>83</v>
      </c>
      <c r="I17" s="306" t="s">
        <v>111</v>
      </c>
      <c r="J17" s="261" t="s">
        <v>112</v>
      </c>
      <c r="K17" s="261" t="s">
        <v>1402</v>
      </c>
      <c r="L17" s="262" t="s">
        <v>113</v>
      </c>
      <c r="M17" s="305" t="s">
        <v>89</v>
      </c>
      <c r="N17" s="305">
        <v>1</v>
      </c>
      <c r="O17" s="175">
        <v>1</v>
      </c>
      <c r="P17" s="288">
        <v>1</v>
      </c>
      <c r="Q17" s="367" t="s">
        <v>105</v>
      </c>
      <c r="R17" s="305" t="s">
        <v>114</v>
      </c>
      <c r="S17" s="306" t="s">
        <v>115</v>
      </c>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33">
        <f>200000000-97714821</f>
        <v>102285179</v>
      </c>
      <c r="AY17" s="33">
        <v>98951650</v>
      </c>
      <c r="AZ17" s="33">
        <v>98951650</v>
      </c>
      <c r="BA17" s="27"/>
      <c r="BB17" s="27"/>
      <c r="BC17" s="27"/>
      <c r="BD17" s="27"/>
      <c r="BE17" s="27"/>
      <c r="BF17" s="27"/>
      <c r="BG17" s="151">
        <f>+T17+W17+Z17+AC17+AF17+AI17+AL17+AO17+AR17+AU17+AX17+BA17+BD17</f>
        <v>102285179</v>
      </c>
      <c r="BH17" s="151">
        <f>+U17+X17+AA17+AD17+AG17+AJ17+AM17+AP17+AS17+AV17+AY17+BB17+BE17</f>
        <v>98951650</v>
      </c>
      <c r="BI17" s="151">
        <f>+V17+Y17+AB17+AE17+AH17+AK17+AN17+AQ17+AT17+AW17+AZ17+BC17+BF17</f>
        <v>98951650</v>
      </c>
      <c r="BK17" s="608"/>
    </row>
    <row r="18" spans="1:64" ht="18.75" customHeight="1" x14ac:dyDescent="0.2">
      <c r="A18" s="377"/>
      <c r="B18" s="380"/>
      <c r="C18" s="308">
        <v>45</v>
      </c>
      <c r="D18" s="149" t="s">
        <v>83</v>
      </c>
      <c r="E18" s="308" t="s">
        <v>116</v>
      </c>
      <c r="F18" s="145"/>
      <c r="G18" s="146"/>
      <c r="H18" s="147"/>
      <c r="I18" s="145"/>
      <c r="J18" s="146"/>
      <c r="K18" s="146"/>
      <c r="L18" s="145"/>
      <c r="M18" s="148"/>
      <c r="N18" s="148"/>
      <c r="O18" s="146"/>
      <c r="P18" s="146"/>
      <c r="Q18" s="368"/>
      <c r="R18" s="146"/>
      <c r="S18" s="145"/>
      <c r="T18" s="47">
        <f>SUM(T19:T29)</f>
        <v>0</v>
      </c>
      <c r="U18" s="47"/>
      <c r="V18" s="47"/>
      <c r="W18" s="47">
        <f>SUM(W19:W29)</f>
        <v>0</v>
      </c>
      <c r="X18" s="47"/>
      <c r="Y18" s="47"/>
      <c r="Z18" s="47">
        <f>SUM(Z19:Z29)</f>
        <v>0</v>
      </c>
      <c r="AA18" s="47"/>
      <c r="AB18" s="47"/>
      <c r="AC18" s="47">
        <f>SUM(AC19:AC29)</f>
        <v>0</v>
      </c>
      <c r="AD18" s="47"/>
      <c r="AE18" s="47"/>
      <c r="AF18" s="47">
        <f>SUM(AF19:AF29)</f>
        <v>0</v>
      </c>
      <c r="AG18" s="47"/>
      <c r="AH18" s="47"/>
      <c r="AI18" s="47">
        <f>SUM(AI19:AI29)</f>
        <v>0</v>
      </c>
      <c r="AJ18" s="47"/>
      <c r="AK18" s="47"/>
      <c r="AL18" s="47">
        <f>SUM(AL19:AL29)</f>
        <v>0</v>
      </c>
      <c r="AM18" s="47"/>
      <c r="AN18" s="47"/>
      <c r="AO18" s="47">
        <f>SUM(AO19:AO29)</f>
        <v>0</v>
      </c>
      <c r="AP18" s="47"/>
      <c r="AQ18" s="47"/>
      <c r="AR18" s="47">
        <f>SUM(AR19:AR29)</f>
        <v>0</v>
      </c>
      <c r="AS18" s="47"/>
      <c r="AT18" s="47"/>
      <c r="AU18" s="47">
        <f>SUM(AU19:AU29)</f>
        <v>0</v>
      </c>
      <c r="AV18" s="47"/>
      <c r="AW18" s="47"/>
      <c r="AX18" s="47">
        <f>SUM(AX19:AX29)</f>
        <v>575343332</v>
      </c>
      <c r="AY18" s="47">
        <f>SUM(AY19:AY29)</f>
        <v>499100120</v>
      </c>
      <c r="AZ18" s="47">
        <f>SUM(AZ19:AZ29)</f>
        <v>461952120</v>
      </c>
      <c r="BA18" s="47">
        <f>SUM(BA19:BA29)</f>
        <v>0</v>
      </c>
      <c r="BB18" s="47"/>
      <c r="BC18" s="47"/>
      <c r="BD18" s="47">
        <f>SUM(BD19:BD29)</f>
        <v>0</v>
      </c>
      <c r="BE18" s="47"/>
      <c r="BF18" s="47"/>
      <c r="BG18" s="47">
        <f>SUM(BG19:BG29)</f>
        <v>575343332</v>
      </c>
      <c r="BH18" s="47">
        <f>SUM(BH19:BH29)</f>
        <v>499100120</v>
      </c>
      <c r="BI18" s="47">
        <f>SUM(BI19:BI29)</f>
        <v>461952120</v>
      </c>
      <c r="BK18" s="608"/>
    </row>
    <row r="19" spans="1:64" ht="138.75" customHeight="1" x14ac:dyDescent="0.2">
      <c r="A19" s="377"/>
      <c r="B19" s="380"/>
      <c r="C19" s="324"/>
      <c r="D19" s="305"/>
      <c r="E19" s="305" t="s">
        <v>83</v>
      </c>
      <c r="F19" s="307" t="s">
        <v>85</v>
      </c>
      <c r="G19" s="313" t="s">
        <v>117</v>
      </c>
      <c r="H19" s="305" t="s">
        <v>83</v>
      </c>
      <c r="I19" s="306" t="s">
        <v>1412</v>
      </c>
      <c r="J19" s="305" t="s">
        <v>118</v>
      </c>
      <c r="K19" s="305" t="s">
        <v>1402</v>
      </c>
      <c r="L19" s="306" t="s">
        <v>119</v>
      </c>
      <c r="M19" s="314" t="s">
        <v>89</v>
      </c>
      <c r="N19" s="314">
        <v>1</v>
      </c>
      <c r="O19" s="305">
        <v>1</v>
      </c>
      <c r="P19" s="197">
        <v>1</v>
      </c>
      <c r="Q19" s="365" t="s">
        <v>90</v>
      </c>
      <c r="R19" s="305" t="s">
        <v>120</v>
      </c>
      <c r="S19" s="306" t="s">
        <v>121</v>
      </c>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45">
        <v>153233333</v>
      </c>
      <c r="AY19" s="45">
        <v>153233333</v>
      </c>
      <c r="AZ19" s="45">
        <v>116085333</v>
      </c>
      <c r="BA19" s="154"/>
      <c r="BB19" s="154"/>
      <c r="BC19" s="154"/>
      <c r="BD19" s="154"/>
      <c r="BE19" s="154"/>
      <c r="BF19" s="154"/>
      <c r="BG19" s="151">
        <f t="shared" ref="BG19:BI29" si="1">+T19+W19+Z19+AC19+AF19+AI19+AL19+AO19+AR19+AU19+AX19+BA19+BD19</f>
        <v>153233333</v>
      </c>
      <c r="BH19" s="151">
        <f t="shared" si="1"/>
        <v>153233333</v>
      </c>
      <c r="BI19" s="151">
        <f t="shared" si="1"/>
        <v>116085333</v>
      </c>
      <c r="BK19" s="608"/>
    </row>
    <row r="20" spans="1:64" s="155" customFormat="1" ht="151.5" customHeight="1" x14ac:dyDescent="0.2">
      <c r="A20" s="383"/>
      <c r="B20" s="384"/>
      <c r="C20" s="11"/>
      <c r="D20" s="313"/>
      <c r="E20" s="305" t="s">
        <v>83</v>
      </c>
      <c r="F20" s="307" t="s">
        <v>85</v>
      </c>
      <c r="G20" s="313" t="s">
        <v>117</v>
      </c>
      <c r="H20" s="305" t="s">
        <v>83</v>
      </c>
      <c r="I20" s="306" t="s">
        <v>122</v>
      </c>
      <c r="J20" s="305" t="s">
        <v>118</v>
      </c>
      <c r="K20" s="305" t="s">
        <v>1402</v>
      </c>
      <c r="L20" s="306" t="s">
        <v>119</v>
      </c>
      <c r="M20" s="325" t="s">
        <v>89</v>
      </c>
      <c r="N20" s="326">
        <v>4</v>
      </c>
      <c r="O20" s="305">
        <v>4</v>
      </c>
      <c r="P20" s="197">
        <v>4</v>
      </c>
      <c r="Q20" s="365" t="s">
        <v>90</v>
      </c>
      <c r="R20" s="305" t="s">
        <v>123</v>
      </c>
      <c r="S20" s="306" t="s">
        <v>124</v>
      </c>
      <c r="T20" s="327"/>
      <c r="U20" s="327"/>
      <c r="V20" s="327"/>
      <c r="W20" s="327"/>
      <c r="X20" s="327"/>
      <c r="Y20" s="327"/>
      <c r="Z20" s="327"/>
      <c r="AA20" s="327"/>
      <c r="AB20" s="327"/>
      <c r="AC20" s="327"/>
      <c r="AD20" s="327"/>
      <c r="AE20" s="327"/>
      <c r="AF20" s="327"/>
      <c r="AG20" s="327"/>
      <c r="AH20" s="327"/>
      <c r="AI20" s="327"/>
      <c r="AJ20" s="327"/>
      <c r="AK20" s="327"/>
      <c r="AL20" s="327"/>
      <c r="AM20" s="327"/>
      <c r="AN20" s="327"/>
      <c r="AO20" s="327"/>
      <c r="AP20" s="327"/>
      <c r="AQ20" s="327"/>
      <c r="AR20" s="327"/>
      <c r="AS20" s="327"/>
      <c r="AT20" s="327"/>
      <c r="AU20" s="327"/>
      <c r="AV20" s="327"/>
      <c r="AW20" s="327"/>
      <c r="AX20" s="328">
        <f>85000000+120000000-20000000-30000000-61083333</f>
        <v>93916667</v>
      </c>
      <c r="AY20" s="328">
        <v>67393455</v>
      </c>
      <c r="AZ20" s="328">
        <v>67393455</v>
      </c>
      <c r="BA20" s="327"/>
      <c r="BB20" s="327"/>
      <c r="BC20" s="327"/>
      <c r="BD20" s="327"/>
      <c r="BE20" s="327"/>
      <c r="BF20" s="327"/>
      <c r="BG20" s="151">
        <f t="shared" si="1"/>
        <v>93916667</v>
      </c>
      <c r="BH20" s="151">
        <f t="shared" si="1"/>
        <v>67393455</v>
      </c>
      <c r="BI20" s="151">
        <f t="shared" si="1"/>
        <v>67393455</v>
      </c>
      <c r="BJ20" s="206"/>
      <c r="BK20" s="608"/>
      <c r="BL20" s="206"/>
    </row>
    <row r="21" spans="1:64" ht="66" customHeight="1" x14ac:dyDescent="0.2">
      <c r="A21" s="377"/>
      <c r="B21" s="380"/>
      <c r="C21" s="324"/>
      <c r="D21" s="305"/>
      <c r="E21" s="305" t="s">
        <v>83</v>
      </c>
      <c r="F21" s="307" t="s">
        <v>85</v>
      </c>
      <c r="G21" s="313" t="s">
        <v>125</v>
      </c>
      <c r="H21" s="305" t="s">
        <v>83</v>
      </c>
      <c r="I21" s="306" t="s">
        <v>126</v>
      </c>
      <c r="J21" s="305" t="s">
        <v>127</v>
      </c>
      <c r="K21" s="305" t="s">
        <v>1402</v>
      </c>
      <c r="L21" s="306" t="s">
        <v>128</v>
      </c>
      <c r="M21" s="28" t="s">
        <v>89</v>
      </c>
      <c r="N21" s="29">
        <v>1</v>
      </c>
      <c r="O21" s="305">
        <v>1</v>
      </c>
      <c r="P21" s="197">
        <v>1</v>
      </c>
      <c r="Q21" s="365" t="s">
        <v>90</v>
      </c>
      <c r="R21" s="305" t="s">
        <v>129</v>
      </c>
      <c r="S21" s="306" t="s">
        <v>130</v>
      </c>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33">
        <f>40000000-15093334</f>
        <v>24906666</v>
      </c>
      <c r="AY21" s="33">
        <v>24866666</v>
      </c>
      <c r="AZ21" s="33">
        <v>24866666</v>
      </c>
      <c r="BA21" s="27"/>
      <c r="BB21" s="27"/>
      <c r="BC21" s="27"/>
      <c r="BD21" s="27"/>
      <c r="BE21" s="27"/>
      <c r="BF21" s="27"/>
      <c r="BG21" s="151">
        <f t="shared" si="1"/>
        <v>24906666</v>
      </c>
      <c r="BH21" s="151">
        <f t="shared" si="1"/>
        <v>24866666</v>
      </c>
      <c r="BI21" s="151">
        <f t="shared" si="1"/>
        <v>24866666</v>
      </c>
      <c r="BK21" s="608"/>
    </row>
    <row r="22" spans="1:64" ht="86.25" customHeight="1" x14ac:dyDescent="0.2">
      <c r="A22" s="377"/>
      <c r="B22" s="380"/>
      <c r="C22" s="324"/>
      <c r="D22" s="305"/>
      <c r="E22" s="305" t="s">
        <v>83</v>
      </c>
      <c r="F22" s="307" t="s">
        <v>85</v>
      </c>
      <c r="G22" s="313" t="s">
        <v>131</v>
      </c>
      <c r="H22" s="305" t="s">
        <v>83</v>
      </c>
      <c r="I22" s="306" t="s">
        <v>132</v>
      </c>
      <c r="J22" s="305" t="s">
        <v>133</v>
      </c>
      <c r="K22" s="305" t="s">
        <v>1402</v>
      </c>
      <c r="L22" s="306" t="s">
        <v>134</v>
      </c>
      <c r="M22" s="28" t="s">
        <v>89</v>
      </c>
      <c r="N22" s="29">
        <v>1</v>
      </c>
      <c r="O22" s="305">
        <v>1</v>
      </c>
      <c r="P22" s="197">
        <v>1</v>
      </c>
      <c r="Q22" s="365" t="s">
        <v>90</v>
      </c>
      <c r="R22" s="305" t="s">
        <v>135</v>
      </c>
      <c r="S22" s="306" t="s">
        <v>1413</v>
      </c>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33">
        <f>300000000-50000000-101213334</f>
        <v>148786666</v>
      </c>
      <c r="AY22" s="33">
        <f>'[1]F-PLA 47 Metas Producto Planeac'!$R$23+'[1]F-PLA 47 Metas Producto Planeac'!$R$24</f>
        <v>143693333</v>
      </c>
      <c r="AZ22" s="33">
        <v>143693333</v>
      </c>
      <c r="BA22" s="27"/>
      <c r="BB22" s="27"/>
      <c r="BC22" s="27"/>
      <c r="BD22" s="27"/>
      <c r="BE22" s="27"/>
      <c r="BF22" s="27"/>
      <c r="BG22" s="151">
        <f t="shared" si="1"/>
        <v>148786666</v>
      </c>
      <c r="BH22" s="151">
        <f t="shared" si="1"/>
        <v>143693333</v>
      </c>
      <c r="BI22" s="151">
        <f t="shared" si="1"/>
        <v>143693333</v>
      </c>
      <c r="BK22" s="608"/>
    </row>
    <row r="23" spans="1:64" ht="119.25" customHeight="1" x14ac:dyDescent="0.2">
      <c r="A23" s="377"/>
      <c r="B23" s="380"/>
      <c r="C23" s="324"/>
      <c r="D23" s="305"/>
      <c r="E23" s="305" t="s">
        <v>83</v>
      </c>
      <c r="F23" s="306" t="s">
        <v>137</v>
      </c>
      <c r="G23" s="305" t="s">
        <v>138</v>
      </c>
      <c r="H23" s="305" t="s">
        <v>83</v>
      </c>
      <c r="I23" s="306" t="s">
        <v>139</v>
      </c>
      <c r="J23" s="305" t="s">
        <v>140</v>
      </c>
      <c r="K23" s="305" t="s">
        <v>1402</v>
      </c>
      <c r="L23" s="306" t="s">
        <v>141</v>
      </c>
      <c r="M23" s="28" t="s">
        <v>89</v>
      </c>
      <c r="N23" s="29">
        <v>12</v>
      </c>
      <c r="O23" s="305">
        <v>12</v>
      </c>
      <c r="P23" s="197">
        <v>12</v>
      </c>
      <c r="Q23" s="611" t="s">
        <v>90</v>
      </c>
      <c r="R23" s="613" t="s">
        <v>142</v>
      </c>
      <c r="S23" s="611" t="s">
        <v>143</v>
      </c>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33">
        <f>83325000-45825000-3000000</f>
        <v>34500000</v>
      </c>
      <c r="AY23" s="33">
        <v>28500000</v>
      </c>
      <c r="AZ23" s="33">
        <v>28500000</v>
      </c>
      <c r="BA23" s="27"/>
      <c r="BB23" s="27"/>
      <c r="BC23" s="27"/>
      <c r="BD23" s="27"/>
      <c r="BE23" s="27"/>
      <c r="BF23" s="27"/>
      <c r="BG23" s="151">
        <f t="shared" si="1"/>
        <v>34500000</v>
      </c>
      <c r="BH23" s="151">
        <f t="shared" si="1"/>
        <v>28500000</v>
      </c>
      <c r="BI23" s="151">
        <f t="shared" si="1"/>
        <v>28500000</v>
      </c>
      <c r="BK23" s="608"/>
    </row>
    <row r="24" spans="1:64" ht="80.25" customHeight="1" x14ac:dyDescent="0.2">
      <c r="A24" s="377"/>
      <c r="B24" s="380"/>
      <c r="C24" s="324"/>
      <c r="D24" s="305"/>
      <c r="E24" s="305" t="s">
        <v>83</v>
      </c>
      <c r="F24" s="306" t="s">
        <v>137</v>
      </c>
      <c r="G24" s="305" t="s">
        <v>144</v>
      </c>
      <c r="H24" s="305" t="s">
        <v>83</v>
      </c>
      <c r="I24" s="306" t="s">
        <v>145</v>
      </c>
      <c r="J24" s="305" t="s">
        <v>146</v>
      </c>
      <c r="K24" s="305" t="s">
        <v>1402</v>
      </c>
      <c r="L24" s="306" t="s">
        <v>147</v>
      </c>
      <c r="M24" s="28" t="s">
        <v>89</v>
      </c>
      <c r="N24" s="29">
        <v>12</v>
      </c>
      <c r="O24" s="305">
        <v>12</v>
      </c>
      <c r="P24" s="197">
        <v>12</v>
      </c>
      <c r="Q24" s="611"/>
      <c r="R24" s="613"/>
      <c r="S24" s="611"/>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33">
        <v>15000000</v>
      </c>
      <c r="AY24" s="33">
        <v>10500000</v>
      </c>
      <c r="AZ24" s="33">
        <v>10500000</v>
      </c>
      <c r="BA24" s="27"/>
      <c r="BB24" s="27"/>
      <c r="BC24" s="27"/>
      <c r="BD24" s="27"/>
      <c r="BE24" s="27"/>
      <c r="BF24" s="27"/>
      <c r="BG24" s="151">
        <f t="shared" si="1"/>
        <v>15000000</v>
      </c>
      <c r="BH24" s="151">
        <f t="shared" si="1"/>
        <v>10500000</v>
      </c>
      <c r="BI24" s="151">
        <f t="shared" si="1"/>
        <v>10500000</v>
      </c>
      <c r="BK24" s="608"/>
    </row>
    <row r="25" spans="1:64" ht="83.25" customHeight="1" x14ac:dyDescent="0.2">
      <c r="A25" s="377"/>
      <c r="B25" s="380"/>
      <c r="C25" s="324"/>
      <c r="D25" s="305"/>
      <c r="E25" s="305" t="s">
        <v>83</v>
      </c>
      <c r="F25" s="306" t="s">
        <v>137</v>
      </c>
      <c r="G25" s="305" t="s">
        <v>148</v>
      </c>
      <c r="H25" s="305" t="s">
        <v>83</v>
      </c>
      <c r="I25" s="306" t="s">
        <v>149</v>
      </c>
      <c r="J25" s="305" t="s">
        <v>150</v>
      </c>
      <c r="K25" s="305" t="s">
        <v>1402</v>
      </c>
      <c r="L25" s="306" t="s">
        <v>147</v>
      </c>
      <c r="M25" s="28" t="s">
        <v>89</v>
      </c>
      <c r="N25" s="29">
        <v>12</v>
      </c>
      <c r="O25" s="305">
        <v>12</v>
      </c>
      <c r="P25" s="197">
        <v>12</v>
      </c>
      <c r="Q25" s="611"/>
      <c r="R25" s="613"/>
      <c r="S25" s="611"/>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33">
        <f>23000000-5000000-3000000</f>
        <v>15000000</v>
      </c>
      <c r="AY25" s="33">
        <v>9800000</v>
      </c>
      <c r="AZ25" s="33">
        <v>9800000</v>
      </c>
      <c r="BA25" s="27"/>
      <c r="BB25" s="27"/>
      <c r="BC25" s="27"/>
      <c r="BD25" s="27"/>
      <c r="BE25" s="27"/>
      <c r="BF25" s="27"/>
      <c r="BG25" s="151">
        <f t="shared" si="1"/>
        <v>15000000</v>
      </c>
      <c r="BH25" s="151">
        <f t="shared" si="1"/>
        <v>9800000</v>
      </c>
      <c r="BI25" s="151">
        <f t="shared" si="1"/>
        <v>9800000</v>
      </c>
      <c r="BK25" s="608"/>
    </row>
    <row r="26" spans="1:64" ht="109.5" customHeight="1" x14ac:dyDescent="0.2">
      <c r="A26" s="377"/>
      <c r="B26" s="380"/>
      <c r="C26" s="324"/>
      <c r="D26" s="305"/>
      <c r="E26" s="305" t="s">
        <v>83</v>
      </c>
      <c r="F26" s="307" t="s">
        <v>137</v>
      </c>
      <c r="G26" s="263" t="s">
        <v>151</v>
      </c>
      <c r="H26" s="305" t="s">
        <v>83</v>
      </c>
      <c r="I26" s="306" t="s">
        <v>152</v>
      </c>
      <c r="J26" s="263" t="s">
        <v>153</v>
      </c>
      <c r="K26" s="305" t="s">
        <v>1402</v>
      </c>
      <c r="L26" s="262" t="s">
        <v>147</v>
      </c>
      <c r="M26" s="28" t="s">
        <v>89</v>
      </c>
      <c r="N26" s="29">
        <v>12</v>
      </c>
      <c r="O26" s="305">
        <v>12</v>
      </c>
      <c r="P26" s="197">
        <v>12</v>
      </c>
      <c r="Q26" s="611"/>
      <c r="R26" s="613"/>
      <c r="S26" s="611"/>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33">
        <f>45000000-18000000-3000000</f>
        <v>24000000</v>
      </c>
      <c r="AY26" s="33">
        <v>21413333</v>
      </c>
      <c r="AZ26" s="33">
        <v>21413333</v>
      </c>
      <c r="BA26" s="27"/>
      <c r="BB26" s="27"/>
      <c r="BC26" s="27"/>
      <c r="BD26" s="27"/>
      <c r="BE26" s="27"/>
      <c r="BF26" s="27"/>
      <c r="BG26" s="151">
        <f t="shared" si="1"/>
        <v>24000000</v>
      </c>
      <c r="BH26" s="151">
        <f t="shared" si="1"/>
        <v>21413333</v>
      </c>
      <c r="BI26" s="151">
        <f t="shared" si="1"/>
        <v>21413333</v>
      </c>
      <c r="BK26" s="608"/>
    </row>
    <row r="27" spans="1:64" ht="105" customHeight="1" x14ac:dyDescent="0.2">
      <c r="A27" s="377"/>
      <c r="B27" s="380"/>
      <c r="C27" s="324"/>
      <c r="D27" s="305"/>
      <c r="E27" s="305" t="s">
        <v>83</v>
      </c>
      <c r="F27" s="307" t="s">
        <v>137</v>
      </c>
      <c r="G27" s="329" t="s">
        <v>154</v>
      </c>
      <c r="H27" s="305" t="s">
        <v>83</v>
      </c>
      <c r="I27" s="306" t="s">
        <v>155</v>
      </c>
      <c r="J27" s="305" t="s">
        <v>156</v>
      </c>
      <c r="K27" s="305" t="s">
        <v>1402</v>
      </c>
      <c r="L27" s="306" t="s">
        <v>147</v>
      </c>
      <c r="M27" s="28" t="s">
        <v>89</v>
      </c>
      <c r="N27" s="29">
        <v>12</v>
      </c>
      <c r="O27" s="305">
        <v>12</v>
      </c>
      <c r="P27" s="197">
        <v>12</v>
      </c>
      <c r="Q27" s="611"/>
      <c r="R27" s="613"/>
      <c r="S27" s="611"/>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33">
        <f>23000000-5000000-3000000</f>
        <v>15000000</v>
      </c>
      <c r="AY27" s="33">
        <v>7600000</v>
      </c>
      <c r="AZ27" s="33">
        <v>7600000</v>
      </c>
      <c r="BA27" s="27"/>
      <c r="BB27" s="27"/>
      <c r="BC27" s="27"/>
      <c r="BD27" s="27"/>
      <c r="BE27" s="27"/>
      <c r="BF27" s="27"/>
      <c r="BG27" s="151">
        <f t="shared" si="1"/>
        <v>15000000</v>
      </c>
      <c r="BH27" s="151">
        <f t="shared" si="1"/>
        <v>7600000</v>
      </c>
      <c r="BI27" s="151">
        <f t="shared" si="1"/>
        <v>7600000</v>
      </c>
      <c r="BK27" s="608"/>
    </row>
    <row r="28" spans="1:64" ht="93.75" customHeight="1" x14ac:dyDescent="0.2">
      <c r="A28" s="377"/>
      <c r="B28" s="380"/>
      <c r="C28" s="324"/>
      <c r="D28" s="305"/>
      <c r="E28" s="305" t="s">
        <v>83</v>
      </c>
      <c r="F28" s="306" t="s">
        <v>137</v>
      </c>
      <c r="G28" s="305" t="s">
        <v>157</v>
      </c>
      <c r="H28" s="305" t="s">
        <v>83</v>
      </c>
      <c r="I28" s="306" t="s">
        <v>158</v>
      </c>
      <c r="J28" s="305" t="s">
        <v>159</v>
      </c>
      <c r="K28" s="305" t="s">
        <v>1402</v>
      </c>
      <c r="L28" s="306" t="s">
        <v>147</v>
      </c>
      <c r="M28" s="28" t="s">
        <v>89</v>
      </c>
      <c r="N28" s="29">
        <v>12</v>
      </c>
      <c r="O28" s="305">
        <v>12</v>
      </c>
      <c r="P28" s="197">
        <v>12</v>
      </c>
      <c r="Q28" s="611"/>
      <c r="R28" s="613"/>
      <c r="S28" s="611"/>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33">
        <f>17312522.3+687478-0.3-3000000</f>
        <v>15000000</v>
      </c>
      <c r="AY28" s="33">
        <v>8400000</v>
      </c>
      <c r="AZ28" s="33">
        <v>8400000</v>
      </c>
      <c r="BA28" s="27"/>
      <c r="BB28" s="27"/>
      <c r="BC28" s="27"/>
      <c r="BD28" s="27"/>
      <c r="BE28" s="27"/>
      <c r="BF28" s="27"/>
      <c r="BG28" s="151">
        <f t="shared" si="1"/>
        <v>15000000</v>
      </c>
      <c r="BH28" s="151">
        <f t="shared" si="1"/>
        <v>8400000</v>
      </c>
      <c r="BI28" s="151">
        <f t="shared" si="1"/>
        <v>8400000</v>
      </c>
      <c r="BK28" s="608"/>
    </row>
    <row r="29" spans="1:64" ht="99.75" customHeight="1" x14ac:dyDescent="0.2">
      <c r="A29" s="378"/>
      <c r="B29" s="385"/>
      <c r="C29" s="330"/>
      <c r="D29" s="314"/>
      <c r="E29" s="305" t="s">
        <v>83</v>
      </c>
      <c r="F29" s="307" t="s">
        <v>85</v>
      </c>
      <c r="G29" s="261" t="s">
        <v>86</v>
      </c>
      <c r="H29" s="305" t="s">
        <v>83</v>
      </c>
      <c r="I29" s="306" t="s">
        <v>1411</v>
      </c>
      <c r="J29" s="305" t="s">
        <v>87</v>
      </c>
      <c r="K29" s="305" t="s">
        <v>83</v>
      </c>
      <c r="L29" s="306" t="s">
        <v>88</v>
      </c>
      <c r="M29" s="28" t="s">
        <v>89</v>
      </c>
      <c r="N29" s="29">
        <v>18</v>
      </c>
      <c r="O29" s="305">
        <v>18</v>
      </c>
      <c r="P29" s="197">
        <v>18</v>
      </c>
      <c r="Q29" s="365" t="s">
        <v>90</v>
      </c>
      <c r="R29" s="305" t="s">
        <v>160</v>
      </c>
      <c r="S29" s="306" t="s">
        <v>161</v>
      </c>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7"/>
      <c r="AX29" s="33">
        <f>73658667-37658667</f>
        <v>36000000</v>
      </c>
      <c r="AY29" s="33">
        <v>23700000</v>
      </c>
      <c r="AZ29" s="33">
        <v>23700000</v>
      </c>
      <c r="BA29" s="157"/>
      <c r="BB29" s="157"/>
      <c r="BC29" s="157"/>
      <c r="BD29" s="157"/>
      <c r="BE29" s="157"/>
      <c r="BF29" s="157"/>
      <c r="BG29" s="151">
        <f t="shared" si="1"/>
        <v>36000000</v>
      </c>
      <c r="BH29" s="151">
        <f t="shared" si="1"/>
        <v>23700000</v>
      </c>
      <c r="BI29" s="151">
        <f t="shared" si="1"/>
        <v>23700000</v>
      </c>
      <c r="BK29" s="608"/>
    </row>
    <row r="30" spans="1:64" ht="15.75" x14ac:dyDescent="0.2">
      <c r="A30" s="183" t="s">
        <v>1398</v>
      </c>
      <c r="B30" s="183"/>
      <c r="C30" s="183"/>
      <c r="D30" s="184"/>
      <c r="E30" s="184"/>
      <c r="F30" s="185"/>
      <c r="G30" s="186"/>
      <c r="H30" s="135"/>
      <c r="I30" s="185"/>
      <c r="J30" s="186"/>
      <c r="K30" s="186"/>
      <c r="L30" s="185"/>
      <c r="M30" s="135"/>
      <c r="N30" s="135"/>
      <c r="O30" s="186"/>
      <c r="P30" s="186"/>
      <c r="Q30" s="369"/>
      <c r="R30" s="186"/>
      <c r="S30" s="185"/>
      <c r="T30" s="164">
        <f>T31</f>
        <v>0</v>
      </c>
      <c r="U30" s="164"/>
      <c r="V30" s="164"/>
      <c r="W30" s="164">
        <f>W31</f>
        <v>0</v>
      </c>
      <c r="X30" s="164"/>
      <c r="Y30" s="164"/>
      <c r="Z30" s="164">
        <f>Z31</f>
        <v>0</v>
      </c>
      <c r="AA30" s="164"/>
      <c r="AB30" s="164"/>
      <c r="AC30" s="164">
        <f>AC31</f>
        <v>0</v>
      </c>
      <c r="AD30" s="164"/>
      <c r="AE30" s="164"/>
      <c r="AF30" s="164">
        <f>AF31</f>
        <v>0</v>
      </c>
      <c r="AG30" s="164"/>
      <c r="AH30" s="164"/>
      <c r="AI30" s="164">
        <f>AI31</f>
        <v>0</v>
      </c>
      <c r="AJ30" s="164"/>
      <c r="AK30" s="164"/>
      <c r="AL30" s="164">
        <f>AL31</f>
        <v>0</v>
      </c>
      <c r="AM30" s="164"/>
      <c r="AN30" s="164"/>
      <c r="AO30" s="164">
        <f>AO31</f>
        <v>0</v>
      </c>
      <c r="AP30" s="164"/>
      <c r="AQ30" s="164"/>
      <c r="AR30" s="164">
        <f>AR31</f>
        <v>0</v>
      </c>
      <c r="AS30" s="164"/>
      <c r="AT30" s="164"/>
      <c r="AU30" s="164">
        <f>AU31</f>
        <v>0</v>
      </c>
      <c r="AV30" s="164"/>
      <c r="AW30" s="164"/>
      <c r="AX30" s="164">
        <f t="shared" ref="AX30:BA31" si="2">AX31</f>
        <v>2022013477</v>
      </c>
      <c r="AY30" s="164">
        <f t="shared" si="2"/>
        <v>1434852896</v>
      </c>
      <c r="AZ30" s="164">
        <f t="shared" si="2"/>
        <v>1391955882</v>
      </c>
      <c r="BA30" s="164">
        <f t="shared" si="2"/>
        <v>0</v>
      </c>
      <c r="BB30" s="164"/>
      <c r="BC30" s="164"/>
      <c r="BD30" s="164">
        <f t="shared" ref="BD30:BI31" si="3">BD31</f>
        <v>250000000</v>
      </c>
      <c r="BE30" s="164">
        <f t="shared" si="3"/>
        <v>74493518</v>
      </c>
      <c r="BF30" s="164">
        <f t="shared" si="3"/>
        <v>74493518</v>
      </c>
      <c r="BG30" s="164">
        <f t="shared" si="3"/>
        <v>2272013477</v>
      </c>
      <c r="BH30" s="164">
        <f t="shared" si="3"/>
        <v>1509346414</v>
      </c>
      <c r="BI30" s="164">
        <f t="shared" si="3"/>
        <v>1466449400</v>
      </c>
      <c r="BJ30" s="608"/>
      <c r="BK30" s="608"/>
      <c r="BL30" s="608"/>
    </row>
    <row r="31" spans="1:64" ht="15.75" x14ac:dyDescent="0.2">
      <c r="A31" s="382"/>
      <c r="B31" s="222">
        <v>4</v>
      </c>
      <c r="C31" s="138" t="s">
        <v>108</v>
      </c>
      <c r="D31" s="139"/>
      <c r="E31" s="139"/>
      <c r="F31" s="140"/>
      <c r="G31" s="141"/>
      <c r="H31" s="142"/>
      <c r="I31" s="140"/>
      <c r="J31" s="141"/>
      <c r="K31" s="141"/>
      <c r="L31" s="140"/>
      <c r="M31" s="143"/>
      <c r="N31" s="143"/>
      <c r="O31" s="141"/>
      <c r="P31" s="141"/>
      <c r="Q31" s="370"/>
      <c r="R31" s="141"/>
      <c r="S31" s="140"/>
      <c r="T31" s="144">
        <f>T32</f>
        <v>0</v>
      </c>
      <c r="U31" s="144"/>
      <c r="V31" s="144"/>
      <c r="W31" s="144">
        <f>W32</f>
        <v>0</v>
      </c>
      <c r="X31" s="144"/>
      <c r="Y31" s="144"/>
      <c r="Z31" s="144">
        <f>Z32</f>
        <v>0</v>
      </c>
      <c r="AA31" s="144"/>
      <c r="AB31" s="144"/>
      <c r="AC31" s="144">
        <f>AC32</f>
        <v>0</v>
      </c>
      <c r="AD31" s="144"/>
      <c r="AE31" s="144"/>
      <c r="AF31" s="144">
        <f>AF32</f>
        <v>0</v>
      </c>
      <c r="AG31" s="144"/>
      <c r="AH31" s="144"/>
      <c r="AI31" s="144">
        <f>AI32</f>
        <v>0</v>
      </c>
      <c r="AJ31" s="144"/>
      <c r="AK31" s="144"/>
      <c r="AL31" s="144">
        <f>AL32</f>
        <v>0</v>
      </c>
      <c r="AM31" s="144"/>
      <c r="AN31" s="144"/>
      <c r="AO31" s="144">
        <f>AO32</f>
        <v>0</v>
      </c>
      <c r="AP31" s="144"/>
      <c r="AQ31" s="144"/>
      <c r="AR31" s="144">
        <f>AR32</f>
        <v>0</v>
      </c>
      <c r="AS31" s="144"/>
      <c r="AT31" s="144"/>
      <c r="AU31" s="144">
        <f>AU32</f>
        <v>0</v>
      </c>
      <c r="AV31" s="144"/>
      <c r="AW31" s="144"/>
      <c r="AX31" s="144">
        <f t="shared" si="2"/>
        <v>2022013477</v>
      </c>
      <c r="AY31" s="144">
        <f t="shared" si="2"/>
        <v>1434852896</v>
      </c>
      <c r="AZ31" s="144">
        <f t="shared" si="2"/>
        <v>1391955882</v>
      </c>
      <c r="BA31" s="144">
        <f t="shared" si="2"/>
        <v>0</v>
      </c>
      <c r="BB31" s="144"/>
      <c r="BC31" s="144"/>
      <c r="BD31" s="144">
        <f t="shared" si="3"/>
        <v>250000000</v>
      </c>
      <c r="BE31" s="144">
        <f t="shared" si="3"/>
        <v>74493518</v>
      </c>
      <c r="BF31" s="144">
        <f t="shared" si="3"/>
        <v>74493518</v>
      </c>
      <c r="BG31" s="144">
        <f t="shared" si="3"/>
        <v>2272013477</v>
      </c>
      <c r="BH31" s="144">
        <f t="shared" si="3"/>
        <v>1509346414</v>
      </c>
      <c r="BI31" s="144">
        <f t="shared" si="3"/>
        <v>1466449400</v>
      </c>
      <c r="BK31" s="608"/>
    </row>
    <row r="32" spans="1:64" ht="15.75" customHeight="1" x14ac:dyDescent="0.2">
      <c r="A32" s="377"/>
      <c r="B32" s="379"/>
      <c r="C32" s="171">
        <v>45</v>
      </c>
      <c r="D32" s="146" t="s">
        <v>83</v>
      </c>
      <c r="E32" s="308" t="s">
        <v>84</v>
      </c>
      <c r="F32" s="190"/>
      <c r="G32" s="190"/>
      <c r="H32" s="190"/>
      <c r="I32" s="190"/>
      <c r="J32" s="190"/>
      <c r="K32" s="190"/>
      <c r="L32" s="190"/>
      <c r="M32" s="190"/>
      <c r="N32" s="190"/>
      <c r="O32" s="190"/>
      <c r="P32" s="190"/>
      <c r="Q32" s="145"/>
      <c r="R32" s="146"/>
      <c r="S32" s="145"/>
      <c r="T32" s="150">
        <f>SUM(T33:T34)</f>
        <v>0</v>
      </c>
      <c r="U32" s="150"/>
      <c r="V32" s="150"/>
      <c r="W32" s="150">
        <f t="shared" ref="W32:BI32" si="4">SUM(W33:W34)</f>
        <v>0</v>
      </c>
      <c r="X32" s="150"/>
      <c r="Y32" s="150"/>
      <c r="Z32" s="150">
        <f t="shared" si="4"/>
        <v>0</v>
      </c>
      <c r="AA32" s="150"/>
      <c r="AB32" s="150"/>
      <c r="AC32" s="150">
        <f t="shared" si="4"/>
        <v>0</v>
      </c>
      <c r="AD32" s="150"/>
      <c r="AE32" s="150"/>
      <c r="AF32" s="150">
        <f t="shared" si="4"/>
        <v>0</v>
      </c>
      <c r="AG32" s="150"/>
      <c r="AH32" s="150"/>
      <c r="AI32" s="150">
        <f t="shared" si="4"/>
        <v>0</v>
      </c>
      <c r="AJ32" s="150"/>
      <c r="AK32" s="150"/>
      <c r="AL32" s="150">
        <f t="shared" si="4"/>
        <v>0</v>
      </c>
      <c r="AM32" s="150"/>
      <c r="AN32" s="150"/>
      <c r="AO32" s="150">
        <f t="shared" si="4"/>
        <v>0</v>
      </c>
      <c r="AP32" s="150"/>
      <c r="AQ32" s="150"/>
      <c r="AR32" s="150">
        <f t="shared" si="4"/>
        <v>0</v>
      </c>
      <c r="AS32" s="150"/>
      <c r="AT32" s="150"/>
      <c r="AU32" s="150">
        <f t="shared" si="4"/>
        <v>0</v>
      </c>
      <c r="AV32" s="150"/>
      <c r="AW32" s="150"/>
      <c r="AX32" s="150">
        <f t="shared" si="4"/>
        <v>2022013477</v>
      </c>
      <c r="AY32" s="150">
        <f t="shared" si="4"/>
        <v>1434852896</v>
      </c>
      <c r="AZ32" s="150">
        <f t="shared" si="4"/>
        <v>1391955882</v>
      </c>
      <c r="BA32" s="150">
        <f t="shared" si="4"/>
        <v>0</v>
      </c>
      <c r="BB32" s="150"/>
      <c r="BC32" s="150"/>
      <c r="BD32" s="150">
        <f t="shared" si="4"/>
        <v>250000000</v>
      </c>
      <c r="BE32" s="150">
        <f t="shared" si="4"/>
        <v>74493518</v>
      </c>
      <c r="BF32" s="150">
        <f t="shared" si="4"/>
        <v>74493518</v>
      </c>
      <c r="BG32" s="150">
        <f t="shared" si="4"/>
        <v>2272013477</v>
      </c>
      <c r="BH32" s="150">
        <f t="shared" si="4"/>
        <v>1509346414</v>
      </c>
      <c r="BI32" s="150">
        <f t="shared" si="4"/>
        <v>1466449400</v>
      </c>
      <c r="BK32" s="608"/>
    </row>
    <row r="33" spans="1:64" ht="69.75" customHeight="1" x14ac:dyDescent="0.2">
      <c r="A33" s="377"/>
      <c r="B33" s="380"/>
      <c r="C33" s="322"/>
      <c r="D33" s="323"/>
      <c r="E33" s="305" t="s">
        <v>83</v>
      </c>
      <c r="F33" s="306" t="s">
        <v>1399</v>
      </c>
      <c r="G33" s="263" t="s">
        <v>162</v>
      </c>
      <c r="H33" s="305" t="s">
        <v>83</v>
      </c>
      <c r="I33" s="165" t="s">
        <v>163</v>
      </c>
      <c r="J33" s="263" t="s">
        <v>164</v>
      </c>
      <c r="K33" s="261" t="s">
        <v>83</v>
      </c>
      <c r="L33" s="262" t="s">
        <v>165</v>
      </c>
      <c r="M33" s="305" t="s">
        <v>89</v>
      </c>
      <c r="N33" s="305">
        <v>1</v>
      </c>
      <c r="O33" s="166">
        <v>1</v>
      </c>
      <c r="P33" s="286">
        <v>1</v>
      </c>
      <c r="Q33" s="365" t="s">
        <v>90</v>
      </c>
      <c r="R33" s="305" t="s">
        <v>166</v>
      </c>
      <c r="S33" s="306" t="s">
        <v>167</v>
      </c>
      <c r="T33" s="167"/>
      <c r="U33" s="167"/>
      <c r="V33" s="167"/>
      <c r="W33" s="167"/>
      <c r="X33" s="167"/>
      <c r="Y33" s="167"/>
      <c r="Z33" s="27"/>
      <c r="AA33" s="27"/>
      <c r="AB33" s="2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33">
        <v>1631149477</v>
      </c>
      <c r="AY33" s="33">
        <f>'[2]Metas Producto F-PLA-47'!$R$16+'[2]Metas Producto F-PLA-47'!$R$18+'[2]Metas Producto F-PLA-47'!$R$19</f>
        <v>1095867269</v>
      </c>
      <c r="AZ33" s="33">
        <f>'[2]Metas Producto F-PLA-47'!$S$16+'[2]Metas Producto F-PLA-47'!$S$18+'[2]Metas Producto F-PLA-47'!$S$19</f>
        <v>1052970255</v>
      </c>
      <c r="BA33" s="167"/>
      <c r="BB33" s="167"/>
      <c r="BC33" s="167"/>
      <c r="BD33" s="168">
        <v>250000000</v>
      </c>
      <c r="BE33" s="168">
        <v>74493518</v>
      </c>
      <c r="BF33" s="168">
        <v>74493518</v>
      </c>
      <c r="BG33" s="151">
        <f t="shared" ref="BG33:BI34" si="5">+T33+W33+Z33+AC33+AF33+AI33+AL33+AO33+AR33+AU33+AX33+BA33+BD33</f>
        <v>1881149477</v>
      </c>
      <c r="BH33" s="151">
        <f t="shared" si="5"/>
        <v>1170360787</v>
      </c>
      <c r="BI33" s="151">
        <f t="shared" si="5"/>
        <v>1127463773</v>
      </c>
      <c r="BK33" s="608"/>
    </row>
    <row r="34" spans="1:64" ht="117.75" customHeight="1" x14ac:dyDescent="0.2">
      <c r="A34" s="378"/>
      <c r="B34" s="381"/>
      <c r="C34" s="322"/>
      <c r="D34" s="323"/>
      <c r="E34" s="305" t="s">
        <v>83</v>
      </c>
      <c r="F34" s="306" t="s">
        <v>1399</v>
      </c>
      <c r="G34" s="263" t="s">
        <v>168</v>
      </c>
      <c r="H34" s="305" t="s">
        <v>83</v>
      </c>
      <c r="I34" s="165" t="s">
        <v>169</v>
      </c>
      <c r="J34" s="263" t="s">
        <v>170</v>
      </c>
      <c r="K34" s="261" t="s">
        <v>83</v>
      </c>
      <c r="L34" s="262" t="s">
        <v>171</v>
      </c>
      <c r="M34" s="305" t="s">
        <v>89</v>
      </c>
      <c r="N34" s="305">
        <v>1</v>
      </c>
      <c r="O34" s="166">
        <v>1</v>
      </c>
      <c r="P34" s="286">
        <v>1</v>
      </c>
      <c r="Q34" s="365" t="s">
        <v>90</v>
      </c>
      <c r="R34" s="305" t="s">
        <v>172</v>
      </c>
      <c r="S34" s="306" t="s">
        <v>1414</v>
      </c>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194">
        <v>390864000</v>
      </c>
      <c r="AY34" s="194">
        <v>338985627</v>
      </c>
      <c r="AZ34" s="194">
        <f>'[2]Metas Producto F-PLA-47'!$S$20+'[2]Metas Producto F-PLA-47'!$S$21+'[2]Metas Producto F-PLA-47'!$S$22</f>
        <v>338985627</v>
      </c>
      <c r="BA34" s="27"/>
      <c r="BB34" s="27"/>
      <c r="BC34" s="27"/>
      <c r="BD34" s="27"/>
      <c r="BE34" s="27"/>
      <c r="BF34" s="27"/>
      <c r="BG34" s="151">
        <f t="shared" si="5"/>
        <v>390864000</v>
      </c>
      <c r="BH34" s="151">
        <f t="shared" si="5"/>
        <v>338985627</v>
      </c>
      <c r="BI34" s="151">
        <f t="shared" si="5"/>
        <v>338985627</v>
      </c>
      <c r="BK34" s="608"/>
    </row>
    <row r="35" spans="1:64" ht="15.75" x14ac:dyDescent="0.2">
      <c r="A35" s="183" t="s">
        <v>1380</v>
      </c>
      <c r="B35" s="183"/>
      <c r="C35" s="183"/>
      <c r="D35" s="184"/>
      <c r="E35" s="184"/>
      <c r="F35" s="185"/>
      <c r="G35" s="186"/>
      <c r="H35" s="135"/>
      <c r="I35" s="185"/>
      <c r="J35" s="186"/>
      <c r="K35" s="186"/>
      <c r="L35" s="185"/>
      <c r="M35" s="135"/>
      <c r="N35" s="135"/>
      <c r="O35" s="186"/>
      <c r="P35" s="186"/>
      <c r="Q35" s="184"/>
      <c r="R35" s="186"/>
      <c r="S35" s="185"/>
      <c r="T35" s="164">
        <f t="shared" ref="T35:BI35" si="6">T36+T49+T54+T70</f>
        <v>1875832773.6699998</v>
      </c>
      <c r="U35" s="164">
        <f t="shared" si="6"/>
        <v>861892887</v>
      </c>
      <c r="V35" s="164">
        <f t="shared" si="6"/>
        <v>830909121</v>
      </c>
      <c r="W35" s="164">
        <f t="shared" si="6"/>
        <v>0</v>
      </c>
      <c r="X35" s="164">
        <f t="shared" si="6"/>
        <v>0</v>
      </c>
      <c r="Y35" s="164">
        <f t="shared" si="6"/>
        <v>0</v>
      </c>
      <c r="Z35" s="164">
        <f t="shared" si="6"/>
        <v>184304077.94</v>
      </c>
      <c r="AA35" s="164">
        <f t="shared" si="6"/>
        <v>184278666</v>
      </c>
      <c r="AB35" s="164">
        <f t="shared" si="6"/>
        <v>128170599</v>
      </c>
      <c r="AC35" s="164">
        <f t="shared" si="6"/>
        <v>0</v>
      </c>
      <c r="AD35" s="164">
        <f t="shared" si="6"/>
        <v>0</v>
      </c>
      <c r="AE35" s="164">
        <f t="shared" si="6"/>
        <v>0</v>
      </c>
      <c r="AF35" s="164">
        <f t="shared" si="6"/>
        <v>0</v>
      </c>
      <c r="AG35" s="164">
        <f t="shared" si="6"/>
        <v>0</v>
      </c>
      <c r="AH35" s="164">
        <f t="shared" si="6"/>
        <v>0</v>
      </c>
      <c r="AI35" s="164">
        <f t="shared" si="6"/>
        <v>0</v>
      </c>
      <c r="AJ35" s="164">
        <f t="shared" si="6"/>
        <v>0</v>
      </c>
      <c r="AK35" s="164">
        <f t="shared" si="6"/>
        <v>0</v>
      </c>
      <c r="AL35" s="164">
        <f t="shared" si="6"/>
        <v>0</v>
      </c>
      <c r="AM35" s="164">
        <f t="shared" si="6"/>
        <v>0</v>
      </c>
      <c r="AN35" s="164">
        <f t="shared" si="6"/>
        <v>0</v>
      </c>
      <c r="AO35" s="164">
        <f t="shared" si="6"/>
        <v>0</v>
      </c>
      <c r="AP35" s="164">
        <f t="shared" si="6"/>
        <v>0</v>
      </c>
      <c r="AQ35" s="164">
        <f t="shared" si="6"/>
        <v>0</v>
      </c>
      <c r="AR35" s="164">
        <f t="shared" si="6"/>
        <v>0</v>
      </c>
      <c r="AS35" s="164">
        <f t="shared" si="6"/>
        <v>0</v>
      </c>
      <c r="AT35" s="164">
        <f t="shared" si="6"/>
        <v>0</v>
      </c>
      <c r="AU35" s="164">
        <f t="shared" si="6"/>
        <v>2780436507.1199999</v>
      </c>
      <c r="AV35" s="164">
        <f t="shared" si="6"/>
        <v>2766983630</v>
      </c>
      <c r="AW35" s="164">
        <f t="shared" si="6"/>
        <v>2766983630</v>
      </c>
      <c r="AX35" s="164">
        <f t="shared" si="6"/>
        <v>938870576.74000001</v>
      </c>
      <c r="AY35" s="164">
        <f t="shared" si="6"/>
        <v>252347158</v>
      </c>
      <c r="AZ35" s="164">
        <f t="shared" si="6"/>
        <v>237347158</v>
      </c>
      <c r="BA35" s="164">
        <f t="shared" si="6"/>
        <v>60660648</v>
      </c>
      <c r="BB35" s="164">
        <f t="shared" si="6"/>
        <v>0</v>
      </c>
      <c r="BC35" s="164">
        <f t="shared" si="6"/>
        <v>0</v>
      </c>
      <c r="BD35" s="164">
        <f t="shared" si="6"/>
        <v>0</v>
      </c>
      <c r="BE35" s="164">
        <f t="shared" si="6"/>
        <v>0</v>
      </c>
      <c r="BF35" s="164">
        <f t="shared" si="6"/>
        <v>0</v>
      </c>
      <c r="BG35" s="164">
        <f t="shared" si="6"/>
        <v>5840104583.4699993</v>
      </c>
      <c r="BH35" s="164">
        <f t="shared" si="6"/>
        <v>4065502341</v>
      </c>
      <c r="BI35" s="164">
        <f t="shared" si="6"/>
        <v>3963410508</v>
      </c>
      <c r="BJ35" s="608"/>
      <c r="BK35" s="608"/>
      <c r="BL35" s="608"/>
    </row>
    <row r="36" spans="1:64" ht="15.75" x14ac:dyDescent="0.2">
      <c r="A36" s="382"/>
      <c r="B36" s="222">
        <v>1</v>
      </c>
      <c r="C36" s="138" t="s">
        <v>1</v>
      </c>
      <c r="D36" s="139"/>
      <c r="E36" s="139"/>
      <c r="F36" s="140"/>
      <c r="G36" s="141"/>
      <c r="H36" s="142"/>
      <c r="I36" s="140"/>
      <c r="J36" s="141"/>
      <c r="K36" s="141"/>
      <c r="L36" s="140"/>
      <c r="M36" s="143"/>
      <c r="N36" s="143"/>
      <c r="O36" s="141"/>
      <c r="P36" s="141"/>
      <c r="Q36" s="139"/>
      <c r="R36" s="141"/>
      <c r="S36" s="140"/>
      <c r="T36" s="144">
        <f t="shared" ref="T36:BI36" si="7">T37+T39+T41+T45+T47+T43</f>
        <v>1671410242.8699999</v>
      </c>
      <c r="U36" s="144">
        <f t="shared" si="7"/>
        <v>825042266</v>
      </c>
      <c r="V36" s="144">
        <f t="shared" si="7"/>
        <v>794058500</v>
      </c>
      <c r="W36" s="144">
        <f t="shared" si="7"/>
        <v>0</v>
      </c>
      <c r="X36" s="144">
        <f t="shared" si="7"/>
        <v>0</v>
      </c>
      <c r="Y36" s="144">
        <f t="shared" si="7"/>
        <v>0</v>
      </c>
      <c r="Z36" s="144">
        <f t="shared" si="7"/>
        <v>0</v>
      </c>
      <c r="AA36" s="144">
        <f t="shared" si="7"/>
        <v>0</v>
      </c>
      <c r="AB36" s="144">
        <f t="shared" si="7"/>
        <v>0</v>
      </c>
      <c r="AC36" s="144">
        <f t="shared" si="7"/>
        <v>0</v>
      </c>
      <c r="AD36" s="144">
        <f t="shared" si="7"/>
        <v>0</v>
      </c>
      <c r="AE36" s="144">
        <f t="shared" si="7"/>
        <v>0</v>
      </c>
      <c r="AF36" s="144">
        <f t="shared" si="7"/>
        <v>0</v>
      </c>
      <c r="AG36" s="144">
        <f t="shared" si="7"/>
        <v>0</v>
      </c>
      <c r="AH36" s="144">
        <f t="shared" si="7"/>
        <v>0</v>
      </c>
      <c r="AI36" s="144">
        <f t="shared" si="7"/>
        <v>0</v>
      </c>
      <c r="AJ36" s="144">
        <f t="shared" si="7"/>
        <v>0</v>
      </c>
      <c r="AK36" s="144">
        <f t="shared" si="7"/>
        <v>0</v>
      </c>
      <c r="AL36" s="144">
        <f t="shared" si="7"/>
        <v>0</v>
      </c>
      <c r="AM36" s="144">
        <f t="shared" si="7"/>
        <v>0</v>
      </c>
      <c r="AN36" s="144">
        <f t="shared" si="7"/>
        <v>0</v>
      </c>
      <c r="AO36" s="144">
        <f t="shared" si="7"/>
        <v>0</v>
      </c>
      <c r="AP36" s="144">
        <f t="shared" si="7"/>
        <v>0</v>
      </c>
      <c r="AQ36" s="144">
        <f t="shared" si="7"/>
        <v>0</v>
      </c>
      <c r="AR36" s="144">
        <f t="shared" si="7"/>
        <v>0</v>
      </c>
      <c r="AS36" s="144">
        <f t="shared" si="7"/>
        <v>0</v>
      </c>
      <c r="AT36" s="144">
        <f t="shared" si="7"/>
        <v>0</v>
      </c>
      <c r="AU36" s="144">
        <f t="shared" si="7"/>
        <v>0</v>
      </c>
      <c r="AV36" s="144">
        <f t="shared" si="7"/>
        <v>0</v>
      </c>
      <c r="AW36" s="144">
        <f t="shared" si="7"/>
        <v>0</v>
      </c>
      <c r="AX36" s="144">
        <f t="shared" si="7"/>
        <v>113746979</v>
      </c>
      <c r="AY36" s="144">
        <f t="shared" si="7"/>
        <v>29099854</v>
      </c>
      <c r="AZ36" s="144">
        <f t="shared" si="7"/>
        <v>29099854</v>
      </c>
      <c r="BA36" s="144">
        <f t="shared" si="7"/>
        <v>0</v>
      </c>
      <c r="BB36" s="144">
        <f t="shared" si="7"/>
        <v>0</v>
      </c>
      <c r="BC36" s="144">
        <f t="shared" si="7"/>
        <v>0</v>
      </c>
      <c r="BD36" s="144">
        <f t="shared" si="7"/>
        <v>0</v>
      </c>
      <c r="BE36" s="144">
        <f t="shared" si="7"/>
        <v>0</v>
      </c>
      <c r="BF36" s="144">
        <f t="shared" si="7"/>
        <v>0</v>
      </c>
      <c r="BG36" s="144">
        <f t="shared" si="7"/>
        <v>1785157221.8699999</v>
      </c>
      <c r="BH36" s="144">
        <f t="shared" si="7"/>
        <v>854142120</v>
      </c>
      <c r="BI36" s="144">
        <f t="shared" si="7"/>
        <v>823158354</v>
      </c>
      <c r="BK36" s="608"/>
    </row>
    <row r="37" spans="1:64" ht="21.75" customHeight="1" x14ac:dyDescent="0.2">
      <c r="A37" s="377"/>
      <c r="B37" s="379"/>
      <c r="C37" s="171">
        <v>1</v>
      </c>
      <c r="D37" s="146">
        <v>1202</v>
      </c>
      <c r="E37" s="308" t="s">
        <v>1415</v>
      </c>
      <c r="F37" s="145"/>
      <c r="G37" s="146"/>
      <c r="H37" s="147"/>
      <c r="I37" s="145"/>
      <c r="J37" s="146"/>
      <c r="K37" s="146"/>
      <c r="L37" s="145"/>
      <c r="M37" s="148"/>
      <c r="N37" s="148"/>
      <c r="O37" s="146"/>
      <c r="P37" s="146"/>
      <c r="Q37" s="149"/>
      <c r="R37" s="146"/>
      <c r="S37" s="145"/>
      <c r="T37" s="150">
        <f t="shared" ref="T37:BI37" si="8">T38</f>
        <v>0</v>
      </c>
      <c r="U37" s="150">
        <f t="shared" si="8"/>
        <v>0</v>
      </c>
      <c r="V37" s="150">
        <f t="shared" si="8"/>
        <v>0</v>
      </c>
      <c r="W37" s="150">
        <f t="shared" si="8"/>
        <v>0</v>
      </c>
      <c r="X37" s="150">
        <f t="shared" si="8"/>
        <v>0</v>
      </c>
      <c r="Y37" s="150">
        <f t="shared" si="8"/>
        <v>0</v>
      </c>
      <c r="Z37" s="150">
        <f t="shared" si="8"/>
        <v>0</v>
      </c>
      <c r="AA37" s="150">
        <f t="shared" si="8"/>
        <v>0</v>
      </c>
      <c r="AB37" s="150">
        <f t="shared" si="8"/>
        <v>0</v>
      </c>
      <c r="AC37" s="150">
        <f t="shared" si="8"/>
        <v>0</v>
      </c>
      <c r="AD37" s="150">
        <f t="shared" si="8"/>
        <v>0</v>
      </c>
      <c r="AE37" s="150">
        <f t="shared" si="8"/>
        <v>0</v>
      </c>
      <c r="AF37" s="150">
        <f t="shared" si="8"/>
        <v>0</v>
      </c>
      <c r="AG37" s="150">
        <f t="shared" si="8"/>
        <v>0</v>
      </c>
      <c r="AH37" s="150">
        <f t="shared" si="8"/>
        <v>0</v>
      </c>
      <c r="AI37" s="150">
        <f t="shared" si="8"/>
        <v>0</v>
      </c>
      <c r="AJ37" s="150">
        <f t="shared" si="8"/>
        <v>0</v>
      </c>
      <c r="AK37" s="150">
        <f t="shared" si="8"/>
        <v>0</v>
      </c>
      <c r="AL37" s="150">
        <f t="shared" si="8"/>
        <v>0</v>
      </c>
      <c r="AM37" s="150">
        <f t="shared" si="8"/>
        <v>0</v>
      </c>
      <c r="AN37" s="150">
        <f t="shared" si="8"/>
        <v>0</v>
      </c>
      <c r="AO37" s="150">
        <f t="shared" si="8"/>
        <v>0</v>
      </c>
      <c r="AP37" s="150">
        <f t="shared" si="8"/>
        <v>0</v>
      </c>
      <c r="AQ37" s="150">
        <f t="shared" si="8"/>
        <v>0</v>
      </c>
      <c r="AR37" s="150">
        <f t="shared" si="8"/>
        <v>0</v>
      </c>
      <c r="AS37" s="150">
        <f t="shared" si="8"/>
        <v>0</v>
      </c>
      <c r="AT37" s="150">
        <f t="shared" si="8"/>
        <v>0</v>
      </c>
      <c r="AU37" s="150">
        <f t="shared" si="8"/>
        <v>0</v>
      </c>
      <c r="AV37" s="150">
        <f t="shared" si="8"/>
        <v>0</v>
      </c>
      <c r="AW37" s="150">
        <f t="shared" si="8"/>
        <v>0</v>
      </c>
      <c r="AX37" s="150">
        <f t="shared" si="8"/>
        <v>3000000</v>
      </c>
      <c r="AY37" s="150">
        <f t="shared" si="8"/>
        <v>1999898</v>
      </c>
      <c r="AZ37" s="150">
        <f t="shared" si="8"/>
        <v>1999898</v>
      </c>
      <c r="BA37" s="150">
        <f t="shared" si="8"/>
        <v>0</v>
      </c>
      <c r="BB37" s="150">
        <f t="shared" si="8"/>
        <v>0</v>
      </c>
      <c r="BC37" s="150">
        <f t="shared" si="8"/>
        <v>0</v>
      </c>
      <c r="BD37" s="150">
        <f t="shared" si="8"/>
        <v>0</v>
      </c>
      <c r="BE37" s="150">
        <f t="shared" si="8"/>
        <v>0</v>
      </c>
      <c r="BF37" s="150">
        <f t="shared" si="8"/>
        <v>0</v>
      </c>
      <c r="BG37" s="150">
        <f t="shared" si="8"/>
        <v>3000000</v>
      </c>
      <c r="BH37" s="150">
        <f t="shared" si="8"/>
        <v>1999898</v>
      </c>
      <c r="BI37" s="150">
        <f t="shared" si="8"/>
        <v>1999898</v>
      </c>
      <c r="BK37" s="608"/>
    </row>
    <row r="38" spans="1:64" ht="201" customHeight="1" x14ac:dyDescent="0.2">
      <c r="A38" s="377"/>
      <c r="B38" s="380"/>
      <c r="C38" s="322"/>
      <c r="D38" s="323"/>
      <c r="E38" s="305">
        <v>1202</v>
      </c>
      <c r="F38" s="169" t="s">
        <v>174</v>
      </c>
      <c r="G38" s="175" t="s">
        <v>175</v>
      </c>
      <c r="H38" s="305" t="s">
        <v>83</v>
      </c>
      <c r="I38" s="31" t="s">
        <v>176</v>
      </c>
      <c r="J38" s="175" t="s">
        <v>177</v>
      </c>
      <c r="K38" s="305" t="s">
        <v>83</v>
      </c>
      <c r="L38" s="31" t="s">
        <v>178</v>
      </c>
      <c r="M38" s="305" t="s">
        <v>179</v>
      </c>
      <c r="N38" s="305">
        <v>12</v>
      </c>
      <c r="O38" s="175">
        <v>1</v>
      </c>
      <c r="P38" s="175">
        <v>1</v>
      </c>
      <c r="Q38" s="367" t="s">
        <v>292</v>
      </c>
      <c r="R38" s="305" t="s">
        <v>180</v>
      </c>
      <c r="S38" s="306" t="s">
        <v>181</v>
      </c>
      <c r="T38" s="170"/>
      <c r="U38" s="170"/>
      <c r="V38" s="170"/>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33">
        <v>3000000</v>
      </c>
      <c r="AY38" s="33">
        <v>1999898</v>
      </c>
      <c r="AZ38" s="33">
        <v>1999898</v>
      </c>
      <c r="BA38" s="27"/>
      <c r="BB38" s="27"/>
      <c r="BC38" s="27"/>
      <c r="BD38" s="30"/>
      <c r="BE38" s="30"/>
      <c r="BF38" s="30"/>
      <c r="BG38" s="151">
        <f>+T38+W38+Z38+AC38+AF38+AI38+AL38+AO38+AR38+AU38+AX38+BA38+BD38</f>
        <v>3000000</v>
      </c>
      <c r="BH38" s="151">
        <f>+U38+X38+AA38+AD38+AG38+AJ38+AM38+AP38+AS38+AV38+AY38+BB38+BE38</f>
        <v>1999898</v>
      </c>
      <c r="BI38" s="151">
        <f>+V38+Y38+AB38+AE38+AH38+AK38+AN38+AQ38+AT38+AW38+AZ38+BC38+BF38</f>
        <v>1999898</v>
      </c>
      <c r="BK38" s="608"/>
    </row>
    <row r="39" spans="1:64" ht="18.75" customHeight="1" x14ac:dyDescent="0.2">
      <c r="A39" s="377"/>
      <c r="B39" s="380"/>
      <c r="C39" s="171">
        <v>13</v>
      </c>
      <c r="D39" s="146">
        <v>1906</v>
      </c>
      <c r="E39" s="308" t="s">
        <v>182</v>
      </c>
      <c r="F39" s="145"/>
      <c r="G39" s="146"/>
      <c r="H39" s="147"/>
      <c r="I39" s="145"/>
      <c r="J39" s="146"/>
      <c r="K39" s="146"/>
      <c r="L39" s="145"/>
      <c r="M39" s="148"/>
      <c r="N39" s="148"/>
      <c r="O39" s="146"/>
      <c r="P39" s="146"/>
      <c r="Q39" s="368"/>
      <c r="R39" s="146"/>
      <c r="S39" s="145"/>
      <c r="T39" s="150">
        <f t="shared" ref="T39:BI39" si="9">T40</f>
        <v>0</v>
      </c>
      <c r="U39" s="150">
        <f t="shared" si="9"/>
        <v>0</v>
      </c>
      <c r="V39" s="150">
        <f t="shared" si="9"/>
        <v>0</v>
      </c>
      <c r="W39" s="150">
        <f t="shared" si="9"/>
        <v>0</v>
      </c>
      <c r="X39" s="150">
        <f t="shared" si="9"/>
        <v>0</v>
      </c>
      <c r="Y39" s="150">
        <f t="shared" si="9"/>
        <v>0</v>
      </c>
      <c r="Z39" s="150">
        <f t="shared" si="9"/>
        <v>0</v>
      </c>
      <c r="AA39" s="150">
        <f t="shared" si="9"/>
        <v>0</v>
      </c>
      <c r="AB39" s="150">
        <f t="shared" si="9"/>
        <v>0</v>
      </c>
      <c r="AC39" s="150">
        <f t="shared" si="9"/>
        <v>0</v>
      </c>
      <c r="AD39" s="150">
        <f t="shared" si="9"/>
        <v>0</v>
      </c>
      <c r="AE39" s="150">
        <f t="shared" si="9"/>
        <v>0</v>
      </c>
      <c r="AF39" s="150">
        <f t="shared" si="9"/>
        <v>0</v>
      </c>
      <c r="AG39" s="150">
        <f t="shared" si="9"/>
        <v>0</v>
      </c>
      <c r="AH39" s="150">
        <f t="shared" si="9"/>
        <v>0</v>
      </c>
      <c r="AI39" s="150">
        <f t="shared" si="9"/>
        <v>0</v>
      </c>
      <c r="AJ39" s="150">
        <f t="shared" si="9"/>
        <v>0</v>
      </c>
      <c r="AK39" s="150">
        <f t="shared" si="9"/>
        <v>0</v>
      </c>
      <c r="AL39" s="150">
        <f t="shared" si="9"/>
        <v>0</v>
      </c>
      <c r="AM39" s="150">
        <f t="shared" si="9"/>
        <v>0</v>
      </c>
      <c r="AN39" s="150">
        <f t="shared" si="9"/>
        <v>0</v>
      </c>
      <c r="AO39" s="150">
        <f t="shared" si="9"/>
        <v>0</v>
      </c>
      <c r="AP39" s="150">
        <f t="shared" si="9"/>
        <v>0</v>
      </c>
      <c r="AQ39" s="150">
        <f t="shared" si="9"/>
        <v>0</v>
      </c>
      <c r="AR39" s="150">
        <f t="shared" si="9"/>
        <v>0</v>
      </c>
      <c r="AS39" s="150">
        <f t="shared" si="9"/>
        <v>0</v>
      </c>
      <c r="AT39" s="150">
        <f t="shared" si="9"/>
        <v>0</v>
      </c>
      <c r="AU39" s="150">
        <f t="shared" si="9"/>
        <v>0</v>
      </c>
      <c r="AV39" s="150">
        <f t="shared" si="9"/>
        <v>0</v>
      </c>
      <c r="AW39" s="150">
        <f t="shared" si="9"/>
        <v>0</v>
      </c>
      <c r="AX39" s="150">
        <f t="shared" si="9"/>
        <v>60746979</v>
      </c>
      <c r="AY39" s="150">
        <f t="shared" si="9"/>
        <v>0</v>
      </c>
      <c r="AZ39" s="150">
        <f t="shared" si="9"/>
        <v>0</v>
      </c>
      <c r="BA39" s="150">
        <f t="shared" si="9"/>
        <v>0</v>
      </c>
      <c r="BB39" s="150">
        <f t="shared" si="9"/>
        <v>0</v>
      </c>
      <c r="BC39" s="150">
        <f t="shared" si="9"/>
        <v>0</v>
      </c>
      <c r="BD39" s="150">
        <f t="shared" si="9"/>
        <v>0</v>
      </c>
      <c r="BE39" s="150">
        <f t="shared" si="9"/>
        <v>0</v>
      </c>
      <c r="BF39" s="150">
        <f t="shared" si="9"/>
        <v>0</v>
      </c>
      <c r="BG39" s="150">
        <f t="shared" si="9"/>
        <v>60746979</v>
      </c>
      <c r="BH39" s="150">
        <f t="shared" si="9"/>
        <v>0</v>
      </c>
      <c r="BI39" s="150">
        <f t="shared" si="9"/>
        <v>0</v>
      </c>
      <c r="BK39" s="608"/>
    </row>
    <row r="40" spans="1:64" ht="112.5" customHeight="1" x14ac:dyDescent="0.2">
      <c r="A40" s="377"/>
      <c r="B40" s="380"/>
      <c r="C40" s="322"/>
      <c r="D40" s="323"/>
      <c r="E40" s="305">
        <v>1906</v>
      </c>
      <c r="F40" s="307" t="s">
        <v>183</v>
      </c>
      <c r="G40" s="313" t="s">
        <v>184</v>
      </c>
      <c r="H40" s="305" t="s">
        <v>83</v>
      </c>
      <c r="I40" s="31" t="s">
        <v>185</v>
      </c>
      <c r="J40" s="261" t="s">
        <v>186</v>
      </c>
      <c r="K40" s="305" t="s">
        <v>83</v>
      </c>
      <c r="L40" s="265" t="s">
        <v>187</v>
      </c>
      <c r="M40" s="305" t="s">
        <v>179</v>
      </c>
      <c r="N40" s="305">
        <v>5</v>
      </c>
      <c r="O40" s="175">
        <v>2</v>
      </c>
      <c r="P40" s="175">
        <v>2</v>
      </c>
      <c r="Q40" s="367" t="s">
        <v>188</v>
      </c>
      <c r="R40" s="305" t="s">
        <v>189</v>
      </c>
      <c r="S40" s="307" t="s">
        <v>190</v>
      </c>
      <c r="T40" s="170">
        <f>+T42-628874337</f>
        <v>0</v>
      </c>
      <c r="U40" s="170"/>
      <c r="V40" s="170"/>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33">
        <f>2000000+58746979</f>
        <v>60746979</v>
      </c>
      <c r="AY40" s="33">
        <v>0</v>
      </c>
      <c r="AZ40" s="33">
        <v>0</v>
      </c>
      <c r="BA40" s="27"/>
      <c r="BB40" s="27"/>
      <c r="BC40" s="27"/>
      <c r="BD40" s="30"/>
      <c r="BE40" s="30"/>
      <c r="BF40" s="30"/>
      <c r="BG40" s="151">
        <f>+T40+W40+Z40+AC40+AF40+AI40+AL40+AO40+AR40+AU40+AX40+BA40+BD40</f>
        <v>60746979</v>
      </c>
      <c r="BH40" s="151">
        <f>+U40+X40+AA40+AD40+AG40+AJ40+AM40+AP40+AS40+AV40+AY40+BB40+BE40</f>
        <v>0</v>
      </c>
      <c r="BI40" s="151">
        <f>+V40+Y40+AB40+AE40+AH40+AK40+AN40+AQ40+AT40+AW40+AZ40+BC40+BF40</f>
        <v>0</v>
      </c>
      <c r="BK40" s="608"/>
    </row>
    <row r="41" spans="1:64" ht="21" customHeight="1" x14ac:dyDescent="0.2">
      <c r="A41" s="377"/>
      <c r="B41" s="380"/>
      <c r="C41" s="171">
        <v>15</v>
      </c>
      <c r="D41" s="146">
        <v>2201</v>
      </c>
      <c r="E41" s="308" t="s">
        <v>191</v>
      </c>
      <c r="F41" s="145"/>
      <c r="G41" s="146"/>
      <c r="H41" s="147"/>
      <c r="I41" s="145" t="s">
        <v>192</v>
      </c>
      <c r="J41" s="146"/>
      <c r="K41" s="146"/>
      <c r="L41" s="145"/>
      <c r="M41" s="148"/>
      <c r="N41" s="148"/>
      <c r="O41" s="146"/>
      <c r="P41" s="146"/>
      <c r="Q41" s="368"/>
      <c r="R41" s="146"/>
      <c r="S41" s="145"/>
      <c r="T41" s="150">
        <f t="shared" ref="T41:BI41" si="10">T42</f>
        <v>628874337</v>
      </c>
      <c r="U41" s="150">
        <f t="shared" si="10"/>
        <v>310970132.10000002</v>
      </c>
      <c r="V41" s="150">
        <f t="shared" si="10"/>
        <v>310970132.10000002</v>
      </c>
      <c r="W41" s="150">
        <f t="shared" si="10"/>
        <v>0</v>
      </c>
      <c r="X41" s="150">
        <f t="shared" si="10"/>
        <v>0</v>
      </c>
      <c r="Y41" s="150">
        <f t="shared" si="10"/>
        <v>0</v>
      </c>
      <c r="Z41" s="150">
        <f t="shared" si="10"/>
        <v>0</v>
      </c>
      <c r="AA41" s="150">
        <f t="shared" si="10"/>
        <v>0</v>
      </c>
      <c r="AB41" s="150">
        <f t="shared" si="10"/>
        <v>0</v>
      </c>
      <c r="AC41" s="150">
        <f t="shared" si="10"/>
        <v>0</v>
      </c>
      <c r="AD41" s="150">
        <f t="shared" si="10"/>
        <v>0</v>
      </c>
      <c r="AE41" s="150">
        <f t="shared" si="10"/>
        <v>0</v>
      </c>
      <c r="AF41" s="150">
        <f t="shared" si="10"/>
        <v>0</v>
      </c>
      <c r="AG41" s="150">
        <f t="shared" si="10"/>
        <v>0</v>
      </c>
      <c r="AH41" s="150">
        <f t="shared" si="10"/>
        <v>0</v>
      </c>
      <c r="AI41" s="150">
        <f t="shared" si="10"/>
        <v>0</v>
      </c>
      <c r="AJ41" s="150">
        <f t="shared" si="10"/>
        <v>0</v>
      </c>
      <c r="AK41" s="150">
        <f t="shared" si="10"/>
        <v>0</v>
      </c>
      <c r="AL41" s="150">
        <f t="shared" si="10"/>
        <v>0</v>
      </c>
      <c r="AM41" s="150">
        <f t="shared" si="10"/>
        <v>0</v>
      </c>
      <c r="AN41" s="150">
        <f t="shared" si="10"/>
        <v>0</v>
      </c>
      <c r="AO41" s="150">
        <f t="shared" si="10"/>
        <v>0</v>
      </c>
      <c r="AP41" s="150">
        <f t="shared" si="10"/>
        <v>0</v>
      </c>
      <c r="AQ41" s="150">
        <f t="shared" si="10"/>
        <v>0</v>
      </c>
      <c r="AR41" s="150">
        <f t="shared" si="10"/>
        <v>0</v>
      </c>
      <c r="AS41" s="150">
        <f t="shared" si="10"/>
        <v>0</v>
      </c>
      <c r="AT41" s="150">
        <f t="shared" si="10"/>
        <v>0</v>
      </c>
      <c r="AU41" s="150">
        <f t="shared" si="10"/>
        <v>0</v>
      </c>
      <c r="AV41" s="150">
        <f t="shared" si="10"/>
        <v>0</v>
      </c>
      <c r="AW41" s="150">
        <f t="shared" si="10"/>
        <v>0</v>
      </c>
      <c r="AX41" s="150">
        <f t="shared" si="10"/>
        <v>0</v>
      </c>
      <c r="AY41" s="150">
        <f t="shared" si="10"/>
        <v>0</v>
      </c>
      <c r="AZ41" s="150">
        <f t="shared" si="10"/>
        <v>0</v>
      </c>
      <c r="BA41" s="150">
        <f t="shared" si="10"/>
        <v>0</v>
      </c>
      <c r="BB41" s="150">
        <f t="shared" si="10"/>
        <v>0</v>
      </c>
      <c r="BC41" s="150">
        <f t="shared" si="10"/>
        <v>0</v>
      </c>
      <c r="BD41" s="150">
        <f t="shared" si="10"/>
        <v>0</v>
      </c>
      <c r="BE41" s="150">
        <f t="shared" si="10"/>
        <v>0</v>
      </c>
      <c r="BF41" s="150">
        <f t="shared" si="10"/>
        <v>0</v>
      </c>
      <c r="BG41" s="150">
        <f t="shared" si="10"/>
        <v>628874337</v>
      </c>
      <c r="BH41" s="150">
        <f t="shared" si="10"/>
        <v>310970132.10000002</v>
      </c>
      <c r="BI41" s="150">
        <f t="shared" si="10"/>
        <v>310970132.10000002</v>
      </c>
      <c r="BK41" s="608"/>
    </row>
    <row r="42" spans="1:64" ht="90" customHeight="1" x14ac:dyDescent="0.2">
      <c r="A42" s="377"/>
      <c r="B42" s="380"/>
      <c r="C42" s="322"/>
      <c r="D42" s="323"/>
      <c r="E42" s="305">
        <v>2201</v>
      </c>
      <c r="F42" s="307" t="s">
        <v>193</v>
      </c>
      <c r="G42" s="313" t="s">
        <v>194</v>
      </c>
      <c r="H42" s="305" t="s">
        <v>83</v>
      </c>
      <c r="I42" s="306" t="s">
        <v>195</v>
      </c>
      <c r="J42" s="601" t="s">
        <v>196</v>
      </c>
      <c r="K42" s="305" t="s">
        <v>83</v>
      </c>
      <c r="L42" s="306" t="s">
        <v>197</v>
      </c>
      <c r="M42" s="305" t="s">
        <v>179</v>
      </c>
      <c r="N42" s="305">
        <v>54</v>
      </c>
      <c r="O42" s="305">
        <v>9</v>
      </c>
      <c r="P42" s="305">
        <v>0</v>
      </c>
      <c r="Q42" s="365" t="s">
        <v>198</v>
      </c>
      <c r="R42" s="305" t="s">
        <v>199</v>
      </c>
      <c r="S42" s="306" t="s">
        <v>200</v>
      </c>
      <c r="T42" s="170">
        <f>2575091000-645788600-1300428063</f>
        <v>628874337</v>
      </c>
      <c r="U42" s="170">
        <v>310970132.10000002</v>
      </c>
      <c r="V42" s="170">
        <v>310970132.10000002</v>
      </c>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33"/>
      <c r="AY42" s="33"/>
      <c r="AZ42" s="33"/>
      <c r="BA42" s="27"/>
      <c r="BB42" s="27"/>
      <c r="BC42" s="27"/>
      <c r="BD42" s="30"/>
      <c r="BE42" s="30"/>
      <c r="BF42" s="30"/>
      <c r="BG42" s="151">
        <f>+T42+W42+Z42+AC42+AF42+AI42+AL42+AO42+AR42+AU42+AX42+BA42+BD42</f>
        <v>628874337</v>
      </c>
      <c r="BH42" s="151">
        <f>+U42+X42+AA42+AD42+AG42+AJ42+AM42+AP42+AS42+AV42+AY42+BB42+BE42</f>
        <v>310970132.10000002</v>
      </c>
      <c r="BI42" s="151">
        <f>+V42+Y42+AB42+AE42+AH42+AK42+AN42+AQ42+AT42+AW42+AZ42+BC42+BF42</f>
        <v>310970132.10000002</v>
      </c>
      <c r="BK42" s="608"/>
    </row>
    <row r="43" spans="1:64" ht="20.25" customHeight="1" x14ac:dyDescent="0.2">
      <c r="A43" s="377"/>
      <c r="B43" s="380"/>
      <c r="C43" s="171">
        <v>25</v>
      </c>
      <c r="D43" s="146">
        <v>3301</v>
      </c>
      <c r="E43" s="308" t="s">
        <v>201</v>
      </c>
      <c r="F43" s="145"/>
      <c r="G43" s="146"/>
      <c r="H43" s="147"/>
      <c r="I43" s="145"/>
      <c r="J43" s="146"/>
      <c r="K43" s="146"/>
      <c r="L43" s="145"/>
      <c r="M43" s="148"/>
      <c r="N43" s="148"/>
      <c r="O43" s="146"/>
      <c r="P43" s="146"/>
      <c r="Q43" s="368"/>
      <c r="R43" s="146"/>
      <c r="S43" s="145"/>
      <c r="T43" s="150">
        <f t="shared" ref="T43:BF43" si="11">SUM(T44)</f>
        <v>0</v>
      </c>
      <c r="U43" s="150">
        <f t="shared" si="11"/>
        <v>0</v>
      </c>
      <c r="V43" s="150">
        <f t="shared" si="11"/>
        <v>0</v>
      </c>
      <c r="W43" s="150">
        <f t="shared" si="11"/>
        <v>0</v>
      </c>
      <c r="X43" s="150">
        <f t="shared" si="11"/>
        <v>0</v>
      </c>
      <c r="Y43" s="150">
        <f t="shared" si="11"/>
        <v>0</v>
      </c>
      <c r="Z43" s="150">
        <f t="shared" si="11"/>
        <v>0</v>
      </c>
      <c r="AA43" s="150">
        <f t="shared" si="11"/>
        <v>0</v>
      </c>
      <c r="AB43" s="150">
        <f t="shared" si="11"/>
        <v>0</v>
      </c>
      <c r="AC43" s="150">
        <f t="shared" si="11"/>
        <v>0</v>
      </c>
      <c r="AD43" s="150">
        <f t="shared" si="11"/>
        <v>0</v>
      </c>
      <c r="AE43" s="150">
        <f t="shared" si="11"/>
        <v>0</v>
      </c>
      <c r="AF43" s="150">
        <f t="shared" si="11"/>
        <v>0</v>
      </c>
      <c r="AG43" s="150">
        <f t="shared" si="11"/>
        <v>0</v>
      </c>
      <c r="AH43" s="150">
        <f t="shared" si="11"/>
        <v>0</v>
      </c>
      <c r="AI43" s="150">
        <f t="shared" si="11"/>
        <v>0</v>
      </c>
      <c r="AJ43" s="150">
        <f t="shared" si="11"/>
        <v>0</v>
      </c>
      <c r="AK43" s="150">
        <f t="shared" si="11"/>
        <v>0</v>
      </c>
      <c r="AL43" s="150">
        <f t="shared" si="11"/>
        <v>0</v>
      </c>
      <c r="AM43" s="150">
        <f t="shared" si="11"/>
        <v>0</v>
      </c>
      <c r="AN43" s="150">
        <f t="shared" si="11"/>
        <v>0</v>
      </c>
      <c r="AO43" s="150">
        <f t="shared" si="11"/>
        <v>0</v>
      </c>
      <c r="AP43" s="150">
        <f t="shared" si="11"/>
        <v>0</v>
      </c>
      <c r="AQ43" s="150">
        <f t="shared" si="11"/>
        <v>0</v>
      </c>
      <c r="AR43" s="150">
        <f t="shared" si="11"/>
        <v>0</v>
      </c>
      <c r="AS43" s="150">
        <f t="shared" si="11"/>
        <v>0</v>
      </c>
      <c r="AT43" s="150">
        <f t="shared" si="11"/>
        <v>0</v>
      </c>
      <c r="AU43" s="150">
        <f t="shared" si="11"/>
        <v>0</v>
      </c>
      <c r="AV43" s="150">
        <f t="shared" si="11"/>
        <v>0</v>
      </c>
      <c r="AW43" s="150">
        <f t="shared" si="11"/>
        <v>0</v>
      </c>
      <c r="AX43" s="150">
        <f t="shared" si="11"/>
        <v>50000000</v>
      </c>
      <c r="AY43" s="150">
        <f t="shared" si="11"/>
        <v>27099956</v>
      </c>
      <c r="AZ43" s="150">
        <f t="shared" si="11"/>
        <v>27099956</v>
      </c>
      <c r="BA43" s="150">
        <f t="shared" si="11"/>
        <v>0</v>
      </c>
      <c r="BB43" s="150">
        <f t="shared" si="11"/>
        <v>0</v>
      </c>
      <c r="BC43" s="150">
        <f t="shared" si="11"/>
        <v>0</v>
      </c>
      <c r="BD43" s="150">
        <f t="shared" si="11"/>
        <v>0</v>
      </c>
      <c r="BE43" s="150">
        <f t="shared" si="11"/>
        <v>0</v>
      </c>
      <c r="BF43" s="150">
        <f t="shared" si="11"/>
        <v>0</v>
      </c>
      <c r="BG43" s="150">
        <f>SUM(BG44)</f>
        <v>50000000</v>
      </c>
      <c r="BH43" s="150">
        <f>SUM(BH44)</f>
        <v>27099956</v>
      </c>
      <c r="BI43" s="150">
        <f>SUM(BI44)</f>
        <v>27099956</v>
      </c>
      <c r="BK43" s="608"/>
    </row>
    <row r="44" spans="1:64" ht="78" customHeight="1" x14ac:dyDescent="0.2">
      <c r="A44" s="377"/>
      <c r="B44" s="380"/>
      <c r="C44" s="322"/>
      <c r="D44" s="323"/>
      <c r="E44" s="314">
        <v>3301</v>
      </c>
      <c r="F44" s="307" t="s">
        <v>1465</v>
      </c>
      <c r="G44" s="261" t="s">
        <v>202</v>
      </c>
      <c r="H44" s="305" t="s">
        <v>203</v>
      </c>
      <c r="I44" s="306" t="s">
        <v>204</v>
      </c>
      <c r="J44" s="175" t="s">
        <v>205</v>
      </c>
      <c r="K44" s="175" t="s">
        <v>206</v>
      </c>
      <c r="L44" s="31" t="s">
        <v>207</v>
      </c>
      <c r="M44" s="305" t="s">
        <v>179</v>
      </c>
      <c r="N44" s="305">
        <v>10</v>
      </c>
      <c r="O44" s="175">
        <v>1</v>
      </c>
      <c r="P44" s="175">
        <v>5</v>
      </c>
      <c r="Q44" s="365" t="s">
        <v>208</v>
      </c>
      <c r="R44" s="305" t="s">
        <v>199</v>
      </c>
      <c r="S44" s="306" t="s">
        <v>200</v>
      </c>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511">
        <f>20000000+30000000</f>
        <v>50000000</v>
      </c>
      <c r="AY44" s="511">
        <v>27099956</v>
      </c>
      <c r="AZ44" s="511">
        <v>27099956</v>
      </c>
      <c r="BA44" s="27"/>
      <c r="BB44" s="27"/>
      <c r="BC44" s="27"/>
      <c r="BD44" s="27"/>
      <c r="BE44" s="27"/>
      <c r="BF44" s="27"/>
      <c r="BG44" s="151">
        <f>+T44+W44+Z44+AC44+AF44+AI44+AL44+AO44+AR44+AU44+AX44+BA44+BD44</f>
        <v>50000000</v>
      </c>
      <c r="BH44" s="151">
        <f>+U44+X44+AA44+AD44+AG44+AJ44+AM44+AP44+AS44+AV44+AY44+BB44+BE44</f>
        <v>27099956</v>
      </c>
      <c r="BI44" s="151">
        <f>+V44+Y44+AB44+AE44+AH44+AK44+AN44+AQ44+AT44+AW44+AZ44+BC44+BF44</f>
        <v>27099956</v>
      </c>
      <c r="BK44" s="608"/>
    </row>
    <row r="45" spans="1:64" ht="23.25" customHeight="1" x14ac:dyDescent="0.2">
      <c r="A45" s="377"/>
      <c r="B45" s="380"/>
      <c r="C45" s="171">
        <v>39</v>
      </c>
      <c r="D45" s="146">
        <v>4301</v>
      </c>
      <c r="E45" s="308" t="s">
        <v>209</v>
      </c>
      <c r="F45" s="145"/>
      <c r="G45" s="146"/>
      <c r="H45" s="147"/>
      <c r="I45" s="145"/>
      <c r="J45" s="146"/>
      <c r="K45" s="146"/>
      <c r="L45" s="145"/>
      <c r="M45" s="148"/>
      <c r="N45" s="148"/>
      <c r="O45" s="146"/>
      <c r="P45" s="146"/>
      <c r="Q45" s="368"/>
      <c r="R45" s="146"/>
      <c r="S45" s="145"/>
      <c r="T45" s="150">
        <f t="shared" ref="T45:BI45" si="12">T46</f>
        <v>977810591.28999996</v>
      </c>
      <c r="U45" s="150">
        <f t="shared" si="12"/>
        <v>514072133.89999998</v>
      </c>
      <c r="V45" s="150">
        <f t="shared" si="12"/>
        <v>483088367.89999998</v>
      </c>
      <c r="W45" s="150">
        <f t="shared" si="12"/>
        <v>0</v>
      </c>
      <c r="X45" s="150">
        <f t="shared" si="12"/>
        <v>0</v>
      </c>
      <c r="Y45" s="150">
        <f t="shared" si="12"/>
        <v>0</v>
      </c>
      <c r="Z45" s="150">
        <f t="shared" si="12"/>
        <v>0</v>
      </c>
      <c r="AA45" s="150">
        <f t="shared" si="12"/>
        <v>0</v>
      </c>
      <c r="AB45" s="150">
        <f t="shared" si="12"/>
        <v>0</v>
      </c>
      <c r="AC45" s="150">
        <f t="shared" si="12"/>
        <v>0</v>
      </c>
      <c r="AD45" s="150">
        <f t="shared" si="12"/>
        <v>0</v>
      </c>
      <c r="AE45" s="150">
        <f t="shared" si="12"/>
        <v>0</v>
      </c>
      <c r="AF45" s="150">
        <f t="shared" si="12"/>
        <v>0</v>
      </c>
      <c r="AG45" s="150">
        <f t="shared" si="12"/>
        <v>0</v>
      </c>
      <c r="AH45" s="150">
        <f t="shared" si="12"/>
        <v>0</v>
      </c>
      <c r="AI45" s="150">
        <f t="shared" si="12"/>
        <v>0</v>
      </c>
      <c r="AJ45" s="150">
        <f t="shared" si="12"/>
        <v>0</v>
      </c>
      <c r="AK45" s="150">
        <f t="shared" si="12"/>
        <v>0</v>
      </c>
      <c r="AL45" s="150">
        <f t="shared" si="12"/>
        <v>0</v>
      </c>
      <c r="AM45" s="150">
        <f t="shared" si="12"/>
        <v>0</v>
      </c>
      <c r="AN45" s="150">
        <f t="shared" si="12"/>
        <v>0</v>
      </c>
      <c r="AO45" s="150">
        <f t="shared" si="12"/>
        <v>0</v>
      </c>
      <c r="AP45" s="150">
        <f t="shared" si="12"/>
        <v>0</v>
      </c>
      <c r="AQ45" s="150">
        <f t="shared" si="12"/>
        <v>0</v>
      </c>
      <c r="AR45" s="150">
        <f t="shared" si="12"/>
        <v>0</v>
      </c>
      <c r="AS45" s="150">
        <f t="shared" si="12"/>
        <v>0</v>
      </c>
      <c r="AT45" s="150">
        <f t="shared" si="12"/>
        <v>0</v>
      </c>
      <c r="AU45" s="150">
        <f t="shared" si="12"/>
        <v>0</v>
      </c>
      <c r="AV45" s="150">
        <f t="shared" si="12"/>
        <v>0</v>
      </c>
      <c r="AW45" s="150">
        <f t="shared" si="12"/>
        <v>0</v>
      </c>
      <c r="AX45" s="150">
        <f t="shared" si="12"/>
        <v>0</v>
      </c>
      <c r="AY45" s="150">
        <f t="shared" si="12"/>
        <v>0</v>
      </c>
      <c r="AZ45" s="150">
        <f t="shared" si="12"/>
        <v>0</v>
      </c>
      <c r="BA45" s="150">
        <f t="shared" si="12"/>
        <v>0</v>
      </c>
      <c r="BB45" s="150">
        <f t="shared" si="12"/>
        <v>0</v>
      </c>
      <c r="BC45" s="150">
        <f t="shared" si="12"/>
        <v>0</v>
      </c>
      <c r="BD45" s="150">
        <f t="shared" si="12"/>
        <v>0</v>
      </c>
      <c r="BE45" s="150">
        <f t="shared" si="12"/>
        <v>0</v>
      </c>
      <c r="BF45" s="150">
        <f t="shared" si="12"/>
        <v>0</v>
      </c>
      <c r="BG45" s="150">
        <f t="shared" si="12"/>
        <v>977810591.28999996</v>
      </c>
      <c r="BH45" s="150">
        <f t="shared" si="12"/>
        <v>514072133.89999998</v>
      </c>
      <c r="BI45" s="150">
        <f t="shared" si="12"/>
        <v>483088367.89999998</v>
      </c>
      <c r="BK45" s="608"/>
    </row>
    <row r="46" spans="1:64" ht="139.5" customHeight="1" x14ac:dyDescent="0.2">
      <c r="A46" s="377"/>
      <c r="B46" s="380"/>
      <c r="C46" s="322"/>
      <c r="D46" s="323"/>
      <c r="E46" s="305">
        <v>4301</v>
      </c>
      <c r="F46" s="169" t="s">
        <v>210</v>
      </c>
      <c r="G46" s="173" t="s">
        <v>211</v>
      </c>
      <c r="H46" s="305" t="s">
        <v>83</v>
      </c>
      <c r="I46" s="31" t="s">
        <v>212</v>
      </c>
      <c r="J46" s="175" t="s">
        <v>213</v>
      </c>
      <c r="K46" s="305" t="s">
        <v>83</v>
      </c>
      <c r="L46" s="31" t="s">
        <v>214</v>
      </c>
      <c r="M46" s="305" t="s">
        <v>179</v>
      </c>
      <c r="N46" s="305">
        <v>12</v>
      </c>
      <c r="O46" s="175">
        <v>3</v>
      </c>
      <c r="P46" s="175">
        <v>3</v>
      </c>
      <c r="Q46" s="367" t="s">
        <v>215</v>
      </c>
      <c r="R46" s="305" t="s">
        <v>199</v>
      </c>
      <c r="S46" s="306" t="s">
        <v>200</v>
      </c>
      <c r="T46" s="174">
        <f>1668660141.5-690849550.21</f>
        <v>977810591.28999996</v>
      </c>
      <c r="U46" s="519">
        <v>514072133.89999998</v>
      </c>
      <c r="V46" s="519">
        <v>483088367.89999998</v>
      </c>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33"/>
      <c r="AY46" s="33"/>
      <c r="AZ46" s="33"/>
      <c r="BA46" s="27"/>
      <c r="BB46" s="27"/>
      <c r="BC46" s="27"/>
      <c r="BD46" s="27"/>
      <c r="BE46" s="27"/>
      <c r="BF46" s="27"/>
      <c r="BG46" s="151">
        <f>+T46+W46+Z46+AC46+AF46+AI46+AL46+AO46+AR46+AU46+AX46+BA46+BD46</f>
        <v>977810591.28999996</v>
      </c>
      <c r="BH46" s="151">
        <f>+U46+X46+AA46+AD46+AG46+AJ46+AM46+AP46+AS46+AV46+AY46+BB46+BE46</f>
        <v>514072133.89999998</v>
      </c>
      <c r="BI46" s="151">
        <f>+V46+Y46+AB46+AE46+AH46+AK46+AN46+AQ46+AT46+AW46+AZ46+BC46+BF46</f>
        <v>483088367.89999998</v>
      </c>
      <c r="BK46" s="608"/>
    </row>
    <row r="47" spans="1:64" ht="21.75" customHeight="1" x14ac:dyDescent="0.2">
      <c r="A47" s="377"/>
      <c r="B47" s="380"/>
      <c r="C47" s="171">
        <v>40</v>
      </c>
      <c r="D47" s="146">
        <v>4302</v>
      </c>
      <c r="E47" s="308" t="s">
        <v>216</v>
      </c>
      <c r="F47" s="145"/>
      <c r="G47" s="146"/>
      <c r="H47" s="147"/>
      <c r="I47" s="145"/>
      <c r="J47" s="146"/>
      <c r="K47" s="146"/>
      <c r="L47" s="145"/>
      <c r="M47" s="148"/>
      <c r="N47" s="148"/>
      <c r="O47" s="146"/>
      <c r="P47" s="146"/>
      <c r="Q47" s="368"/>
      <c r="R47" s="146"/>
      <c r="S47" s="145"/>
      <c r="T47" s="150">
        <f t="shared" ref="T47:BI47" si="13">T48</f>
        <v>64725314.580000043</v>
      </c>
      <c r="U47" s="150">
        <f t="shared" si="13"/>
        <v>0</v>
      </c>
      <c r="V47" s="150">
        <f t="shared" si="13"/>
        <v>0</v>
      </c>
      <c r="W47" s="150">
        <f t="shared" si="13"/>
        <v>0</v>
      </c>
      <c r="X47" s="150">
        <f t="shared" si="13"/>
        <v>0</v>
      </c>
      <c r="Y47" s="150">
        <f t="shared" si="13"/>
        <v>0</v>
      </c>
      <c r="Z47" s="150">
        <f t="shared" si="13"/>
        <v>0</v>
      </c>
      <c r="AA47" s="150">
        <f t="shared" si="13"/>
        <v>0</v>
      </c>
      <c r="AB47" s="150">
        <f t="shared" si="13"/>
        <v>0</v>
      </c>
      <c r="AC47" s="150">
        <f t="shared" si="13"/>
        <v>0</v>
      </c>
      <c r="AD47" s="150">
        <f t="shared" si="13"/>
        <v>0</v>
      </c>
      <c r="AE47" s="150">
        <f t="shared" si="13"/>
        <v>0</v>
      </c>
      <c r="AF47" s="150">
        <f t="shared" si="13"/>
        <v>0</v>
      </c>
      <c r="AG47" s="150">
        <f t="shared" si="13"/>
        <v>0</v>
      </c>
      <c r="AH47" s="150">
        <f t="shared" si="13"/>
        <v>0</v>
      </c>
      <c r="AI47" s="150">
        <f t="shared" si="13"/>
        <v>0</v>
      </c>
      <c r="AJ47" s="150">
        <f t="shared" si="13"/>
        <v>0</v>
      </c>
      <c r="AK47" s="150">
        <f t="shared" si="13"/>
        <v>0</v>
      </c>
      <c r="AL47" s="150">
        <f t="shared" si="13"/>
        <v>0</v>
      </c>
      <c r="AM47" s="150">
        <f t="shared" si="13"/>
        <v>0</v>
      </c>
      <c r="AN47" s="150">
        <f t="shared" si="13"/>
        <v>0</v>
      </c>
      <c r="AO47" s="150">
        <f t="shared" si="13"/>
        <v>0</v>
      </c>
      <c r="AP47" s="150">
        <f t="shared" si="13"/>
        <v>0</v>
      </c>
      <c r="AQ47" s="150">
        <f t="shared" si="13"/>
        <v>0</v>
      </c>
      <c r="AR47" s="150">
        <f t="shared" si="13"/>
        <v>0</v>
      </c>
      <c r="AS47" s="150">
        <f t="shared" si="13"/>
        <v>0</v>
      </c>
      <c r="AT47" s="150">
        <f t="shared" si="13"/>
        <v>0</v>
      </c>
      <c r="AU47" s="150">
        <f t="shared" si="13"/>
        <v>0</v>
      </c>
      <c r="AV47" s="150">
        <f t="shared" si="13"/>
        <v>0</v>
      </c>
      <c r="AW47" s="150">
        <f t="shared" si="13"/>
        <v>0</v>
      </c>
      <c r="AX47" s="150">
        <f t="shared" si="13"/>
        <v>0</v>
      </c>
      <c r="AY47" s="150">
        <f t="shared" si="13"/>
        <v>0</v>
      </c>
      <c r="AZ47" s="150">
        <f t="shared" si="13"/>
        <v>0</v>
      </c>
      <c r="BA47" s="150">
        <f t="shared" si="13"/>
        <v>0</v>
      </c>
      <c r="BB47" s="150">
        <f t="shared" si="13"/>
        <v>0</v>
      </c>
      <c r="BC47" s="150">
        <f t="shared" si="13"/>
        <v>0</v>
      </c>
      <c r="BD47" s="150">
        <f t="shared" si="13"/>
        <v>0</v>
      </c>
      <c r="BE47" s="150">
        <f t="shared" si="13"/>
        <v>0</v>
      </c>
      <c r="BF47" s="150">
        <f t="shared" si="13"/>
        <v>0</v>
      </c>
      <c r="BG47" s="150">
        <f t="shared" si="13"/>
        <v>64725314.580000043</v>
      </c>
      <c r="BH47" s="150">
        <f t="shared" si="13"/>
        <v>0</v>
      </c>
      <c r="BI47" s="150">
        <f t="shared" si="13"/>
        <v>0</v>
      </c>
      <c r="BK47" s="608"/>
    </row>
    <row r="48" spans="1:64" ht="133.5" customHeight="1" x14ac:dyDescent="0.2">
      <c r="A48" s="377"/>
      <c r="B48" s="381"/>
      <c r="C48" s="322"/>
      <c r="D48" s="323"/>
      <c r="E48" s="305">
        <v>4302</v>
      </c>
      <c r="F48" s="169" t="s">
        <v>210</v>
      </c>
      <c r="G48" s="264" t="s">
        <v>217</v>
      </c>
      <c r="H48" s="305">
        <v>4302020</v>
      </c>
      <c r="I48" s="31" t="s">
        <v>218</v>
      </c>
      <c r="J48" s="264" t="s">
        <v>219</v>
      </c>
      <c r="K48" s="264">
        <v>430202000</v>
      </c>
      <c r="L48" s="265" t="s">
        <v>218</v>
      </c>
      <c r="M48" s="305" t="s">
        <v>179</v>
      </c>
      <c r="N48" s="305">
        <v>1</v>
      </c>
      <c r="O48" s="175">
        <v>0.25</v>
      </c>
      <c r="P48" s="175">
        <v>0</v>
      </c>
      <c r="Q48" s="367" t="s">
        <v>215</v>
      </c>
      <c r="R48" s="305" t="s">
        <v>199</v>
      </c>
      <c r="S48" s="306" t="s">
        <v>200</v>
      </c>
      <c r="T48" s="174">
        <f>1668660141.65-778436089.07-825498738</f>
        <v>64725314.580000043</v>
      </c>
      <c r="U48" s="174">
        <v>0</v>
      </c>
      <c r="V48" s="174">
        <v>0</v>
      </c>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33"/>
      <c r="AY48" s="33"/>
      <c r="AZ48" s="33"/>
      <c r="BA48" s="27"/>
      <c r="BB48" s="27"/>
      <c r="BC48" s="27"/>
      <c r="BD48" s="27"/>
      <c r="BE48" s="27"/>
      <c r="BF48" s="27"/>
      <c r="BG48" s="151">
        <f>+T48+W48+Z48+AC48+AF48+AI48+AL48+AO48+AR48+AU48+AX48+BA48+BD48</f>
        <v>64725314.580000043</v>
      </c>
      <c r="BH48" s="151">
        <f>+U48+X48+AA48+AD48+AG48+AJ48+AM48+AP48+AS48+AV48+AY48+BB48+BE48</f>
        <v>0</v>
      </c>
      <c r="BI48" s="151">
        <f>+V48+Y48+AB48+AE48+AH48+AK48+AN48+AQ48+AT48+AW48+AZ48+BC48+BF48</f>
        <v>0</v>
      </c>
      <c r="BK48" s="608"/>
    </row>
    <row r="49" spans="1:64" ht="15.75" x14ac:dyDescent="0.2">
      <c r="A49" s="377"/>
      <c r="B49" s="222">
        <v>2</v>
      </c>
      <c r="C49" s="138" t="s">
        <v>2</v>
      </c>
      <c r="D49" s="139"/>
      <c r="E49" s="139"/>
      <c r="F49" s="140"/>
      <c r="G49" s="141"/>
      <c r="H49" s="142"/>
      <c r="I49" s="140"/>
      <c r="J49" s="141"/>
      <c r="K49" s="141"/>
      <c r="L49" s="140"/>
      <c r="M49" s="143"/>
      <c r="N49" s="143"/>
      <c r="O49" s="141"/>
      <c r="P49" s="141"/>
      <c r="Q49" s="370"/>
      <c r="R49" s="141"/>
      <c r="S49" s="140"/>
      <c r="T49" s="144">
        <f t="shared" ref="T49:BF49" si="14">T50+T52</f>
        <v>0</v>
      </c>
      <c r="U49" s="144">
        <f t="shared" si="14"/>
        <v>0</v>
      </c>
      <c r="V49" s="144">
        <f t="shared" si="14"/>
        <v>0</v>
      </c>
      <c r="W49" s="144">
        <f t="shared" si="14"/>
        <v>0</v>
      </c>
      <c r="X49" s="144">
        <f t="shared" si="14"/>
        <v>0</v>
      </c>
      <c r="Y49" s="144">
        <f t="shared" si="14"/>
        <v>0</v>
      </c>
      <c r="Z49" s="144">
        <f t="shared" si="14"/>
        <v>0</v>
      </c>
      <c r="AA49" s="144">
        <f t="shared" si="14"/>
        <v>0</v>
      </c>
      <c r="AB49" s="144">
        <f t="shared" si="14"/>
        <v>0</v>
      </c>
      <c r="AC49" s="144">
        <f t="shared" si="14"/>
        <v>0</v>
      </c>
      <c r="AD49" s="144">
        <f t="shared" si="14"/>
        <v>0</v>
      </c>
      <c r="AE49" s="144">
        <f t="shared" si="14"/>
        <v>0</v>
      </c>
      <c r="AF49" s="144">
        <f t="shared" si="14"/>
        <v>0</v>
      </c>
      <c r="AG49" s="144">
        <f t="shared" si="14"/>
        <v>0</v>
      </c>
      <c r="AH49" s="144">
        <f t="shared" si="14"/>
        <v>0</v>
      </c>
      <c r="AI49" s="144">
        <f t="shared" si="14"/>
        <v>0</v>
      </c>
      <c r="AJ49" s="144">
        <f t="shared" si="14"/>
        <v>0</v>
      </c>
      <c r="AK49" s="144">
        <f t="shared" si="14"/>
        <v>0</v>
      </c>
      <c r="AL49" s="144">
        <f t="shared" si="14"/>
        <v>0</v>
      </c>
      <c r="AM49" s="144">
        <f t="shared" si="14"/>
        <v>0</v>
      </c>
      <c r="AN49" s="144">
        <f t="shared" si="14"/>
        <v>0</v>
      </c>
      <c r="AO49" s="144">
        <f t="shared" si="14"/>
        <v>0</v>
      </c>
      <c r="AP49" s="144">
        <f t="shared" si="14"/>
        <v>0</v>
      </c>
      <c r="AQ49" s="144">
        <f t="shared" si="14"/>
        <v>0</v>
      </c>
      <c r="AR49" s="144">
        <f t="shared" si="14"/>
        <v>0</v>
      </c>
      <c r="AS49" s="144">
        <f t="shared" si="14"/>
        <v>0</v>
      </c>
      <c r="AT49" s="144">
        <f t="shared" si="14"/>
        <v>0</v>
      </c>
      <c r="AU49" s="144">
        <f t="shared" si="14"/>
        <v>0</v>
      </c>
      <c r="AV49" s="144">
        <f t="shared" si="14"/>
        <v>0</v>
      </c>
      <c r="AW49" s="144">
        <f t="shared" si="14"/>
        <v>0</v>
      </c>
      <c r="AX49" s="144">
        <f t="shared" si="14"/>
        <v>3000000</v>
      </c>
      <c r="AY49" s="144">
        <f t="shared" si="14"/>
        <v>0</v>
      </c>
      <c r="AZ49" s="144">
        <f t="shared" si="14"/>
        <v>0</v>
      </c>
      <c r="BA49" s="144">
        <f t="shared" si="14"/>
        <v>0</v>
      </c>
      <c r="BB49" s="144">
        <f t="shared" si="14"/>
        <v>0</v>
      </c>
      <c r="BC49" s="144">
        <f t="shared" si="14"/>
        <v>0</v>
      </c>
      <c r="BD49" s="144">
        <f t="shared" si="14"/>
        <v>0</v>
      </c>
      <c r="BE49" s="144">
        <f t="shared" si="14"/>
        <v>0</v>
      </c>
      <c r="BF49" s="144">
        <f t="shared" si="14"/>
        <v>0</v>
      </c>
      <c r="BG49" s="144">
        <f>BG50+BG52</f>
        <v>3000000</v>
      </c>
      <c r="BH49" s="144">
        <f>BH50+BH52</f>
        <v>0</v>
      </c>
      <c r="BI49" s="144">
        <f>BI50+BI52</f>
        <v>0</v>
      </c>
      <c r="BK49" s="608"/>
    </row>
    <row r="50" spans="1:64" ht="18.75" customHeight="1" x14ac:dyDescent="0.2">
      <c r="A50" s="377"/>
      <c r="B50" s="379"/>
      <c r="C50" s="171">
        <v>10</v>
      </c>
      <c r="D50" s="146">
        <v>1709</v>
      </c>
      <c r="E50" s="308" t="s">
        <v>220</v>
      </c>
      <c r="F50" s="145"/>
      <c r="G50" s="146"/>
      <c r="H50" s="147"/>
      <c r="I50" s="145"/>
      <c r="J50" s="146"/>
      <c r="K50" s="146"/>
      <c r="L50" s="145"/>
      <c r="M50" s="148"/>
      <c r="N50" s="148"/>
      <c r="O50" s="146"/>
      <c r="P50" s="146"/>
      <c r="Q50" s="368"/>
      <c r="R50" s="146"/>
      <c r="S50" s="145"/>
      <c r="T50" s="150">
        <f t="shared" ref="T50:BI50" si="15">SUM(T51:T51)</f>
        <v>0</v>
      </c>
      <c r="U50" s="150">
        <f t="shared" si="15"/>
        <v>0</v>
      </c>
      <c r="V50" s="150">
        <f t="shared" si="15"/>
        <v>0</v>
      </c>
      <c r="W50" s="150">
        <f t="shared" si="15"/>
        <v>0</v>
      </c>
      <c r="X50" s="150">
        <f t="shared" si="15"/>
        <v>0</v>
      </c>
      <c r="Y50" s="150">
        <f t="shared" si="15"/>
        <v>0</v>
      </c>
      <c r="Z50" s="150">
        <f t="shared" si="15"/>
        <v>0</v>
      </c>
      <c r="AA50" s="150">
        <f t="shared" si="15"/>
        <v>0</v>
      </c>
      <c r="AB50" s="150">
        <f t="shared" si="15"/>
        <v>0</v>
      </c>
      <c r="AC50" s="150">
        <f t="shared" si="15"/>
        <v>0</v>
      </c>
      <c r="AD50" s="150">
        <f t="shared" si="15"/>
        <v>0</v>
      </c>
      <c r="AE50" s="150">
        <f t="shared" si="15"/>
        <v>0</v>
      </c>
      <c r="AF50" s="150">
        <f t="shared" si="15"/>
        <v>0</v>
      </c>
      <c r="AG50" s="150">
        <f t="shared" si="15"/>
        <v>0</v>
      </c>
      <c r="AH50" s="150">
        <f t="shared" si="15"/>
        <v>0</v>
      </c>
      <c r="AI50" s="150">
        <f t="shared" si="15"/>
        <v>0</v>
      </c>
      <c r="AJ50" s="150">
        <f t="shared" si="15"/>
        <v>0</v>
      </c>
      <c r="AK50" s="150">
        <f t="shared" si="15"/>
        <v>0</v>
      </c>
      <c r="AL50" s="150">
        <f t="shared" si="15"/>
        <v>0</v>
      </c>
      <c r="AM50" s="150">
        <f t="shared" si="15"/>
        <v>0</v>
      </c>
      <c r="AN50" s="150">
        <f t="shared" si="15"/>
        <v>0</v>
      </c>
      <c r="AO50" s="150">
        <f t="shared" si="15"/>
        <v>0</v>
      </c>
      <c r="AP50" s="150">
        <f t="shared" si="15"/>
        <v>0</v>
      </c>
      <c r="AQ50" s="150">
        <f t="shared" si="15"/>
        <v>0</v>
      </c>
      <c r="AR50" s="150">
        <f t="shared" si="15"/>
        <v>0</v>
      </c>
      <c r="AS50" s="150">
        <f t="shared" si="15"/>
        <v>0</v>
      </c>
      <c r="AT50" s="150">
        <f t="shared" si="15"/>
        <v>0</v>
      </c>
      <c r="AU50" s="150">
        <f t="shared" si="15"/>
        <v>0</v>
      </c>
      <c r="AV50" s="150">
        <f t="shared" si="15"/>
        <v>0</v>
      </c>
      <c r="AW50" s="150">
        <f t="shared" si="15"/>
        <v>0</v>
      </c>
      <c r="AX50" s="150">
        <f t="shared" si="15"/>
        <v>2000000</v>
      </c>
      <c r="AY50" s="150">
        <f t="shared" si="15"/>
        <v>0</v>
      </c>
      <c r="AZ50" s="150">
        <f t="shared" si="15"/>
        <v>0</v>
      </c>
      <c r="BA50" s="150">
        <f t="shared" si="15"/>
        <v>0</v>
      </c>
      <c r="BB50" s="150">
        <f t="shared" si="15"/>
        <v>0</v>
      </c>
      <c r="BC50" s="150">
        <f t="shared" si="15"/>
        <v>0</v>
      </c>
      <c r="BD50" s="150">
        <f t="shared" si="15"/>
        <v>0</v>
      </c>
      <c r="BE50" s="150">
        <f t="shared" si="15"/>
        <v>0</v>
      </c>
      <c r="BF50" s="150">
        <f t="shared" si="15"/>
        <v>0</v>
      </c>
      <c r="BG50" s="150">
        <f t="shared" si="15"/>
        <v>2000000</v>
      </c>
      <c r="BH50" s="150">
        <f t="shared" si="15"/>
        <v>0</v>
      </c>
      <c r="BI50" s="150">
        <f t="shared" si="15"/>
        <v>0</v>
      </c>
      <c r="BK50" s="608"/>
    </row>
    <row r="51" spans="1:64" s="178" customFormat="1" ht="123" customHeight="1" x14ac:dyDescent="0.2">
      <c r="A51" s="386"/>
      <c r="B51" s="387"/>
      <c r="C51" s="331"/>
      <c r="D51" s="304"/>
      <c r="E51" s="311">
        <v>1709</v>
      </c>
      <c r="F51" s="31" t="s">
        <v>221</v>
      </c>
      <c r="G51" s="175" t="s">
        <v>222</v>
      </c>
      <c r="H51" s="175">
        <v>1709078</v>
      </c>
      <c r="I51" s="31" t="s">
        <v>223</v>
      </c>
      <c r="J51" s="175" t="s">
        <v>224</v>
      </c>
      <c r="K51" s="175">
        <v>170907800</v>
      </c>
      <c r="L51" s="31" t="s">
        <v>223</v>
      </c>
      <c r="M51" s="311" t="s">
        <v>89</v>
      </c>
      <c r="N51" s="311">
        <v>1</v>
      </c>
      <c r="O51" s="175">
        <v>1</v>
      </c>
      <c r="P51" s="175">
        <v>0</v>
      </c>
      <c r="Q51" s="211" t="s">
        <v>225</v>
      </c>
      <c r="R51" s="311" t="s">
        <v>226</v>
      </c>
      <c r="S51" s="211" t="s">
        <v>227</v>
      </c>
      <c r="T51" s="27"/>
      <c r="U51" s="27"/>
      <c r="V51" s="27"/>
      <c r="W51" s="27"/>
      <c r="X51" s="27"/>
      <c r="Y51" s="27"/>
      <c r="Z51" s="310"/>
      <c r="AA51" s="310"/>
      <c r="AB51" s="310"/>
      <c r="AC51" s="27"/>
      <c r="AD51" s="27"/>
      <c r="AE51" s="27"/>
      <c r="AF51" s="27"/>
      <c r="AG51" s="27"/>
      <c r="AH51" s="27"/>
      <c r="AI51" s="27"/>
      <c r="AJ51" s="27"/>
      <c r="AK51" s="27"/>
      <c r="AL51" s="27"/>
      <c r="AM51" s="27"/>
      <c r="AN51" s="27"/>
      <c r="AO51" s="27"/>
      <c r="AP51" s="27"/>
      <c r="AQ51" s="27"/>
      <c r="AR51" s="27"/>
      <c r="AS51" s="27"/>
      <c r="AT51" s="27"/>
      <c r="AU51" s="27"/>
      <c r="AV51" s="27"/>
      <c r="AW51" s="27"/>
      <c r="AX51" s="176">
        <f>1000000+1000000</f>
        <v>2000000</v>
      </c>
      <c r="AY51" s="176">
        <v>0</v>
      </c>
      <c r="AZ51" s="176">
        <v>0</v>
      </c>
      <c r="BA51" s="27"/>
      <c r="BB51" s="27"/>
      <c r="BC51" s="27"/>
      <c r="BD51" s="27"/>
      <c r="BE51" s="27"/>
      <c r="BF51" s="27"/>
      <c r="BG51" s="177">
        <f>+T51+W51+Z51+AC51+AF51+AI51+AL51+AO51+AR51+AU51+AX51+BA51+BD51</f>
        <v>2000000</v>
      </c>
      <c r="BH51" s="177">
        <f>+U51+X51+AA51+AD51+AG51+AJ51+AM51+AP51+AS51+AV51+AY51+BB51+BE51</f>
        <v>0</v>
      </c>
      <c r="BI51" s="177">
        <f>+V51+Y51+AB51+AE51+AH51+AK51+AN51+AQ51+AT51+AW51+AZ51+BC51+BF51</f>
        <v>0</v>
      </c>
      <c r="BK51" s="608"/>
    </row>
    <row r="52" spans="1:64" ht="23.25" customHeight="1" x14ac:dyDescent="0.2">
      <c r="A52" s="377"/>
      <c r="B52" s="380"/>
      <c r="C52" s="171">
        <v>27</v>
      </c>
      <c r="D52" s="146">
        <v>3502</v>
      </c>
      <c r="E52" s="308" t="s">
        <v>228</v>
      </c>
      <c r="F52" s="145"/>
      <c r="G52" s="146"/>
      <c r="H52" s="147"/>
      <c r="I52" s="145"/>
      <c r="J52" s="146"/>
      <c r="K52" s="146"/>
      <c r="L52" s="145"/>
      <c r="M52" s="148"/>
      <c r="N52" s="148"/>
      <c r="O52" s="146"/>
      <c r="P52" s="146"/>
      <c r="Q52" s="368"/>
      <c r="R52" s="146"/>
      <c r="S52" s="145"/>
      <c r="T52" s="150">
        <f t="shared" ref="T52:BF52" si="16">T53</f>
        <v>0</v>
      </c>
      <c r="U52" s="150">
        <f t="shared" si="16"/>
        <v>0</v>
      </c>
      <c r="V52" s="150">
        <f t="shared" si="16"/>
        <v>0</v>
      </c>
      <c r="W52" s="150">
        <f t="shared" si="16"/>
        <v>0</v>
      </c>
      <c r="X52" s="150">
        <f t="shared" si="16"/>
        <v>0</v>
      </c>
      <c r="Y52" s="150">
        <f t="shared" si="16"/>
        <v>0</v>
      </c>
      <c r="Z52" s="150">
        <f t="shared" si="16"/>
        <v>0</v>
      </c>
      <c r="AA52" s="150">
        <f t="shared" si="16"/>
        <v>0</v>
      </c>
      <c r="AB52" s="150">
        <f t="shared" si="16"/>
        <v>0</v>
      </c>
      <c r="AC52" s="150">
        <f t="shared" si="16"/>
        <v>0</v>
      </c>
      <c r="AD52" s="150">
        <f t="shared" si="16"/>
        <v>0</v>
      </c>
      <c r="AE52" s="150">
        <f t="shared" si="16"/>
        <v>0</v>
      </c>
      <c r="AF52" s="150">
        <f t="shared" si="16"/>
        <v>0</v>
      </c>
      <c r="AG52" s="150">
        <f t="shared" si="16"/>
        <v>0</v>
      </c>
      <c r="AH52" s="150">
        <f t="shared" si="16"/>
        <v>0</v>
      </c>
      <c r="AI52" s="150">
        <f t="shared" si="16"/>
        <v>0</v>
      </c>
      <c r="AJ52" s="150">
        <f t="shared" si="16"/>
        <v>0</v>
      </c>
      <c r="AK52" s="150">
        <f t="shared" si="16"/>
        <v>0</v>
      </c>
      <c r="AL52" s="150">
        <f t="shared" si="16"/>
        <v>0</v>
      </c>
      <c r="AM52" s="150">
        <f t="shared" si="16"/>
        <v>0</v>
      </c>
      <c r="AN52" s="150">
        <f t="shared" si="16"/>
        <v>0</v>
      </c>
      <c r="AO52" s="150">
        <f t="shared" si="16"/>
        <v>0</v>
      </c>
      <c r="AP52" s="150">
        <f t="shared" si="16"/>
        <v>0</v>
      </c>
      <c r="AQ52" s="150">
        <f t="shared" si="16"/>
        <v>0</v>
      </c>
      <c r="AR52" s="150">
        <f t="shared" si="16"/>
        <v>0</v>
      </c>
      <c r="AS52" s="150">
        <f t="shared" si="16"/>
        <v>0</v>
      </c>
      <c r="AT52" s="150">
        <f t="shared" si="16"/>
        <v>0</v>
      </c>
      <c r="AU52" s="150">
        <f t="shared" si="16"/>
        <v>0</v>
      </c>
      <c r="AV52" s="150">
        <f t="shared" si="16"/>
        <v>0</v>
      </c>
      <c r="AW52" s="150">
        <f t="shared" si="16"/>
        <v>0</v>
      </c>
      <c r="AX52" s="150">
        <f t="shared" si="16"/>
        <v>1000000</v>
      </c>
      <c r="AY52" s="150">
        <f t="shared" si="16"/>
        <v>0</v>
      </c>
      <c r="AZ52" s="150">
        <f t="shared" si="16"/>
        <v>0</v>
      </c>
      <c r="BA52" s="150">
        <f t="shared" si="16"/>
        <v>0</v>
      </c>
      <c r="BB52" s="150">
        <f t="shared" si="16"/>
        <v>0</v>
      </c>
      <c r="BC52" s="150">
        <f t="shared" si="16"/>
        <v>0</v>
      </c>
      <c r="BD52" s="150">
        <f t="shared" si="16"/>
        <v>0</v>
      </c>
      <c r="BE52" s="150">
        <f t="shared" si="16"/>
        <v>0</v>
      </c>
      <c r="BF52" s="150">
        <f t="shared" si="16"/>
        <v>0</v>
      </c>
      <c r="BG52" s="150">
        <f>BG53</f>
        <v>1000000</v>
      </c>
      <c r="BH52" s="150">
        <f>BH53</f>
        <v>0</v>
      </c>
      <c r="BI52" s="150">
        <f>BI53</f>
        <v>0</v>
      </c>
      <c r="BK52" s="608"/>
    </row>
    <row r="53" spans="1:64" ht="101.25" customHeight="1" x14ac:dyDescent="0.2">
      <c r="A53" s="377"/>
      <c r="B53" s="381"/>
      <c r="C53" s="322"/>
      <c r="D53" s="323"/>
      <c r="E53" s="305">
        <v>3502</v>
      </c>
      <c r="F53" s="307" t="s">
        <v>1466</v>
      </c>
      <c r="G53" s="175" t="s">
        <v>229</v>
      </c>
      <c r="H53" s="175">
        <v>3502084</v>
      </c>
      <c r="I53" s="31" t="s">
        <v>230</v>
      </c>
      <c r="J53" s="175" t="s">
        <v>231</v>
      </c>
      <c r="K53" s="175">
        <v>350208400</v>
      </c>
      <c r="L53" s="31" t="s">
        <v>230</v>
      </c>
      <c r="M53" s="305" t="s">
        <v>179</v>
      </c>
      <c r="N53" s="305">
        <v>1</v>
      </c>
      <c r="O53" s="175">
        <v>0.5</v>
      </c>
      <c r="P53" s="175">
        <v>0</v>
      </c>
      <c r="Q53" s="367" t="s">
        <v>225</v>
      </c>
      <c r="R53" s="305" t="s">
        <v>226</v>
      </c>
      <c r="S53" s="307" t="s">
        <v>232</v>
      </c>
      <c r="T53" s="27"/>
      <c r="U53" s="27"/>
      <c r="V53" s="27"/>
      <c r="W53" s="27"/>
      <c r="X53" s="27"/>
      <c r="Y53" s="27"/>
      <c r="Z53" s="310"/>
      <c r="AA53" s="310"/>
      <c r="AB53" s="310"/>
      <c r="AC53" s="27"/>
      <c r="AD53" s="27"/>
      <c r="AE53" s="27"/>
      <c r="AF53" s="27"/>
      <c r="AG53" s="27"/>
      <c r="AH53" s="27"/>
      <c r="AI53" s="27"/>
      <c r="AJ53" s="27"/>
      <c r="AK53" s="27"/>
      <c r="AL53" s="27"/>
      <c r="AM53" s="27"/>
      <c r="AN53" s="27"/>
      <c r="AO53" s="27"/>
      <c r="AP53" s="27"/>
      <c r="AQ53" s="27"/>
      <c r="AR53" s="27"/>
      <c r="AS53" s="27"/>
      <c r="AT53" s="27"/>
      <c r="AU53" s="27"/>
      <c r="AV53" s="27"/>
      <c r="AW53" s="27"/>
      <c r="AX53" s="176">
        <v>1000000</v>
      </c>
      <c r="AY53" s="176">
        <v>0</v>
      </c>
      <c r="AZ53" s="176">
        <v>0</v>
      </c>
      <c r="BA53" s="27"/>
      <c r="BB53" s="27"/>
      <c r="BC53" s="27"/>
      <c r="BD53" s="27"/>
      <c r="BE53" s="27"/>
      <c r="BF53" s="27"/>
      <c r="BG53" s="151">
        <f>+T53+W53+Z53+AC53+AF53+AI53+AL53+AO53+AR53+AU53+AX53+BA53+BD53</f>
        <v>1000000</v>
      </c>
      <c r="BH53" s="151">
        <f>+U53+X53+AA53+AD53+AG53+AJ53+AM53+AP53+AS53+AV53+AY53+BB53+BE53</f>
        <v>0</v>
      </c>
      <c r="BI53" s="151">
        <f>+V53+Y53+AB53+AE53+AH53+AK53+AN53+AQ53+AT53+AW53+AZ53+BC53+BF53</f>
        <v>0</v>
      </c>
      <c r="BK53" s="608"/>
    </row>
    <row r="54" spans="1:64" ht="21.75" customHeight="1" x14ac:dyDescent="0.2">
      <c r="A54" s="377"/>
      <c r="B54" s="222">
        <v>3</v>
      </c>
      <c r="C54" s="138" t="s">
        <v>3</v>
      </c>
      <c r="D54" s="139"/>
      <c r="E54" s="139"/>
      <c r="F54" s="140"/>
      <c r="G54" s="141"/>
      <c r="H54" s="142"/>
      <c r="I54" s="140"/>
      <c r="J54" s="141"/>
      <c r="K54" s="141"/>
      <c r="L54" s="140"/>
      <c r="M54" s="143"/>
      <c r="N54" s="143"/>
      <c r="O54" s="141"/>
      <c r="P54" s="141"/>
      <c r="Q54" s="370"/>
      <c r="R54" s="141"/>
      <c r="S54" s="140"/>
      <c r="T54" s="144">
        <f t="shared" ref="T54:BF54" si="17">T55+T58+T60+T62+T64</f>
        <v>204422530.80000001</v>
      </c>
      <c r="U54" s="144">
        <f t="shared" si="17"/>
        <v>36850621</v>
      </c>
      <c r="V54" s="144">
        <f t="shared" si="17"/>
        <v>36850621</v>
      </c>
      <c r="W54" s="144">
        <f t="shared" si="17"/>
        <v>0</v>
      </c>
      <c r="X54" s="144">
        <f t="shared" si="17"/>
        <v>0</v>
      </c>
      <c r="Y54" s="144">
        <f t="shared" si="17"/>
        <v>0</v>
      </c>
      <c r="Z54" s="144">
        <f t="shared" si="17"/>
        <v>184304077.94</v>
      </c>
      <c r="AA54" s="144">
        <f t="shared" si="17"/>
        <v>184278666</v>
      </c>
      <c r="AB54" s="144">
        <f t="shared" si="17"/>
        <v>128170599</v>
      </c>
      <c r="AC54" s="144">
        <f t="shared" si="17"/>
        <v>0</v>
      </c>
      <c r="AD54" s="144">
        <f t="shared" si="17"/>
        <v>0</v>
      </c>
      <c r="AE54" s="144">
        <f t="shared" si="17"/>
        <v>0</v>
      </c>
      <c r="AF54" s="144">
        <f t="shared" si="17"/>
        <v>0</v>
      </c>
      <c r="AG54" s="144">
        <f t="shared" si="17"/>
        <v>0</v>
      </c>
      <c r="AH54" s="144">
        <f t="shared" si="17"/>
        <v>0</v>
      </c>
      <c r="AI54" s="144">
        <f t="shared" si="17"/>
        <v>0</v>
      </c>
      <c r="AJ54" s="144">
        <f t="shared" si="17"/>
        <v>0</v>
      </c>
      <c r="AK54" s="144">
        <f t="shared" si="17"/>
        <v>0</v>
      </c>
      <c r="AL54" s="144">
        <f t="shared" si="17"/>
        <v>0</v>
      </c>
      <c r="AM54" s="144">
        <f t="shared" si="17"/>
        <v>0</v>
      </c>
      <c r="AN54" s="144">
        <f t="shared" si="17"/>
        <v>0</v>
      </c>
      <c r="AO54" s="144">
        <f t="shared" si="17"/>
        <v>0</v>
      </c>
      <c r="AP54" s="144">
        <f t="shared" si="17"/>
        <v>0</v>
      </c>
      <c r="AQ54" s="144">
        <f t="shared" si="17"/>
        <v>0</v>
      </c>
      <c r="AR54" s="144">
        <f t="shared" si="17"/>
        <v>0</v>
      </c>
      <c r="AS54" s="144">
        <f t="shared" si="17"/>
        <v>0</v>
      </c>
      <c r="AT54" s="144">
        <f t="shared" si="17"/>
        <v>0</v>
      </c>
      <c r="AU54" s="144">
        <f t="shared" si="17"/>
        <v>2780436507.1199999</v>
      </c>
      <c r="AV54" s="144">
        <f t="shared" si="17"/>
        <v>2766983630</v>
      </c>
      <c r="AW54" s="144">
        <f t="shared" si="17"/>
        <v>2766983630</v>
      </c>
      <c r="AX54" s="144">
        <f t="shared" si="17"/>
        <v>786082004</v>
      </c>
      <c r="AY54" s="144">
        <f t="shared" si="17"/>
        <v>212420638</v>
      </c>
      <c r="AZ54" s="144">
        <f t="shared" si="17"/>
        <v>197420638</v>
      </c>
      <c r="BA54" s="144">
        <f t="shared" si="17"/>
        <v>0</v>
      </c>
      <c r="BB54" s="144">
        <f t="shared" si="17"/>
        <v>0</v>
      </c>
      <c r="BC54" s="144">
        <f t="shared" si="17"/>
        <v>0</v>
      </c>
      <c r="BD54" s="144">
        <f t="shared" si="17"/>
        <v>0</v>
      </c>
      <c r="BE54" s="144">
        <f t="shared" si="17"/>
        <v>0</v>
      </c>
      <c r="BF54" s="144">
        <f t="shared" si="17"/>
        <v>0</v>
      </c>
      <c r="BG54" s="144">
        <f>BG55+BG58+BG60+BG62+BG64</f>
        <v>3955245119.8600001</v>
      </c>
      <c r="BH54" s="144">
        <f>BH55+BH58+BH60+BH62+BH64</f>
        <v>3200533555</v>
      </c>
      <c r="BI54" s="144">
        <f>BI55+BI58+BI60+BI62+BI64</f>
        <v>3129425488</v>
      </c>
      <c r="BK54" s="608"/>
    </row>
    <row r="55" spans="1:64" ht="21.75" customHeight="1" x14ac:dyDescent="0.2">
      <c r="A55" s="377"/>
      <c r="B55" s="379"/>
      <c r="C55" s="171">
        <v>18</v>
      </c>
      <c r="D55" s="146">
        <v>2402</v>
      </c>
      <c r="E55" s="308" t="s">
        <v>233</v>
      </c>
      <c r="F55" s="145"/>
      <c r="G55" s="146"/>
      <c r="H55" s="147"/>
      <c r="I55" s="145"/>
      <c r="J55" s="146"/>
      <c r="K55" s="146"/>
      <c r="L55" s="145"/>
      <c r="M55" s="148"/>
      <c r="N55" s="148"/>
      <c r="O55" s="146"/>
      <c r="P55" s="146"/>
      <c r="Q55" s="368"/>
      <c r="R55" s="146"/>
      <c r="S55" s="145"/>
      <c r="T55" s="150">
        <f t="shared" ref="T55:BI55" si="18">SUM(T56:T56)</f>
        <v>0</v>
      </c>
      <c r="U55" s="150">
        <f t="shared" si="18"/>
        <v>0</v>
      </c>
      <c r="V55" s="150">
        <f t="shared" si="18"/>
        <v>0</v>
      </c>
      <c r="W55" s="150">
        <f t="shared" si="18"/>
        <v>0</v>
      </c>
      <c r="X55" s="150">
        <f t="shared" si="18"/>
        <v>0</v>
      </c>
      <c r="Y55" s="150">
        <f t="shared" si="18"/>
        <v>0</v>
      </c>
      <c r="Z55" s="150">
        <f t="shared" si="18"/>
        <v>184304077.94</v>
      </c>
      <c r="AA55" s="150">
        <f t="shared" si="18"/>
        <v>184278666</v>
      </c>
      <c r="AB55" s="150">
        <f t="shared" si="18"/>
        <v>128170599</v>
      </c>
      <c r="AC55" s="150">
        <f t="shared" si="18"/>
        <v>0</v>
      </c>
      <c r="AD55" s="150">
        <f t="shared" si="18"/>
        <v>0</v>
      </c>
      <c r="AE55" s="150">
        <f t="shared" si="18"/>
        <v>0</v>
      </c>
      <c r="AF55" s="150">
        <f t="shared" si="18"/>
        <v>0</v>
      </c>
      <c r="AG55" s="150">
        <f t="shared" si="18"/>
        <v>0</v>
      </c>
      <c r="AH55" s="150">
        <f t="shared" si="18"/>
        <v>0</v>
      </c>
      <c r="AI55" s="150">
        <f t="shared" si="18"/>
        <v>0</v>
      </c>
      <c r="AJ55" s="150">
        <f t="shared" si="18"/>
        <v>0</v>
      </c>
      <c r="AK55" s="150">
        <f t="shared" si="18"/>
        <v>0</v>
      </c>
      <c r="AL55" s="150">
        <f t="shared" si="18"/>
        <v>0</v>
      </c>
      <c r="AM55" s="150">
        <f t="shared" si="18"/>
        <v>0</v>
      </c>
      <c r="AN55" s="150">
        <f t="shared" si="18"/>
        <v>0</v>
      </c>
      <c r="AO55" s="150">
        <f t="shared" si="18"/>
        <v>0</v>
      </c>
      <c r="AP55" s="150">
        <f t="shared" si="18"/>
        <v>0</v>
      </c>
      <c r="AQ55" s="150">
        <f t="shared" si="18"/>
        <v>0</v>
      </c>
      <c r="AR55" s="150">
        <f t="shared" si="18"/>
        <v>0</v>
      </c>
      <c r="AS55" s="150">
        <f t="shared" si="18"/>
        <v>0</v>
      </c>
      <c r="AT55" s="150">
        <f t="shared" si="18"/>
        <v>0</v>
      </c>
      <c r="AU55" s="150">
        <f t="shared" si="18"/>
        <v>0</v>
      </c>
      <c r="AV55" s="150">
        <f t="shared" si="18"/>
        <v>0</v>
      </c>
      <c r="AW55" s="150">
        <f t="shared" si="18"/>
        <v>0</v>
      </c>
      <c r="AX55" s="150">
        <f>SUM(AX56:AX57)</f>
        <v>584721336</v>
      </c>
      <c r="AY55" s="150">
        <f>SUM(AY56:AY57)</f>
        <v>212420638</v>
      </c>
      <c r="AZ55" s="150">
        <f>SUM(AZ56:AZ57)</f>
        <v>197420638</v>
      </c>
      <c r="BA55" s="150">
        <f>SUM(BA56:BA57)</f>
        <v>0</v>
      </c>
      <c r="BB55" s="150">
        <f t="shared" si="18"/>
        <v>0</v>
      </c>
      <c r="BC55" s="150">
        <f t="shared" si="18"/>
        <v>0</v>
      </c>
      <c r="BD55" s="150">
        <f t="shared" si="18"/>
        <v>0</v>
      </c>
      <c r="BE55" s="150">
        <f t="shared" si="18"/>
        <v>0</v>
      </c>
      <c r="BF55" s="150">
        <f t="shared" si="18"/>
        <v>0</v>
      </c>
      <c r="BG55" s="150">
        <f>SUM(BG56:BG57)</f>
        <v>769025413.94000006</v>
      </c>
      <c r="BH55" s="150">
        <f t="shared" si="18"/>
        <v>396699304</v>
      </c>
      <c r="BI55" s="150">
        <f t="shared" si="18"/>
        <v>325591237</v>
      </c>
      <c r="BK55" s="608"/>
    </row>
    <row r="56" spans="1:64" s="178" customFormat="1" ht="91.5" customHeight="1" x14ac:dyDescent="0.2">
      <c r="A56" s="386"/>
      <c r="B56" s="387"/>
      <c r="C56" s="331"/>
      <c r="D56" s="304"/>
      <c r="E56" s="311">
        <v>2402</v>
      </c>
      <c r="F56" s="312" t="s">
        <v>1416</v>
      </c>
      <c r="G56" s="175" t="s">
        <v>234</v>
      </c>
      <c r="H56" s="32" t="s">
        <v>83</v>
      </c>
      <c r="I56" s="31" t="s">
        <v>235</v>
      </c>
      <c r="J56" s="175" t="s">
        <v>236</v>
      </c>
      <c r="K56" s="175" t="s">
        <v>1402</v>
      </c>
      <c r="L56" s="31" t="s">
        <v>1485</v>
      </c>
      <c r="M56" s="311" t="s">
        <v>89</v>
      </c>
      <c r="N56" s="311">
        <v>130</v>
      </c>
      <c r="O56" s="175">
        <v>130</v>
      </c>
      <c r="P56" s="175">
        <v>159</v>
      </c>
      <c r="Q56" s="211" t="s">
        <v>237</v>
      </c>
      <c r="R56" s="311" t="s">
        <v>238</v>
      </c>
      <c r="S56" s="312" t="s">
        <v>239</v>
      </c>
      <c r="T56" s="27"/>
      <c r="U56" s="27"/>
      <c r="V56" s="27"/>
      <c r="W56" s="27"/>
      <c r="X56" s="27"/>
      <c r="Y56" s="27"/>
      <c r="Z56" s="170">
        <f>479436488.05-295132410.11</f>
        <v>184304077.94</v>
      </c>
      <c r="AA56" s="170">
        <v>184278666</v>
      </c>
      <c r="AB56" s="170">
        <v>128170599</v>
      </c>
      <c r="AC56" s="27"/>
      <c r="AD56" s="27"/>
      <c r="AE56" s="27"/>
      <c r="AF56" s="27"/>
      <c r="AG56" s="27"/>
      <c r="AH56" s="27"/>
      <c r="AI56" s="27"/>
      <c r="AJ56" s="27"/>
      <c r="AK56" s="27"/>
      <c r="AL56" s="27"/>
      <c r="AM56" s="27"/>
      <c r="AN56" s="27"/>
      <c r="AO56" s="27"/>
      <c r="AP56" s="27"/>
      <c r="AQ56" s="27"/>
      <c r="AR56" s="27"/>
      <c r="AS56" s="27"/>
      <c r="AT56" s="27"/>
      <c r="AU56" s="27"/>
      <c r="AV56" s="27"/>
      <c r="AW56" s="27"/>
      <c r="AX56" s="176">
        <f>143360668+141360668+266000000</f>
        <v>550721336</v>
      </c>
      <c r="AY56" s="176">
        <v>212420638</v>
      </c>
      <c r="AZ56" s="176">
        <v>197420638</v>
      </c>
      <c r="BA56" s="27"/>
      <c r="BB56" s="27"/>
      <c r="BC56" s="27"/>
      <c r="BD56" s="27"/>
      <c r="BE56" s="27"/>
      <c r="BF56" s="27"/>
      <c r="BG56" s="177">
        <f>+T56+W56+Z56+AC56+AF56+AI56+AL56+AO56+AR56+AU56+AX56+BA56+BD56</f>
        <v>735025413.94000006</v>
      </c>
      <c r="BH56" s="177">
        <f>+U56+X56+AA56+AD56+AG56+AJ56+AM56+AP56+AS56+AV56+AY56+BB56+BE56</f>
        <v>396699304</v>
      </c>
      <c r="BI56" s="177">
        <f>+V56+Y56+AB56+AE56+AH56+AK56+AN56+AQ56+AT56+AW56+AZ56+BC56+BF56</f>
        <v>325591237</v>
      </c>
      <c r="BK56" s="608"/>
      <c r="BL56" s="489"/>
    </row>
    <row r="57" spans="1:64" s="178" customFormat="1" ht="91.5" customHeight="1" x14ac:dyDescent="0.2">
      <c r="A57" s="386"/>
      <c r="B57" s="453"/>
      <c r="C57" s="454"/>
      <c r="D57" s="304"/>
      <c r="E57" s="456">
        <v>2402</v>
      </c>
      <c r="F57" s="455" t="s">
        <v>1530</v>
      </c>
      <c r="G57" s="175" t="s">
        <v>1531</v>
      </c>
      <c r="H57" s="32" t="s">
        <v>83</v>
      </c>
      <c r="I57" s="31" t="s">
        <v>1532</v>
      </c>
      <c r="J57" s="175" t="s">
        <v>1533</v>
      </c>
      <c r="K57" s="175" t="s">
        <v>83</v>
      </c>
      <c r="L57" s="31" t="s">
        <v>1534</v>
      </c>
      <c r="M57" s="456" t="s">
        <v>179</v>
      </c>
      <c r="N57" s="456">
        <v>8</v>
      </c>
      <c r="O57" s="175">
        <v>1</v>
      </c>
      <c r="P57" s="175">
        <v>1</v>
      </c>
      <c r="Q57" s="211"/>
      <c r="R57" s="456"/>
      <c r="S57" s="455"/>
      <c r="T57" s="27"/>
      <c r="U57" s="27"/>
      <c r="V57" s="27"/>
      <c r="W57" s="27"/>
      <c r="X57" s="27"/>
      <c r="Y57" s="27"/>
      <c r="Z57" s="170"/>
      <c r="AA57" s="170"/>
      <c r="AB57" s="170"/>
      <c r="AC57" s="27"/>
      <c r="AD57" s="27"/>
      <c r="AE57" s="27"/>
      <c r="AF57" s="27"/>
      <c r="AG57" s="27"/>
      <c r="AH57" s="27"/>
      <c r="AI57" s="27"/>
      <c r="AJ57" s="27"/>
      <c r="AK57" s="27"/>
      <c r="AL57" s="27"/>
      <c r="AM57" s="27"/>
      <c r="AN57" s="27"/>
      <c r="AO57" s="27"/>
      <c r="AP57" s="27"/>
      <c r="AQ57" s="27"/>
      <c r="AR57" s="27"/>
      <c r="AS57" s="27"/>
      <c r="AT57" s="27"/>
      <c r="AU57" s="27"/>
      <c r="AV57" s="27"/>
      <c r="AW57" s="27"/>
      <c r="AX57" s="176">
        <f>0+34000000</f>
        <v>34000000</v>
      </c>
      <c r="AY57" s="176"/>
      <c r="AZ57" s="176"/>
      <c r="BA57" s="27"/>
      <c r="BB57" s="27"/>
      <c r="BC57" s="27"/>
      <c r="BD57" s="27"/>
      <c r="BE57" s="27"/>
      <c r="BF57" s="27"/>
      <c r="BG57" s="177">
        <f>+T57+W57+Z57+AC57+AF57+AI57+AL57+AO57+AR57+AU57+AX57+BA57+BD57</f>
        <v>34000000</v>
      </c>
      <c r="BH57" s="177"/>
      <c r="BI57" s="177"/>
      <c r="BK57" s="608"/>
    </row>
    <row r="58" spans="1:64" ht="23.25" customHeight="1" x14ac:dyDescent="0.2">
      <c r="A58" s="377"/>
      <c r="B58" s="380"/>
      <c r="C58" s="171">
        <v>21</v>
      </c>
      <c r="D58" s="146" t="s">
        <v>240</v>
      </c>
      <c r="E58" s="308" t="s">
        <v>241</v>
      </c>
      <c r="F58" s="145"/>
      <c r="G58" s="146"/>
      <c r="H58" s="147"/>
      <c r="I58" s="145"/>
      <c r="J58" s="146"/>
      <c r="K58" s="146"/>
      <c r="L58" s="145"/>
      <c r="M58" s="148"/>
      <c r="N58" s="148"/>
      <c r="O58" s="146"/>
      <c r="P58" s="146"/>
      <c r="Q58" s="368"/>
      <c r="R58" s="146"/>
      <c r="S58" s="145"/>
      <c r="T58" s="150">
        <f t="shared" ref="T58:BI58" si="19">T59</f>
        <v>0</v>
      </c>
      <c r="U58" s="150">
        <f t="shared" si="19"/>
        <v>0</v>
      </c>
      <c r="V58" s="150">
        <f t="shared" si="19"/>
        <v>0</v>
      </c>
      <c r="W58" s="150">
        <f t="shared" si="19"/>
        <v>0</v>
      </c>
      <c r="X58" s="150">
        <f t="shared" si="19"/>
        <v>0</v>
      </c>
      <c r="Y58" s="150">
        <f t="shared" si="19"/>
        <v>0</v>
      </c>
      <c r="Z58" s="150">
        <f t="shared" si="19"/>
        <v>0</v>
      </c>
      <c r="AA58" s="150">
        <f t="shared" si="19"/>
        <v>0</v>
      </c>
      <c r="AB58" s="150">
        <f t="shared" si="19"/>
        <v>0</v>
      </c>
      <c r="AC58" s="150">
        <f t="shared" si="19"/>
        <v>0</v>
      </c>
      <c r="AD58" s="150">
        <f t="shared" si="19"/>
        <v>0</v>
      </c>
      <c r="AE58" s="150">
        <f t="shared" si="19"/>
        <v>0</v>
      </c>
      <c r="AF58" s="150">
        <f t="shared" si="19"/>
        <v>0</v>
      </c>
      <c r="AG58" s="150">
        <f t="shared" si="19"/>
        <v>0</v>
      </c>
      <c r="AH58" s="150">
        <f t="shared" si="19"/>
        <v>0</v>
      </c>
      <c r="AI58" s="150">
        <f t="shared" si="19"/>
        <v>0</v>
      </c>
      <c r="AJ58" s="150">
        <f t="shared" si="19"/>
        <v>0</v>
      </c>
      <c r="AK58" s="150">
        <f t="shared" si="19"/>
        <v>0</v>
      </c>
      <c r="AL58" s="150">
        <f t="shared" si="19"/>
        <v>0</v>
      </c>
      <c r="AM58" s="150">
        <f t="shared" si="19"/>
        <v>0</v>
      </c>
      <c r="AN58" s="150">
        <f t="shared" si="19"/>
        <v>0</v>
      </c>
      <c r="AO58" s="150">
        <f t="shared" si="19"/>
        <v>0</v>
      </c>
      <c r="AP58" s="150">
        <f t="shared" si="19"/>
        <v>0</v>
      </c>
      <c r="AQ58" s="150">
        <f t="shared" si="19"/>
        <v>0</v>
      </c>
      <c r="AR58" s="150">
        <f t="shared" si="19"/>
        <v>0</v>
      </c>
      <c r="AS58" s="150">
        <f t="shared" si="19"/>
        <v>0</v>
      </c>
      <c r="AT58" s="150">
        <f t="shared" si="19"/>
        <v>0</v>
      </c>
      <c r="AU58" s="150">
        <f t="shared" si="19"/>
        <v>0</v>
      </c>
      <c r="AV58" s="150">
        <f t="shared" si="19"/>
        <v>0</v>
      </c>
      <c r="AW58" s="150">
        <f t="shared" si="19"/>
        <v>0</v>
      </c>
      <c r="AX58" s="150">
        <f t="shared" si="19"/>
        <v>1000000</v>
      </c>
      <c r="AY58" s="150">
        <f t="shared" si="19"/>
        <v>0</v>
      </c>
      <c r="AZ58" s="150">
        <f t="shared" si="19"/>
        <v>0</v>
      </c>
      <c r="BA58" s="150">
        <f t="shared" si="19"/>
        <v>0</v>
      </c>
      <c r="BB58" s="150">
        <f t="shared" si="19"/>
        <v>0</v>
      </c>
      <c r="BC58" s="150">
        <f t="shared" si="19"/>
        <v>0</v>
      </c>
      <c r="BD58" s="150">
        <f t="shared" si="19"/>
        <v>0</v>
      </c>
      <c r="BE58" s="150">
        <f t="shared" si="19"/>
        <v>0</v>
      </c>
      <c r="BF58" s="150">
        <f t="shared" si="19"/>
        <v>0</v>
      </c>
      <c r="BG58" s="150">
        <f t="shared" si="19"/>
        <v>1000000</v>
      </c>
      <c r="BH58" s="150">
        <f t="shared" si="19"/>
        <v>0</v>
      </c>
      <c r="BI58" s="150">
        <f t="shared" si="19"/>
        <v>0</v>
      </c>
      <c r="BK58" s="608"/>
    </row>
    <row r="59" spans="1:64" ht="63.75" customHeight="1" x14ac:dyDescent="0.2">
      <c r="A59" s="377"/>
      <c r="B59" s="380"/>
      <c r="C59" s="322"/>
      <c r="D59" s="323"/>
      <c r="E59" s="305">
        <v>3202</v>
      </c>
      <c r="F59" s="306" t="s">
        <v>242</v>
      </c>
      <c r="G59" s="305" t="s">
        <v>243</v>
      </c>
      <c r="H59" s="175">
        <v>3202033</v>
      </c>
      <c r="I59" s="306" t="s">
        <v>244</v>
      </c>
      <c r="J59" s="305" t="s">
        <v>245</v>
      </c>
      <c r="K59" s="175">
        <v>320203300</v>
      </c>
      <c r="L59" s="306" t="s">
        <v>244</v>
      </c>
      <c r="M59" s="305" t="s">
        <v>179</v>
      </c>
      <c r="N59" s="305">
        <v>1</v>
      </c>
      <c r="O59" s="305">
        <v>0.1</v>
      </c>
      <c r="P59" s="305">
        <v>0</v>
      </c>
      <c r="Q59" s="367" t="s">
        <v>225</v>
      </c>
      <c r="R59" s="305" t="s">
        <v>226</v>
      </c>
      <c r="S59" s="307" t="s">
        <v>227</v>
      </c>
      <c r="T59" s="27"/>
      <c r="U59" s="27"/>
      <c r="V59" s="27"/>
      <c r="W59" s="27"/>
      <c r="X59" s="27"/>
      <c r="Y59" s="27"/>
      <c r="Z59" s="310"/>
      <c r="AA59" s="310"/>
      <c r="AB59" s="310"/>
      <c r="AC59" s="27"/>
      <c r="AD59" s="27"/>
      <c r="AE59" s="27"/>
      <c r="AF59" s="27"/>
      <c r="AG59" s="27"/>
      <c r="AH59" s="27"/>
      <c r="AI59" s="27"/>
      <c r="AJ59" s="27"/>
      <c r="AK59" s="27"/>
      <c r="AL59" s="27"/>
      <c r="AM59" s="27"/>
      <c r="AN59" s="27"/>
      <c r="AO59" s="27"/>
      <c r="AP59" s="27"/>
      <c r="AQ59" s="27"/>
      <c r="AR59" s="27"/>
      <c r="AS59" s="27"/>
      <c r="AT59" s="27"/>
      <c r="AU59" s="27"/>
      <c r="AV59" s="27"/>
      <c r="AW59" s="27"/>
      <c r="AX59" s="176">
        <v>1000000</v>
      </c>
      <c r="AY59" s="176">
        <v>0</v>
      </c>
      <c r="AZ59" s="176">
        <v>0</v>
      </c>
      <c r="BA59" s="27"/>
      <c r="BB59" s="27"/>
      <c r="BC59" s="27"/>
      <c r="BD59" s="27"/>
      <c r="BE59" s="27"/>
      <c r="BF59" s="27"/>
      <c r="BG59" s="151">
        <f>+T59+W59+Z59+AC59+AF59+AI59+AL59+AO59+AR59+AU59+AX59+BA59+BD59</f>
        <v>1000000</v>
      </c>
      <c r="BH59" s="151">
        <f>+U59+X59+AA59+AD59+AG59+AJ59+AM59+AP59+AS59+AV59+AY59+BB59+BE59</f>
        <v>0</v>
      </c>
      <c r="BI59" s="151">
        <f>+V59+Y59+AB59+AE59+AH59+AK59+AN59+AQ59+AT59+AW59+AZ59+BC59+BF59</f>
        <v>0</v>
      </c>
      <c r="BK59" s="608"/>
    </row>
    <row r="60" spans="1:64" ht="19.5" customHeight="1" x14ac:dyDescent="0.2">
      <c r="A60" s="377"/>
      <c r="B60" s="380"/>
      <c r="C60" s="171">
        <v>23</v>
      </c>
      <c r="D60" s="146">
        <v>3205</v>
      </c>
      <c r="E60" s="308" t="s">
        <v>246</v>
      </c>
      <c r="F60" s="145"/>
      <c r="G60" s="146"/>
      <c r="H60" s="147"/>
      <c r="I60" s="145"/>
      <c r="J60" s="146"/>
      <c r="K60" s="146"/>
      <c r="L60" s="145"/>
      <c r="M60" s="148"/>
      <c r="N60" s="148"/>
      <c r="O60" s="146"/>
      <c r="P60" s="146"/>
      <c r="Q60" s="368"/>
      <c r="R60" s="146"/>
      <c r="S60" s="145"/>
      <c r="T60" s="150">
        <f t="shared" ref="T60:BI60" si="20">SUM(T61:T61)</f>
        <v>0</v>
      </c>
      <c r="U60" s="150">
        <f t="shared" si="20"/>
        <v>0</v>
      </c>
      <c r="V60" s="150">
        <f t="shared" si="20"/>
        <v>0</v>
      </c>
      <c r="W60" s="150">
        <f t="shared" si="20"/>
        <v>0</v>
      </c>
      <c r="X60" s="150">
        <f t="shared" si="20"/>
        <v>0</v>
      </c>
      <c r="Y60" s="150">
        <f t="shared" si="20"/>
        <v>0</v>
      </c>
      <c r="Z60" s="150">
        <f t="shared" si="20"/>
        <v>0</v>
      </c>
      <c r="AA60" s="150">
        <f t="shared" si="20"/>
        <v>0</v>
      </c>
      <c r="AB60" s="150">
        <f t="shared" si="20"/>
        <v>0</v>
      </c>
      <c r="AC60" s="150">
        <f t="shared" si="20"/>
        <v>0</v>
      </c>
      <c r="AD60" s="150">
        <f t="shared" si="20"/>
        <v>0</v>
      </c>
      <c r="AE60" s="150">
        <f t="shared" si="20"/>
        <v>0</v>
      </c>
      <c r="AF60" s="150">
        <f t="shared" si="20"/>
        <v>0</v>
      </c>
      <c r="AG60" s="150">
        <f t="shared" si="20"/>
        <v>0</v>
      </c>
      <c r="AH60" s="150">
        <f t="shared" si="20"/>
        <v>0</v>
      </c>
      <c r="AI60" s="150">
        <f t="shared" si="20"/>
        <v>0</v>
      </c>
      <c r="AJ60" s="150">
        <f t="shared" si="20"/>
        <v>0</v>
      </c>
      <c r="AK60" s="150">
        <f t="shared" si="20"/>
        <v>0</v>
      </c>
      <c r="AL60" s="150">
        <f t="shared" si="20"/>
        <v>0</v>
      </c>
      <c r="AM60" s="150">
        <f t="shared" si="20"/>
        <v>0</v>
      </c>
      <c r="AN60" s="150">
        <f t="shared" si="20"/>
        <v>0</v>
      </c>
      <c r="AO60" s="150">
        <f t="shared" si="20"/>
        <v>0</v>
      </c>
      <c r="AP60" s="150">
        <f t="shared" si="20"/>
        <v>0</v>
      </c>
      <c r="AQ60" s="150">
        <f t="shared" si="20"/>
        <v>0</v>
      </c>
      <c r="AR60" s="150">
        <f t="shared" si="20"/>
        <v>0</v>
      </c>
      <c r="AS60" s="150">
        <f t="shared" si="20"/>
        <v>0</v>
      </c>
      <c r="AT60" s="150">
        <f t="shared" si="20"/>
        <v>0</v>
      </c>
      <c r="AU60" s="150">
        <f t="shared" si="20"/>
        <v>0</v>
      </c>
      <c r="AV60" s="150">
        <f t="shared" si="20"/>
        <v>0</v>
      </c>
      <c r="AW60" s="150">
        <f t="shared" si="20"/>
        <v>0</v>
      </c>
      <c r="AX60" s="150">
        <f t="shared" si="20"/>
        <v>170360668</v>
      </c>
      <c r="AY60" s="150">
        <f t="shared" si="20"/>
        <v>0</v>
      </c>
      <c r="AZ60" s="150">
        <f t="shared" si="20"/>
        <v>0</v>
      </c>
      <c r="BA60" s="150">
        <f t="shared" si="20"/>
        <v>0</v>
      </c>
      <c r="BB60" s="150">
        <f t="shared" si="20"/>
        <v>0</v>
      </c>
      <c r="BC60" s="150">
        <f t="shared" si="20"/>
        <v>0</v>
      </c>
      <c r="BD60" s="150">
        <f t="shared" si="20"/>
        <v>0</v>
      </c>
      <c r="BE60" s="150">
        <f t="shared" si="20"/>
        <v>0</v>
      </c>
      <c r="BF60" s="150">
        <f t="shared" si="20"/>
        <v>0</v>
      </c>
      <c r="BG60" s="150">
        <f t="shared" si="20"/>
        <v>170360668</v>
      </c>
      <c r="BH60" s="150">
        <f t="shared" si="20"/>
        <v>0</v>
      </c>
      <c r="BI60" s="150">
        <f t="shared" si="20"/>
        <v>0</v>
      </c>
      <c r="BK60" s="608"/>
    </row>
    <row r="61" spans="1:64" s="178" customFormat="1" ht="97.5" customHeight="1" x14ac:dyDescent="0.2">
      <c r="A61" s="386"/>
      <c r="B61" s="387"/>
      <c r="C61" s="331"/>
      <c r="D61" s="304"/>
      <c r="E61" s="311">
        <v>3205</v>
      </c>
      <c r="F61" s="312" t="s">
        <v>242</v>
      </c>
      <c r="G61" s="311" t="s">
        <v>368</v>
      </c>
      <c r="H61" s="175">
        <v>3205021</v>
      </c>
      <c r="I61" s="312" t="s">
        <v>248</v>
      </c>
      <c r="J61" s="601" t="s">
        <v>247</v>
      </c>
      <c r="K61" s="175">
        <v>320502100</v>
      </c>
      <c r="L61" s="312" t="s">
        <v>249</v>
      </c>
      <c r="M61" s="266" t="s">
        <v>179</v>
      </c>
      <c r="N61" s="266">
        <v>8</v>
      </c>
      <c r="O61" s="266">
        <v>1</v>
      </c>
      <c r="P61" s="266">
        <v>1</v>
      </c>
      <c r="Q61" s="211" t="s">
        <v>237</v>
      </c>
      <c r="R61" s="311" t="s">
        <v>238</v>
      </c>
      <c r="S61" s="312" t="s">
        <v>239</v>
      </c>
      <c r="T61" s="27"/>
      <c r="U61" s="27"/>
      <c r="V61" s="27"/>
      <c r="W61" s="27"/>
      <c r="X61" s="27"/>
      <c r="Y61" s="27"/>
      <c r="Z61" s="310"/>
      <c r="AA61" s="310"/>
      <c r="AB61" s="310"/>
      <c r="AC61" s="27"/>
      <c r="AD61" s="27"/>
      <c r="AE61" s="27"/>
      <c r="AF61" s="27"/>
      <c r="AG61" s="27"/>
      <c r="AH61" s="27"/>
      <c r="AI61" s="27"/>
      <c r="AJ61" s="27"/>
      <c r="AK61" s="27"/>
      <c r="AL61" s="27"/>
      <c r="AM61" s="27"/>
      <c r="AN61" s="27"/>
      <c r="AO61" s="27"/>
      <c r="AP61" s="27"/>
      <c r="AQ61" s="27"/>
      <c r="AR61" s="27"/>
      <c r="AS61" s="27"/>
      <c r="AT61" s="27"/>
      <c r="AU61" s="27"/>
      <c r="AV61" s="27"/>
      <c r="AW61" s="27"/>
      <c r="AX61" s="176">
        <v>170360668</v>
      </c>
      <c r="AY61" s="179">
        <v>0</v>
      </c>
      <c r="AZ61" s="179">
        <v>0</v>
      </c>
      <c r="BA61" s="27"/>
      <c r="BB61" s="27"/>
      <c r="BC61" s="27"/>
      <c r="BD61" s="27"/>
      <c r="BE61" s="27"/>
      <c r="BF61" s="27"/>
      <c r="BG61" s="177">
        <f>+T61+W61+Z61+AC61+AF61+AI61+AL61+AO61+AR61+AU61+AX61+BA61+BD61</f>
        <v>170360668</v>
      </c>
      <c r="BH61" s="177">
        <f>+U61+X61+AA61+AD61+AG61+AJ61+AM61+AP61+AS61+AV61+AY61+BB61+BE61</f>
        <v>0</v>
      </c>
      <c r="BI61" s="177">
        <f>+V61+Y61+AB61+AE61+AH61+AK61+AN61+AQ61+AT61+AW61+AZ61+BC61+BF61</f>
        <v>0</v>
      </c>
      <c r="BK61" s="608"/>
    </row>
    <row r="62" spans="1:64" ht="21.75" customHeight="1" x14ac:dyDescent="0.2">
      <c r="A62" s="377"/>
      <c r="B62" s="380"/>
      <c r="C62" s="171">
        <v>33</v>
      </c>
      <c r="D62" s="146">
        <v>4001</v>
      </c>
      <c r="E62" s="308" t="s">
        <v>250</v>
      </c>
      <c r="F62" s="145"/>
      <c r="G62" s="146"/>
      <c r="H62" s="147"/>
      <c r="I62" s="145"/>
      <c r="J62" s="146"/>
      <c r="K62" s="146"/>
      <c r="L62" s="145"/>
      <c r="M62" s="148"/>
      <c r="N62" s="148"/>
      <c r="O62" s="146"/>
      <c r="P62" s="146"/>
      <c r="Q62" s="368"/>
      <c r="R62" s="146"/>
      <c r="S62" s="145"/>
      <c r="T62" s="150">
        <f t="shared" ref="T62:BI62" si="21">T63</f>
        <v>129129296.87</v>
      </c>
      <c r="U62" s="150">
        <f t="shared" si="21"/>
        <v>36850621</v>
      </c>
      <c r="V62" s="150">
        <f t="shared" si="21"/>
        <v>36850621</v>
      </c>
      <c r="W62" s="150">
        <f t="shared" si="21"/>
        <v>0</v>
      </c>
      <c r="X62" s="150">
        <f t="shared" si="21"/>
        <v>0</v>
      </c>
      <c r="Y62" s="150">
        <f t="shared" si="21"/>
        <v>0</v>
      </c>
      <c r="Z62" s="150">
        <f t="shared" si="21"/>
        <v>0</v>
      </c>
      <c r="AA62" s="150">
        <f t="shared" si="21"/>
        <v>0</v>
      </c>
      <c r="AB62" s="150">
        <f t="shared" si="21"/>
        <v>0</v>
      </c>
      <c r="AC62" s="150">
        <f t="shared" si="21"/>
        <v>0</v>
      </c>
      <c r="AD62" s="150">
        <f t="shared" si="21"/>
        <v>0</v>
      </c>
      <c r="AE62" s="150">
        <f t="shared" si="21"/>
        <v>0</v>
      </c>
      <c r="AF62" s="150">
        <f t="shared" si="21"/>
        <v>0</v>
      </c>
      <c r="AG62" s="150">
        <f t="shared" si="21"/>
        <v>0</v>
      </c>
      <c r="AH62" s="150">
        <f t="shared" si="21"/>
        <v>0</v>
      </c>
      <c r="AI62" s="150">
        <f t="shared" si="21"/>
        <v>0</v>
      </c>
      <c r="AJ62" s="150">
        <f t="shared" si="21"/>
        <v>0</v>
      </c>
      <c r="AK62" s="150">
        <f t="shared" si="21"/>
        <v>0</v>
      </c>
      <c r="AL62" s="150">
        <f t="shared" si="21"/>
        <v>0</v>
      </c>
      <c r="AM62" s="150">
        <f t="shared" si="21"/>
        <v>0</v>
      </c>
      <c r="AN62" s="150">
        <f t="shared" si="21"/>
        <v>0</v>
      </c>
      <c r="AO62" s="150">
        <f t="shared" si="21"/>
        <v>0</v>
      </c>
      <c r="AP62" s="150">
        <f t="shared" si="21"/>
        <v>0</v>
      </c>
      <c r="AQ62" s="150">
        <f t="shared" si="21"/>
        <v>0</v>
      </c>
      <c r="AR62" s="150">
        <f t="shared" si="21"/>
        <v>0</v>
      </c>
      <c r="AS62" s="150">
        <f t="shared" si="21"/>
        <v>0</v>
      </c>
      <c r="AT62" s="150">
        <f t="shared" si="21"/>
        <v>0</v>
      </c>
      <c r="AU62" s="150">
        <f t="shared" si="21"/>
        <v>0</v>
      </c>
      <c r="AV62" s="150">
        <f t="shared" si="21"/>
        <v>0</v>
      </c>
      <c r="AW62" s="150">
        <f t="shared" si="21"/>
        <v>0</v>
      </c>
      <c r="AX62" s="150">
        <f t="shared" si="21"/>
        <v>0</v>
      </c>
      <c r="AY62" s="150">
        <f t="shared" si="21"/>
        <v>0</v>
      </c>
      <c r="AZ62" s="150">
        <f t="shared" si="21"/>
        <v>0</v>
      </c>
      <c r="BA62" s="150">
        <f t="shared" si="21"/>
        <v>0</v>
      </c>
      <c r="BB62" s="150">
        <f t="shared" si="21"/>
        <v>0</v>
      </c>
      <c r="BC62" s="150">
        <f t="shared" si="21"/>
        <v>0</v>
      </c>
      <c r="BD62" s="150">
        <f t="shared" si="21"/>
        <v>0</v>
      </c>
      <c r="BE62" s="150">
        <f t="shared" si="21"/>
        <v>0</v>
      </c>
      <c r="BF62" s="150">
        <f t="shared" si="21"/>
        <v>0</v>
      </c>
      <c r="BG62" s="150">
        <f t="shared" si="21"/>
        <v>129129296.87</v>
      </c>
      <c r="BH62" s="150">
        <f t="shared" si="21"/>
        <v>36850621</v>
      </c>
      <c r="BI62" s="150">
        <f t="shared" si="21"/>
        <v>36850621</v>
      </c>
      <c r="BK62" s="608"/>
    </row>
    <row r="63" spans="1:64" ht="82.5" customHeight="1" x14ac:dyDescent="0.2">
      <c r="A63" s="377"/>
      <c r="B63" s="380"/>
      <c r="C63" s="322"/>
      <c r="D63" s="323"/>
      <c r="E63" s="305">
        <v>4001</v>
      </c>
      <c r="F63" s="306" t="s">
        <v>1417</v>
      </c>
      <c r="G63" s="261" t="s">
        <v>251</v>
      </c>
      <c r="H63" s="32">
        <v>4001015</v>
      </c>
      <c r="I63" s="306" t="s">
        <v>252</v>
      </c>
      <c r="J63" s="261" t="s">
        <v>253</v>
      </c>
      <c r="K63" s="261" t="s">
        <v>1382</v>
      </c>
      <c r="L63" s="267" t="s">
        <v>254</v>
      </c>
      <c r="M63" s="305" t="s">
        <v>179</v>
      </c>
      <c r="N63" s="305">
        <v>300</v>
      </c>
      <c r="O63" s="305">
        <v>10</v>
      </c>
      <c r="P63" s="305">
        <v>0</v>
      </c>
      <c r="Q63" s="367" t="s">
        <v>255</v>
      </c>
      <c r="R63" s="305" t="s">
        <v>199</v>
      </c>
      <c r="S63" s="306" t="s">
        <v>200</v>
      </c>
      <c r="T63" s="27">
        <f>702546165-270099880.13-303316988</f>
        <v>129129296.87</v>
      </c>
      <c r="U63" s="27">
        <v>36850621</v>
      </c>
      <c r="V63" s="27">
        <v>36850621</v>
      </c>
      <c r="W63" s="27"/>
      <c r="X63" s="27"/>
      <c r="Y63" s="27"/>
      <c r="Z63" s="310"/>
      <c r="AA63" s="310"/>
      <c r="AB63" s="310"/>
      <c r="AC63" s="27"/>
      <c r="AD63" s="27"/>
      <c r="AE63" s="27"/>
      <c r="AF63" s="27"/>
      <c r="AG63" s="27"/>
      <c r="AH63" s="27"/>
      <c r="AI63" s="27"/>
      <c r="AJ63" s="27"/>
      <c r="AK63" s="27"/>
      <c r="AL63" s="27"/>
      <c r="AM63" s="27"/>
      <c r="AN63" s="27"/>
      <c r="AO63" s="27"/>
      <c r="AP63" s="27"/>
      <c r="AQ63" s="27"/>
      <c r="AR63" s="27"/>
      <c r="AS63" s="27"/>
      <c r="AT63" s="27"/>
      <c r="AU63" s="27"/>
      <c r="AV63" s="27"/>
      <c r="AW63" s="27"/>
      <c r="AX63" s="33"/>
      <c r="AY63" s="33"/>
      <c r="AZ63" s="33"/>
      <c r="BA63" s="27"/>
      <c r="BB63" s="27"/>
      <c r="BC63" s="27"/>
      <c r="BD63" s="27"/>
      <c r="BE63" s="27"/>
      <c r="BF63" s="27"/>
      <c r="BG63" s="151">
        <f>+T63+W63+Z63+AC63+AF63+AI63+AL63+AO63+AR63+AU63+AX63+BA63+BD63</f>
        <v>129129296.87</v>
      </c>
      <c r="BH63" s="151">
        <f>+U63+X63+AA63+AD63+AG63+AJ63+AM63+AP63+AS63+AV63+AY63+BB63+BE63</f>
        <v>36850621</v>
      </c>
      <c r="BI63" s="151">
        <f>+V63+Y63+AB63+AE63+AH63+AK63+AN63+AQ63+AT63+AW63+AZ63+BC63+BF63</f>
        <v>36850621</v>
      </c>
      <c r="BK63" s="608"/>
    </row>
    <row r="64" spans="1:64" ht="21" customHeight="1" x14ac:dyDescent="0.2">
      <c r="A64" s="377"/>
      <c r="B64" s="380"/>
      <c r="C64" s="171">
        <v>34</v>
      </c>
      <c r="D64" s="146">
        <v>4003</v>
      </c>
      <c r="E64" s="308" t="s">
        <v>256</v>
      </c>
      <c r="F64" s="145"/>
      <c r="G64" s="146"/>
      <c r="H64" s="147"/>
      <c r="I64" s="145"/>
      <c r="J64" s="146"/>
      <c r="K64" s="146"/>
      <c r="L64" s="145"/>
      <c r="M64" s="148"/>
      <c r="N64" s="148"/>
      <c r="O64" s="146"/>
      <c r="P64" s="146"/>
      <c r="Q64" s="368"/>
      <c r="R64" s="146"/>
      <c r="S64" s="145"/>
      <c r="T64" s="150">
        <f t="shared" ref="T64:BG64" si="22">SUM(T65:T69)</f>
        <v>75293233.930000007</v>
      </c>
      <c r="U64" s="150">
        <f t="shared" si="22"/>
        <v>0</v>
      </c>
      <c r="V64" s="150">
        <f t="shared" si="22"/>
        <v>0</v>
      </c>
      <c r="W64" s="150">
        <f t="shared" si="22"/>
        <v>0</v>
      </c>
      <c r="X64" s="150">
        <f t="shared" si="22"/>
        <v>0</v>
      </c>
      <c r="Y64" s="150">
        <f t="shared" si="22"/>
        <v>0</v>
      </c>
      <c r="Z64" s="150">
        <f t="shared" si="22"/>
        <v>0</v>
      </c>
      <c r="AA64" s="150">
        <f t="shared" si="22"/>
        <v>0</v>
      </c>
      <c r="AB64" s="150">
        <f t="shared" si="22"/>
        <v>0</v>
      </c>
      <c r="AC64" s="150">
        <f t="shared" si="22"/>
        <v>0</v>
      </c>
      <c r="AD64" s="150">
        <f t="shared" si="22"/>
        <v>0</v>
      </c>
      <c r="AE64" s="150">
        <f t="shared" si="22"/>
        <v>0</v>
      </c>
      <c r="AF64" s="150">
        <f t="shared" si="22"/>
        <v>0</v>
      </c>
      <c r="AG64" s="150">
        <f t="shared" si="22"/>
        <v>0</v>
      </c>
      <c r="AH64" s="150">
        <f t="shared" si="22"/>
        <v>0</v>
      </c>
      <c r="AI64" s="150">
        <f t="shared" si="22"/>
        <v>0</v>
      </c>
      <c r="AJ64" s="150">
        <f t="shared" si="22"/>
        <v>0</v>
      </c>
      <c r="AK64" s="150">
        <f t="shared" si="22"/>
        <v>0</v>
      </c>
      <c r="AL64" s="150">
        <f t="shared" si="22"/>
        <v>0</v>
      </c>
      <c r="AM64" s="150">
        <f t="shared" si="22"/>
        <v>0</v>
      </c>
      <c r="AN64" s="150">
        <f t="shared" si="22"/>
        <v>0</v>
      </c>
      <c r="AO64" s="150">
        <f t="shared" si="22"/>
        <v>0</v>
      </c>
      <c r="AP64" s="150">
        <f t="shared" si="22"/>
        <v>0</v>
      </c>
      <c r="AQ64" s="150">
        <f t="shared" si="22"/>
        <v>0</v>
      </c>
      <c r="AR64" s="150">
        <f t="shared" si="22"/>
        <v>0</v>
      </c>
      <c r="AS64" s="150">
        <f t="shared" si="22"/>
        <v>0</v>
      </c>
      <c r="AT64" s="150">
        <f t="shared" si="22"/>
        <v>0</v>
      </c>
      <c r="AU64" s="150">
        <f t="shared" si="22"/>
        <v>2780436507.1199999</v>
      </c>
      <c r="AV64" s="150">
        <f t="shared" si="22"/>
        <v>2766983630</v>
      </c>
      <c r="AW64" s="150">
        <f t="shared" si="22"/>
        <v>2766983630</v>
      </c>
      <c r="AX64" s="150">
        <f t="shared" si="22"/>
        <v>30000000</v>
      </c>
      <c r="AY64" s="150">
        <f t="shared" si="22"/>
        <v>0</v>
      </c>
      <c r="AZ64" s="150">
        <f t="shared" si="22"/>
        <v>0</v>
      </c>
      <c r="BA64" s="150">
        <f t="shared" si="22"/>
        <v>0</v>
      </c>
      <c r="BB64" s="150">
        <f t="shared" si="22"/>
        <v>0</v>
      </c>
      <c r="BC64" s="150">
        <f t="shared" si="22"/>
        <v>0</v>
      </c>
      <c r="BD64" s="150">
        <f t="shared" si="22"/>
        <v>0</v>
      </c>
      <c r="BE64" s="150">
        <f t="shared" si="22"/>
        <v>0</v>
      </c>
      <c r="BF64" s="150">
        <f t="shared" si="22"/>
        <v>0</v>
      </c>
      <c r="BG64" s="150">
        <f t="shared" si="22"/>
        <v>2885729741.0500002</v>
      </c>
      <c r="BH64" s="150">
        <f>SUM(BH65:BH69)</f>
        <v>2766983630</v>
      </c>
      <c r="BI64" s="150">
        <f>SUM(BI65:BI69)</f>
        <v>2766983630</v>
      </c>
      <c r="BK64" s="608"/>
    </row>
    <row r="65" spans="1:64" ht="85.5" customHeight="1" x14ac:dyDescent="0.2">
      <c r="A65" s="377"/>
      <c r="B65" s="380"/>
      <c r="C65" s="322"/>
      <c r="D65" s="323"/>
      <c r="E65" s="305">
        <v>4003</v>
      </c>
      <c r="F65" s="31" t="s">
        <v>257</v>
      </c>
      <c r="G65" s="305" t="s">
        <v>258</v>
      </c>
      <c r="H65" s="32" t="s">
        <v>83</v>
      </c>
      <c r="I65" s="306" t="s">
        <v>259</v>
      </c>
      <c r="J65" s="305" t="s">
        <v>260</v>
      </c>
      <c r="K65" s="175" t="s">
        <v>83</v>
      </c>
      <c r="L65" s="306" t="s">
        <v>261</v>
      </c>
      <c r="M65" s="305" t="s">
        <v>89</v>
      </c>
      <c r="N65" s="305">
        <v>1</v>
      </c>
      <c r="O65" s="305">
        <v>1</v>
      </c>
      <c r="P65" s="305">
        <v>0</v>
      </c>
      <c r="Q65" s="612" t="s">
        <v>262</v>
      </c>
      <c r="R65" s="613" t="s">
        <v>263</v>
      </c>
      <c r="S65" s="611" t="s">
        <v>1418</v>
      </c>
      <c r="T65" s="27"/>
      <c r="U65" s="27"/>
      <c r="V65" s="27"/>
      <c r="W65" s="27"/>
      <c r="X65" s="27"/>
      <c r="Y65" s="27"/>
      <c r="Z65" s="310"/>
      <c r="AA65" s="310"/>
      <c r="AB65" s="310"/>
      <c r="AC65" s="27"/>
      <c r="AD65" s="27"/>
      <c r="AE65" s="27"/>
      <c r="AF65" s="27"/>
      <c r="AG65" s="27"/>
      <c r="AH65" s="27"/>
      <c r="AI65" s="27"/>
      <c r="AJ65" s="27"/>
      <c r="AK65" s="27"/>
      <c r="AL65" s="27"/>
      <c r="AM65" s="27"/>
      <c r="AN65" s="27"/>
      <c r="AO65" s="27"/>
      <c r="AP65" s="27"/>
      <c r="AQ65" s="27"/>
      <c r="AR65" s="27"/>
      <c r="AS65" s="27"/>
      <c r="AT65" s="27"/>
      <c r="AU65" s="27"/>
      <c r="AV65" s="27"/>
      <c r="AW65" s="27"/>
      <c r="AX65" s="33">
        <v>30000000</v>
      </c>
      <c r="AY65" s="33">
        <v>0</v>
      </c>
      <c r="AZ65" s="33">
        <v>0</v>
      </c>
      <c r="BA65" s="27"/>
      <c r="BB65" s="27"/>
      <c r="BC65" s="27"/>
      <c r="BD65" s="27"/>
      <c r="BE65" s="27"/>
      <c r="BF65" s="27"/>
      <c r="BG65" s="151">
        <f>+T65+W65+Z65+AC65+AF65+AI65+AL65+AO65+AR65+AU65+AX65+BA65+BD65</f>
        <v>30000000</v>
      </c>
      <c r="BH65" s="151">
        <f t="shared" ref="BH65:BI69" si="23">+U65+X65+AA65+AD65+AG65+AJ65+AM65+AP65+AS65+AV65+AY65+BB65+BE65</f>
        <v>0</v>
      </c>
      <c r="BI65" s="151">
        <f t="shared" si="23"/>
        <v>0</v>
      </c>
      <c r="BK65" s="608"/>
    </row>
    <row r="66" spans="1:64" ht="67.5" customHeight="1" x14ac:dyDescent="0.2">
      <c r="A66" s="377"/>
      <c r="B66" s="380"/>
      <c r="C66" s="322"/>
      <c r="D66" s="323"/>
      <c r="E66" s="305">
        <v>4003</v>
      </c>
      <c r="F66" s="31" t="s">
        <v>1467</v>
      </c>
      <c r="G66" s="332" t="s">
        <v>265</v>
      </c>
      <c r="H66" s="175">
        <v>4003018</v>
      </c>
      <c r="I66" s="34" t="s">
        <v>266</v>
      </c>
      <c r="J66" s="332" t="s">
        <v>267</v>
      </c>
      <c r="K66" s="175">
        <v>400301802</v>
      </c>
      <c r="L66" s="34" t="s">
        <v>268</v>
      </c>
      <c r="M66" s="305" t="s">
        <v>179</v>
      </c>
      <c r="N66" s="305">
        <v>2</v>
      </c>
      <c r="O66" s="175">
        <v>1</v>
      </c>
      <c r="P66" s="175">
        <v>0</v>
      </c>
      <c r="Q66" s="612"/>
      <c r="R66" s="613"/>
      <c r="S66" s="611"/>
      <c r="T66" s="27"/>
      <c r="U66" s="27"/>
      <c r="V66" s="27"/>
      <c r="W66" s="27"/>
      <c r="X66" s="27"/>
      <c r="Y66" s="27"/>
      <c r="Z66" s="310"/>
      <c r="AA66" s="310"/>
      <c r="AB66" s="310"/>
      <c r="AC66" s="27"/>
      <c r="AD66" s="27"/>
      <c r="AE66" s="27"/>
      <c r="AF66" s="27"/>
      <c r="AG66" s="27"/>
      <c r="AH66" s="27"/>
      <c r="AI66" s="27"/>
      <c r="AJ66" s="27"/>
      <c r="AK66" s="27"/>
      <c r="AL66" s="27"/>
      <c r="AM66" s="27"/>
      <c r="AN66" s="27"/>
      <c r="AO66" s="27"/>
      <c r="AP66" s="27"/>
      <c r="AQ66" s="27"/>
      <c r="AR66" s="27"/>
      <c r="AS66" s="27"/>
      <c r="AT66" s="27"/>
      <c r="AU66" s="27">
        <v>681900630</v>
      </c>
      <c r="AV66" s="27">
        <v>681900630</v>
      </c>
      <c r="AW66" s="27">
        <v>681900630</v>
      </c>
      <c r="AX66" s="33"/>
      <c r="AY66" s="33"/>
      <c r="AZ66" s="33"/>
      <c r="BA66" s="27"/>
      <c r="BB66" s="27"/>
      <c r="BC66" s="27"/>
      <c r="BD66" s="27"/>
      <c r="BE66" s="27"/>
      <c r="BF66" s="27"/>
      <c r="BG66" s="151">
        <f>+T66+W66+Z66+AC66+AF66+AI66+AL66+AO66+AR66+AU66+AX66+BA66+BD66</f>
        <v>681900630</v>
      </c>
      <c r="BH66" s="151">
        <f t="shared" si="23"/>
        <v>681900630</v>
      </c>
      <c r="BI66" s="151">
        <f t="shared" si="23"/>
        <v>681900630</v>
      </c>
      <c r="BK66" s="608"/>
    </row>
    <row r="67" spans="1:64" ht="60" customHeight="1" x14ac:dyDescent="0.2">
      <c r="A67" s="377"/>
      <c r="B67" s="380"/>
      <c r="C67" s="322"/>
      <c r="D67" s="323"/>
      <c r="E67" s="305">
        <v>4003</v>
      </c>
      <c r="F67" s="31" t="s">
        <v>257</v>
      </c>
      <c r="G67" s="261" t="s">
        <v>269</v>
      </c>
      <c r="H67" s="175">
        <v>4003025</v>
      </c>
      <c r="I67" s="34" t="s">
        <v>270</v>
      </c>
      <c r="J67" s="261" t="s">
        <v>271</v>
      </c>
      <c r="K67" s="264">
        <v>400302500</v>
      </c>
      <c r="L67" s="265" t="s">
        <v>272</v>
      </c>
      <c r="M67" s="264" t="s">
        <v>179</v>
      </c>
      <c r="N67" s="264">
        <v>12</v>
      </c>
      <c r="O67" s="264">
        <v>1</v>
      </c>
      <c r="P67" s="264">
        <v>1</v>
      </c>
      <c r="Q67" s="612"/>
      <c r="R67" s="613"/>
      <c r="S67" s="611"/>
      <c r="T67" s="27">
        <f>476050000-400756766.07</f>
        <v>75293233.930000007</v>
      </c>
      <c r="U67" s="27">
        <v>0</v>
      </c>
      <c r="V67" s="27">
        <v>0</v>
      </c>
      <c r="W67" s="27"/>
      <c r="X67" s="27"/>
      <c r="Y67" s="27"/>
      <c r="Z67" s="310"/>
      <c r="AA67" s="310"/>
      <c r="AB67" s="310"/>
      <c r="AC67" s="27"/>
      <c r="AD67" s="27"/>
      <c r="AE67" s="27"/>
      <c r="AF67" s="27"/>
      <c r="AG67" s="27"/>
      <c r="AH67" s="27"/>
      <c r="AI67" s="27"/>
      <c r="AJ67" s="27"/>
      <c r="AK67" s="27"/>
      <c r="AL67" s="27"/>
      <c r="AM67" s="27"/>
      <c r="AN67" s="27"/>
      <c r="AO67" s="27"/>
      <c r="AP67" s="27"/>
      <c r="AQ67" s="27"/>
      <c r="AR67" s="27"/>
      <c r="AS67" s="27"/>
      <c r="AT67" s="27"/>
      <c r="AU67" s="27">
        <v>1288535877.1199999</v>
      </c>
      <c r="AV67" s="27">
        <v>1275083000</v>
      </c>
      <c r="AW67" s="27">
        <v>1275083000</v>
      </c>
      <c r="AX67" s="33"/>
      <c r="AY67" s="33"/>
      <c r="AZ67" s="33"/>
      <c r="BA67" s="27"/>
      <c r="BB67" s="27"/>
      <c r="BC67" s="27"/>
      <c r="BD67" s="27"/>
      <c r="BE67" s="27"/>
      <c r="BF67" s="27"/>
      <c r="BG67" s="151">
        <f>+T67+W67+Z67+AC67+AF67+AI67+AL67+AO67+AR67+AU67+AX67+BA67+BD67</f>
        <v>1363829111.05</v>
      </c>
      <c r="BH67" s="151">
        <f t="shared" si="23"/>
        <v>1275083000</v>
      </c>
      <c r="BI67" s="151">
        <f t="shared" si="23"/>
        <v>1275083000</v>
      </c>
      <c r="BK67" s="608"/>
    </row>
    <row r="68" spans="1:64" ht="71.25" customHeight="1" x14ac:dyDescent="0.2">
      <c r="A68" s="377"/>
      <c r="B68" s="380"/>
      <c r="C68" s="322"/>
      <c r="D68" s="323"/>
      <c r="E68" s="305">
        <v>4003</v>
      </c>
      <c r="F68" s="31" t="s">
        <v>257</v>
      </c>
      <c r="G68" s="332" t="s">
        <v>273</v>
      </c>
      <c r="H68" s="175">
        <v>4003028</v>
      </c>
      <c r="I68" s="34" t="s">
        <v>274</v>
      </c>
      <c r="J68" s="332" t="s">
        <v>275</v>
      </c>
      <c r="K68" s="175">
        <v>400302801</v>
      </c>
      <c r="L68" s="34" t="s">
        <v>276</v>
      </c>
      <c r="M68" s="305" t="s">
        <v>89</v>
      </c>
      <c r="N68" s="305">
        <v>4</v>
      </c>
      <c r="O68" s="175">
        <v>4</v>
      </c>
      <c r="P68" s="175">
        <v>4</v>
      </c>
      <c r="Q68" s="612"/>
      <c r="R68" s="613"/>
      <c r="S68" s="611"/>
      <c r="T68" s="27"/>
      <c r="U68" s="27"/>
      <c r="V68" s="27"/>
      <c r="W68" s="27"/>
      <c r="X68" s="27"/>
      <c r="Y68" s="27"/>
      <c r="Z68" s="310"/>
      <c r="AA68" s="310"/>
      <c r="AB68" s="310"/>
      <c r="AC68" s="27"/>
      <c r="AD68" s="27"/>
      <c r="AE68" s="27"/>
      <c r="AF68" s="27"/>
      <c r="AG68" s="27"/>
      <c r="AH68" s="27"/>
      <c r="AI68" s="27"/>
      <c r="AJ68" s="27"/>
      <c r="AK68" s="27"/>
      <c r="AL68" s="27"/>
      <c r="AM68" s="27"/>
      <c r="AN68" s="27"/>
      <c r="AO68" s="27"/>
      <c r="AP68" s="27"/>
      <c r="AQ68" s="27"/>
      <c r="AR68" s="27"/>
      <c r="AS68" s="27"/>
      <c r="AT68" s="27"/>
      <c r="AU68" s="27">
        <v>125000000</v>
      </c>
      <c r="AV68" s="27">
        <v>125000000</v>
      </c>
      <c r="AW68" s="27">
        <v>125000000</v>
      </c>
      <c r="AX68" s="33"/>
      <c r="AY68" s="33"/>
      <c r="AZ68" s="33"/>
      <c r="BA68" s="27"/>
      <c r="BB68" s="27"/>
      <c r="BC68" s="27"/>
      <c r="BD68" s="27"/>
      <c r="BE68" s="27"/>
      <c r="BF68" s="27"/>
      <c r="BG68" s="151">
        <f>+T68+W68+Z68+AC68+AF68+AI68+AL68+AO68+AR68+AU68+AX68+BA68+BD68</f>
        <v>125000000</v>
      </c>
      <c r="BH68" s="151">
        <f t="shared" si="23"/>
        <v>125000000</v>
      </c>
      <c r="BI68" s="151">
        <f t="shared" si="23"/>
        <v>125000000</v>
      </c>
      <c r="BK68" s="608"/>
    </row>
    <row r="69" spans="1:64" ht="56.25" customHeight="1" x14ac:dyDescent="0.2">
      <c r="A69" s="377"/>
      <c r="B69" s="381"/>
      <c r="C69" s="322"/>
      <c r="D69" s="323"/>
      <c r="E69" s="305">
        <v>4003</v>
      </c>
      <c r="F69" s="31" t="s">
        <v>257</v>
      </c>
      <c r="G69" s="332" t="s">
        <v>277</v>
      </c>
      <c r="H69" s="175">
        <v>4003042</v>
      </c>
      <c r="I69" s="34" t="s">
        <v>278</v>
      </c>
      <c r="J69" s="332" t="s">
        <v>279</v>
      </c>
      <c r="K69" s="175">
        <v>400304200</v>
      </c>
      <c r="L69" s="34" t="s">
        <v>280</v>
      </c>
      <c r="M69" s="305" t="s">
        <v>179</v>
      </c>
      <c r="N69" s="305">
        <v>8</v>
      </c>
      <c r="O69" s="175">
        <v>1</v>
      </c>
      <c r="P69" s="175">
        <v>1</v>
      </c>
      <c r="Q69" s="612"/>
      <c r="R69" s="613"/>
      <c r="S69" s="611"/>
      <c r="T69" s="27"/>
      <c r="U69" s="27"/>
      <c r="V69" s="27"/>
      <c r="W69" s="27"/>
      <c r="X69" s="27"/>
      <c r="Y69" s="27"/>
      <c r="Z69" s="310"/>
      <c r="AA69" s="310"/>
      <c r="AB69" s="310"/>
      <c r="AC69" s="27"/>
      <c r="AD69" s="27"/>
      <c r="AE69" s="27"/>
      <c r="AF69" s="27"/>
      <c r="AG69" s="27"/>
      <c r="AH69" s="27"/>
      <c r="AI69" s="27"/>
      <c r="AJ69" s="27"/>
      <c r="AK69" s="27"/>
      <c r="AL69" s="27"/>
      <c r="AM69" s="27"/>
      <c r="AN69" s="27"/>
      <c r="AO69" s="27"/>
      <c r="AP69" s="27"/>
      <c r="AQ69" s="27"/>
      <c r="AR69" s="27"/>
      <c r="AS69" s="27"/>
      <c r="AT69" s="27"/>
      <c r="AU69" s="27">
        <v>685000000</v>
      </c>
      <c r="AV69" s="27">
        <v>685000000</v>
      </c>
      <c r="AW69" s="27">
        <v>685000000</v>
      </c>
      <c r="AX69" s="33"/>
      <c r="AY69" s="33"/>
      <c r="AZ69" s="33"/>
      <c r="BA69" s="27"/>
      <c r="BB69" s="27"/>
      <c r="BC69" s="27"/>
      <c r="BD69" s="27"/>
      <c r="BE69" s="27"/>
      <c r="BF69" s="27"/>
      <c r="BG69" s="151">
        <f>+T69+W69+Z69+AC69+AF69+AI69+AL69+AO69+AR69+AU69+AX69+BA69+BD69</f>
        <v>685000000</v>
      </c>
      <c r="BH69" s="151">
        <f t="shared" si="23"/>
        <v>685000000</v>
      </c>
      <c r="BI69" s="151">
        <f t="shared" si="23"/>
        <v>685000000</v>
      </c>
      <c r="BK69" s="608"/>
    </row>
    <row r="70" spans="1:64" ht="21.75" customHeight="1" x14ac:dyDescent="0.2">
      <c r="A70" s="377"/>
      <c r="B70" s="222">
        <v>4</v>
      </c>
      <c r="C70" s="138" t="s">
        <v>108</v>
      </c>
      <c r="D70" s="139"/>
      <c r="E70" s="139"/>
      <c r="F70" s="140"/>
      <c r="G70" s="141"/>
      <c r="H70" s="142"/>
      <c r="I70" s="140"/>
      <c r="J70" s="141"/>
      <c r="K70" s="141"/>
      <c r="L70" s="140"/>
      <c r="M70" s="143"/>
      <c r="N70" s="143"/>
      <c r="O70" s="141"/>
      <c r="P70" s="141"/>
      <c r="Q70" s="370"/>
      <c r="R70" s="141"/>
      <c r="S70" s="140"/>
      <c r="T70" s="144">
        <f t="shared" ref="T70:BF70" si="24">T71+T73</f>
        <v>0</v>
      </c>
      <c r="U70" s="144">
        <f t="shared" si="24"/>
        <v>0</v>
      </c>
      <c r="V70" s="144">
        <f t="shared" si="24"/>
        <v>0</v>
      </c>
      <c r="W70" s="144">
        <f t="shared" si="24"/>
        <v>0</v>
      </c>
      <c r="X70" s="144">
        <f t="shared" si="24"/>
        <v>0</v>
      </c>
      <c r="Y70" s="144">
        <f t="shared" si="24"/>
        <v>0</v>
      </c>
      <c r="Z70" s="144">
        <f t="shared" si="24"/>
        <v>0</v>
      </c>
      <c r="AA70" s="144">
        <f t="shared" si="24"/>
        <v>0</v>
      </c>
      <c r="AB70" s="144">
        <f t="shared" si="24"/>
        <v>0</v>
      </c>
      <c r="AC70" s="144">
        <f t="shared" si="24"/>
        <v>0</v>
      </c>
      <c r="AD70" s="144">
        <f t="shared" si="24"/>
        <v>0</v>
      </c>
      <c r="AE70" s="144">
        <f t="shared" si="24"/>
        <v>0</v>
      </c>
      <c r="AF70" s="144">
        <f t="shared" si="24"/>
        <v>0</v>
      </c>
      <c r="AG70" s="144">
        <f t="shared" si="24"/>
        <v>0</v>
      </c>
      <c r="AH70" s="144">
        <f t="shared" si="24"/>
        <v>0</v>
      </c>
      <c r="AI70" s="144">
        <f t="shared" si="24"/>
        <v>0</v>
      </c>
      <c r="AJ70" s="144">
        <f t="shared" si="24"/>
        <v>0</v>
      </c>
      <c r="AK70" s="144">
        <f t="shared" si="24"/>
        <v>0</v>
      </c>
      <c r="AL70" s="144">
        <f t="shared" si="24"/>
        <v>0</v>
      </c>
      <c r="AM70" s="144">
        <f t="shared" si="24"/>
        <v>0</v>
      </c>
      <c r="AN70" s="144">
        <f t="shared" si="24"/>
        <v>0</v>
      </c>
      <c r="AO70" s="144">
        <f t="shared" si="24"/>
        <v>0</v>
      </c>
      <c r="AP70" s="144">
        <f t="shared" si="24"/>
        <v>0</v>
      </c>
      <c r="AQ70" s="144">
        <f t="shared" si="24"/>
        <v>0</v>
      </c>
      <c r="AR70" s="144">
        <f t="shared" si="24"/>
        <v>0</v>
      </c>
      <c r="AS70" s="144">
        <f t="shared" si="24"/>
        <v>0</v>
      </c>
      <c r="AT70" s="144">
        <f t="shared" si="24"/>
        <v>0</v>
      </c>
      <c r="AU70" s="144">
        <f t="shared" si="24"/>
        <v>0</v>
      </c>
      <c r="AV70" s="144">
        <f t="shared" si="24"/>
        <v>0</v>
      </c>
      <c r="AW70" s="144">
        <f t="shared" si="24"/>
        <v>0</v>
      </c>
      <c r="AX70" s="144">
        <f t="shared" si="24"/>
        <v>36041593.740000002</v>
      </c>
      <c r="AY70" s="144">
        <f t="shared" si="24"/>
        <v>10826666</v>
      </c>
      <c r="AZ70" s="144">
        <f t="shared" si="24"/>
        <v>10826666</v>
      </c>
      <c r="BA70" s="144">
        <f t="shared" si="24"/>
        <v>60660648</v>
      </c>
      <c r="BB70" s="144">
        <f t="shared" si="24"/>
        <v>0</v>
      </c>
      <c r="BC70" s="144">
        <f t="shared" si="24"/>
        <v>0</v>
      </c>
      <c r="BD70" s="144">
        <f t="shared" si="24"/>
        <v>0</v>
      </c>
      <c r="BE70" s="144">
        <f t="shared" si="24"/>
        <v>0</v>
      </c>
      <c r="BF70" s="144">
        <f t="shared" si="24"/>
        <v>0</v>
      </c>
      <c r="BG70" s="144">
        <f>BG71+BG73</f>
        <v>96702241.739999995</v>
      </c>
      <c r="BH70" s="144">
        <f>BH71+BH73</f>
        <v>10826666</v>
      </c>
      <c r="BI70" s="144">
        <f>BI71+BI73</f>
        <v>10826666</v>
      </c>
      <c r="BK70" s="608"/>
    </row>
    <row r="71" spans="1:64" ht="21.75" customHeight="1" x14ac:dyDescent="0.2">
      <c r="A71" s="377"/>
      <c r="B71" s="379"/>
      <c r="C71" s="171">
        <v>45</v>
      </c>
      <c r="D71" s="146" t="s">
        <v>83</v>
      </c>
      <c r="E71" s="308" t="s">
        <v>84</v>
      </c>
      <c r="F71" s="145"/>
      <c r="G71" s="146"/>
      <c r="H71" s="147"/>
      <c r="I71" s="145"/>
      <c r="J71" s="146"/>
      <c r="K71" s="146"/>
      <c r="L71" s="145"/>
      <c r="M71" s="148"/>
      <c r="N71" s="148"/>
      <c r="O71" s="146"/>
      <c r="P71" s="146"/>
      <c r="Q71" s="368"/>
      <c r="R71" s="146"/>
      <c r="S71" s="145"/>
      <c r="T71" s="150">
        <f t="shared" ref="T71:BI71" si="25">T72</f>
        <v>0</v>
      </c>
      <c r="U71" s="150">
        <f t="shared" si="25"/>
        <v>0</v>
      </c>
      <c r="V71" s="150">
        <f t="shared" si="25"/>
        <v>0</v>
      </c>
      <c r="W71" s="150">
        <f t="shared" si="25"/>
        <v>0</v>
      </c>
      <c r="X71" s="150">
        <f t="shared" si="25"/>
        <v>0</v>
      </c>
      <c r="Y71" s="150">
        <f t="shared" si="25"/>
        <v>0</v>
      </c>
      <c r="Z71" s="150">
        <f t="shared" si="25"/>
        <v>0</v>
      </c>
      <c r="AA71" s="150">
        <f t="shared" si="25"/>
        <v>0</v>
      </c>
      <c r="AB71" s="150">
        <f t="shared" si="25"/>
        <v>0</v>
      </c>
      <c r="AC71" s="150">
        <f t="shared" si="25"/>
        <v>0</v>
      </c>
      <c r="AD71" s="150">
        <f t="shared" si="25"/>
        <v>0</v>
      </c>
      <c r="AE71" s="150">
        <f t="shared" si="25"/>
        <v>0</v>
      </c>
      <c r="AF71" s="150">
        <f t="shared" si="25"/>
        <v>0</v>
      </c>
      <c r="AG71" s="150">
        <f t="shared" si="25"/>
        <v>0</v>
      </c>
      <c r="AH71" s="150">
        <f t="shared" si="25"/>
        <v>0</v>
      </c>
      <c r="AI71" s="150">
        <f t="shared" si="25"/>
        <v>0</v>
      </c>
      <c r="AJ71" s="150">
        <f t="shared" si="25"/>
        <v>0</v>
      </c>
      <c r="AK71" s="150">
        <f t="shared" si="25"/>
        <v>0</v>
      </c>
      <c r="AL71" s="150">
        <f t="shared" si="25"/>
        <v>0</v>
      </c>
      <c r="AM71" s="150">
        <f t="shared" si="25"/>
        <v>0</v>
      </c>
      <c r="AN71" s="150">
        <f t="shared" si="25"/>
        <v>0</v>
      </c>
      <c r="AO71" s="150">
        <f t="shared" si="25"/>
        <v>0</v>
      </c>
      <c r="AP71" s="150">
        <f t="shared" si="25"/>
        <v>0</v>
      </c>
      <c r="AQ71" s="150">
        <f t="shared" si="25"/>
        <v>0</v>
      </c>
      <c r="AR71" s="150">
        <f t="shared" si="25"/>
        <v>0</v>
      </c>
      <c r="AS71" s="150">
        <f t="shared" si="25"/>
        <v>0</v>
      </c>
      <c r="AT71" s="150">
        <f t="shared" si="25"/>
        <v>0</v>
      </c>
      <c r="AU71" s="150">
        <f t="shared" si="25"/>
        <v>0</v>
      </c>
      <c r="AV71" s="150">
        <f t="shared" si="25"/>
        <v>0</v>
      </c>
      <c r="AW71" s="150">
        <f t="shared" si="25"/>
        <v>0</v>
      </c>
      <c r="AX71" s="150">
        <f t="shared" si="25"/>
        <v>12013864.58</v>
      </c>
      <c r="AY71" s="150">
        <f t="shared" si="25"/>
        <v>10826666</v>
      </c>
      <c r="AZ71" s="150">
        <f t="shared" si="25"/>
        <v>10826666</v>
      </c>
      <c r="BA71" s="150">
        <f t="shared" si="25"/>
        <v>60660648</v>
      </c>
      <c r="BB71" s="150">
        <f t="shared" si="25"/>
        <v>0</v>
      </c>
      <c r="BC71" s="150">
        <f t="shared" si="25"/>
        <v>0</v>
      </c>
      <c r="BD71" s="150">
        <f t="shared" si="25"/>
        <v>0</v>
      </c>
      <c r="BE71" s="150">
        <f t="shared" si="25"/>
        <v>0</v>
      </c>
      <c r="BF71" s="150">
        <f t="shared" si="25"/>
        <v>0</v>
      </c>
      <c r="BG71" s="150">
        <f t="shared" si="25"/>
        <v>72674512.579999998</v>
      </c>
      <c r="BH71" s="150">
        <f t="shared" si="25"/>
        <v>10826666</v>
      </c>
      <c r="BI71" s="150">
        <f t="shared" si="25"/>
        <v>10826666</v>
      </c>
      <c r="BK71" s="608"/>
    </row>
    <row r="72" spans="1:64" ht="91.5" customHeight="1" x14ac:dyDescent="0.2">
      <c r="A72" s="377"/>
      <c r="B72" s="380"/>
      <c r="C72" s="322"/>
      <c r="D72" s="323"/>
      <c r="E72" s="305" t="s">
        <v>83</v>
      </c>
      <c r="F72" s="307" t="s">
        <v>85</v>
      </c>
      <c r="G72" s="313" t="s">
        <v>281</v>
      </c>
      <c r="H72" s="305" t="s">
        <v>83</v>
      </c>
      <c r="I72" s="307" t="s">
        <v>282</v>
      </c>
      <c r="J72" s="603" t="s">
        <v>283</v>
      </c>
      <c r="K72" s="175" t="s">
        <v>83</v>
      </c>
      <c r="L72" s="307" t="s">
        <v>284</v>
      </c>
      <c r="M72" s="305" t="s">
        <v>89</v>
      </c>
      <c r="N72" s="305">
        <v>4</v>
      </c>
      <c r="O72" s="313">
        <v>4</v>
      </c>
      <c r="P72" s="313">
        <v>3</v>
      </c>
      <c r="Q72" s="365" t="s">
        <v>90</v>
      </c>
      <c r="R72" s="305" t="s">
        <v>199</v>
      </c>
      <c r="S72" s="306" t="s">
        <v>200</v>
      </c>
      <c r="T72" s="174"/>
      <c r="U72" s="174"/>
      <c r="V72" s="174"/>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33">
        <v>12013864.58</v>
      </c>
      <c r="AY72" s="33">
        <v>10826666</v>
      </c>
      <c r="AZ72" s="33">
        <v>10826666</v>
      </c>
      <c r="BA72" s="33">
        <v>60660648</v>
      </c>
      <c r="BB72" s="180">
        <v>0</v>
      </c>
      <c r="BC72" s="180">
        <v>0</v>
      </c>
      <c r="BD72" s="27"/>
      <c r="BE72" s="27"/>
      <c r="BF72" s="27"/>
      <c r="BG72" s="151">
        <f>+T72+W72+Z72+AC72+AF72+AI72+AL72+AO72+AR72+AU72+AX72+BA72+BD72</f>
        <v>72674512.579999998</v>
      </c>
      <c r="BH72" s="151">
        <f>+U72+X72+AA72+AD72+AG72+AJ72+AM72+AP72+AS72+AV72+AY72+BB72+BE72</f>
        <v>10826666</v>
      </c>
      <c r="BI72" s="151">
        <f>+V72+Y72+AB72+AE72+AH72+AK72+AN72+AQ72+AT72+AW72+AZ72+BC72+BF72</f>
        <v>10826666</v>
      </c>
      <c r="BK72" s="608"/>
    </row>
    <row r="73" spans="1:64" ht="24.75" customHeight="1" x14ac:dyDescent="0.2">
      <c r="A73" s="377"/>
      <c r="B73" s="380"/>
      <c r="C73" s="171">
        <v>42</v>
      </c>
      <c r="D73" s="146">
        <v>4502</v>
      </c>
      <c r="E73" s="308" t="s">
        <v>99</v>
      </c>
      <c r="F73" s="145"/>
      <c r="G73" s="146"/>
      <c r="H73" s="147"/>
      <c r="I73" s="145"/>
      <c r="J73" s="146"/>
      <c r="K73" s="146"/>
      <c r="L73" s="145"/>
      <c r="M73" s="148"/>
      <c r="N73" s="148"/>
      <c r="O73" s="146"/>
      <c r="P73" s="146"/>
      <c r="Q73" s="368"/>
      <c r="R73" s="146"/>
      <c r="S73" s="145"/>
      <c r="T73" s="150">
        <f t="shared" ref="T73:BI73" si="26">T74</f>
        <v>0</v>
      </c>
      <c r="U73" s="150">
        <f t="shared" si="26"/>
        <v>0</v>
      </c>
      <c r="V73" s="150">
        <f t="shared" si="26"/>
        <v>0</v>
      </c>
      <c r="W73" s="150">
        <f t="shared" si="26"/>
        <v>0</v>
      </c>
      <c r="X73" s="150">
        <f t="shared" si="26"/>
        <v>0</v>
      </c>
      <c r="Y73" s="150">
        <f t="shared" si="26"/>
        <v>0</v>
      </c>
      <c r="Z73" s="150">
        <f t="shared" si="26"/>
        <v>0</v>
      </c>
      <c r="AA73" s="150">
        <f t="shared" si="26"/>
        <v>0</v>
      </c>
      <c r="AB73" s="150">
        <f t="shared" si="26"/>
        <v>0</v>
      </c>
      <c r="AC73" s="150">
        <f t="shared" si="26"/>
        <v>0</v>
      </c>
      <c r="AD73" s="150">
        <f t="shared" si="26"/>
        <v>0</v>
      </c>
      <c r="AE73" s="150">
        <f t="shared" si="26"/>
        <v>0</v>
      </c>
      <c r="AF73" s="150">
        <f t="shared" si="26"/>
        <v>0</v>
      </c>
      <c r="AG73" s="150">
        <f t="shared" si="26"/>
        <v>0</v>
      </c>
      <c r="AH73" s="150">
        <f t="shared" si="26"/>
        <v>0</v>
      </c>
      <c r="AI73" s="150">
        <f t="shared" si="26"/>
        <v>0</v>
      </c>
      <c r="AJ73" s="150">
        <f t="shared" si="26"/>
        <v>0</v>
      </c>
      <c r="AK73" s="150">
        <f t="shared" si="26"/>
        <v>0</v>
      </c>
      <c r="AL73" s="150">
        <f t="shared" si="26"/>
        <v>0</v>
      </c>
      <c r="AM73" s="150">
        <f t="shared" si="26"/>
        <v>0</v>
      </c>
      <c r="AN73" s="150">
        <f t="shared" si="26"/>
        <v>0</v>
      </c>
      <c r="AO73" s="150">
        <f t="shared" si="26"/>
        <v>0</v>
      </c>
      <c r="AP73" s="150">
        <f t="shared" si="26"/>
        <v>0</v>
      </c>
      <c r="AQ73" s="150">
        <f t="shared" si="26"/>
        <v>0</v>
      </c>
      <c r="AR73" s="150">
        <f t="shared" si="26"/>
        <v>0</v>
      </c>
      <c r="AS73" s="150">
        <f t="shared" si="26"/>
        <v>0</v>
      </c>
      <c r="AT73" s="150">
        <f t="shared" si="26"/>
        <v>0</v>
      </c>
      <c r="AU73" s="150">
        <f t="shared" si="26"/>
        <v>0</v>
      </c>
      <c r="AV73" s="150">
        <f t="shared" si="26"/>
        <v>0</v>
      </c>
      <c r="AW73" s="150">
        <f t="shared" si="26"/>
        <v>0</v>
      </c>
      <c r="AX73" s="150">
        <f t="shared" si="26"/>
        <v>24027729.16</v>
      </c>
      <c r="AY73" s="150">
        <f t="shared" si="26"/>
        <v>0</v>
      </c>
      <c r="AZ73" s="150">
        <f t="shared" si="26"/>
        <v>0</v>
      </c>
      <c r="BA73" s="150">
        <f t="shared" si="26"/>
        <v>0</v>
      </c>
      <c r="BB73" s="150">
        <f t="shared" si="26"/>
        <v>0</v>
      </c>
      <c r="BC73" s="150">
        <f t="shared" si="26"/>
        <v>0</v>
      </c>
      <c r="BD73" s="150">
        <f t="shared" si="26"/>
        <v>0</v>
      </c>
      <c r="BE73" s="150">
        <f t="shared" si="26"/>
        <v>0</v>
      </c>
      <c r="BF73" s="150">
        <f t="shared" si="26"/>
        <v>0</v>
      </c>
      <c r="BG73" s="150">
        <f t="shared" si="26"/>
        <v>24027729.16</v>
      </c>
      <c r="BH73" s="150">
        <f t="shared" si="26"/>
        <v>0</v>
      </c>
      <c r="BI73" s="150">
        <f t="shared" si="26"/>
        <v>0</v>
      </c>
      <c r="BK73" s="608"/>
    </row>
    <row r="74" spans="1:64" ht="47.25" customHeight="1" x14ac:dyDescent="0.2">
      <c r="A74" s="378"/>
      <c r="B74" s="381"/>
      <c r="C74" s="322"/>
      <c r="D74" s="323"/>
      <c r="E74" s="305">
        <v>4502</v>
      </c>
      <c r="F74" s="306" t="s">
        <v>109</v>
      </c>
      <c r="G74" s="175" t="s">
        <v>285</v>
      </c>
      <c r="H74" s="175">
        <v>4502003</v>
      </c>
      <c r="I74" s="31" t="s">
        <v>286</v>
      </c>
      <c r="J74" s="175" t="s">
        <v>287</v>
      </c>
      <c r="K74" s="175">
        <v>450200300</v>
      </c>
      <c r="L74" s="31" t="s">
        <v>286</v>
      </c>
      <c r="M74" s="305" t="s">
        <v>179</v>
      </c>
      <c r="N74" s="305">
        <v>8</v>
      </c>
      <c r="O74" s="175">
        <v>2</v>
      </c>
      <c r="P74" s="175">
        <v>2</v>
      </c>
      <c r="Q74" s="367" t="s">
        <v>105</v>
      </c>
      <c r="R74" s="305" t="s">
        <v>199</v>
      </c>
      <c r="S74" s="306" t="s">
        <v>200</v>
      </c>
      <c r="T74" s="174"/>
      <c r="U74" s="174"/>
      <c r="V74" s="174"/>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33">
        <v>24027729.16</v>
      </c>
      <c r="AY74" s="33">
        <v>0</v>
      </c>
      <c r="AZ74" s="33">
        <v>0</v>
      </c>
      <c r="BA74" s="157"/>
      <c r="BB74" s="157"/>
      <c r="BC74" s="157"/>
      <c r="BD74" s="27"/>
      <c r="BE74" s="27"/>
      <c r="BF74" s="27"/>
      <c r="BG74" s="151">
        <f>+T74+W74+Z74+AC74+AF74+AI74+AL74+AO74+AR74+AU74+AX74+BA74+BD74</f>
        <v>24027729.16</v>
      </c>
      <c r="BH74" s="151">
        <f>+U74+X74+AA74+AD74+AG74+AJ74+AM74+AP74+AS74+AV74+AY74+BB74+BE74</f>
        <v>0</v>
      </c>
      <c r="BI74" s="151">
        <f>+V74+Y74+AB74+AE74+AH74+AK74+AN74+AQ74+AT74+AW74+AZ74+BC74+BF74</f>
        <v>0</v>
      </c>
      <c r="BK74" s="608"/>
    </row>
    <row r="75" spans="1:64" ht="15.75" x14ac:dyDescent="0.2">
      <c r="A75" s="183" t="s">
        <v>288</v>
      </c>
      <c r="B75" s="183"/>
      <c r="C75" s="183"/>
      <c r="D75" s="184"/>
      <c r="E75" s="184"/>
      <c r="F75" s="185"/>
      <c r="G75" s="186"/>
      <c r="H75" s="135"/>
      <c r="I75" s="185"/>
      <c r="J75" s="186"/>
      <c r="K75" s="186"/>
      <c r="L75" s="185"/>
      <c r="M75" s="135"/>
      <c r="N75" s="135"/>
      <c r="O75" s="186"/>
      <c r="P75" s="186"/>
      <c r="Q75" s="184"/>
      <c r="R75" s="186"/>
      <c r="S75" s="185"/>
      <c r="T75" s="164">
        <f>+T76+T97+T105</f>
        <v>0</v>
      </c>
      <c r="U75" s="164"/>
      <c r="V75" s="164"/>
      <c r="W75" s="164">
        <f>+W76+W97+W105</f>
        <v>2192073558.0099998</v>
      </c>
      <c r="X75" s="164">
        <f>+X76+X97+X105</f>
        <v>216525722</v>
      </c>
      <c r="Y75" s="164">
        <f>+Y76+Y97+Y105</f>
        <v>216525722</v>
      </c>
      <c r="Z75" s="164">
        <f>+Z76+Z97+Z105</f>
        <v>0</v>
      </c>
      <c r="AA75" s="164"/>
      <c r="AB75" s="164"/>
      <c r="AC75" s="164">
        <f>+AC76+AC97+AC105</f>
        <v>0</v>
      </c>
      <c r="AD75" s="164"/>
      <c r="AE75" s="164"/>
      <c r="AF75" s="164">
        <f>+AF76+AF97+AF105</f>
        <v>0</v>
      </c>
      <c r="AG75" s="164"/>
      <c r="AH75" s="164"/>
      <c r="AI75" s="164">
        <f>+AI76+AI97+AI105</f>
        <v>0</v>
      </c>
      <c r="AJ75" s="164"/>
      <c r="AK75" s="164"/>
      <c r="AL75" s="164">
        <f>+AL76+AL97+AL105</f>
        <v>0</v>
      </c>
      <c r="AM75" s="164"/>
      <c r="AN75" s="164"/>
      <c r="AO75" s="164">
        <f>+AO76+AO97+AO105</f>
        <v>0</v>
      </c>
      <c r="AP75" s="164"/>
      <c r="AQ75" s="164"/>
      <c r="AR75" s="164">
        <f>+AR76+AR97+AR105</f>
        <v>0</v>
      </c>
      <c r="AS75" s="164"/>
      <c r="AT75" s="164"/>
      <c r="AU75" s="164">
        <f>+AU76+AU97+AU105</f>
        <v>0</v>
      </c>
      <c r="AV75" s="164"/>
      <c r="AW75" s="164"/>
      <c r="AX75" s="164">
        <f>+AX76+AX97+AX105</f>
        <v>1638147036.3</v>
      </c>
      <c r="AY75" s="164">
        <f>+AY76+AY97+AY105</f>
        <v>783385044</v>
      </c>
      <c r="AZ75" s="164">
        <f>+AZ76+AZ97+AZ105</f>
        <v>783385044</v>
      </c>
      <c r="BA75" s="164">
        <f>+BA76+BA97+BA105</f>
        <v>0</v>
      </c>
      <c r="BB75" s="164"/>
      <c r="BC75" s="164"/>
      <c r="BD75" s="164">
        <f>+BD76+BD97+BD105</f>
        <v>0</v>
      </c>
      <c r="BE75" s="164"/>
      <c r="BF75" s="164"/>
      <c r="BG75" s="164">
        <f>+BG76+BG97+BG105</f>
        <v>3830220594.3099999</v>
      </c>
      <c r="BH75" s="164">
        <f>+BH76+BH97+BH105</f>
        <v>999910766</v>
      </c>
      <c r="BI75" s="164">
        <f>+BI76+BI97+BI105</f>
        <v>999910766</v>
      </c>
      <c r="BJ75" s="608"/>
      <c r="BK75" s="608"/>
      <c r="BL75" s="608"/>
    </row>
    <row r="76" spans="1:64" ht="15.75" x14ac:dyDescent="0.2">
      <c r="A76" s="382"/>
      <c r="B76" s="222">
        <v>1</v>
      </c>
      <c r="C76" s="138" t="s">
        <v>1</v>
      </c>
      <c r="D76" s="139"/>
      <c r="E76" s="139"/>
      <c r="F76" s="140"/>
      <c r="G76" s="141"/>
      <c r="H76" s="142"/>
      <c r="I76" s="140"/>
      <c r="J76" s="141"/>
      <c r="K76" s="141"/>
      <c r="L76" s="140"/>
      <c r="M76" s="142"/>
      <c r="N76" s="142"/>
      <c r="O76" s="141"/>
      <c r="P76" s="141"/>
      <c r="Q76" s="139"/>
      <c r="R76" s="141"/>
      <c r="S76" s="140"/>
      <c r="T76" s="144">
        <f>+T77+T79+T81+T83+T85+T91+T93</f>
        <v>0</v>
      </c>
      <c r="U76" s="144"/>
      <c r="V76" s="144"/>
      <c r="W76" s="144">
        <f>+W77+W79+W81+W83+W85+W91+W93</f>
        <v>2192073558.0099998</v>
      </c>
      <c r="X76" s="144">
        <f>+X77+X79+X81+X83+X85+X91+X93</f>
        <v>216525722</v>
      </c>
      <c r="Y76" s="144">
        <f>+Y77+Y79+Y81+Y83+Y85+Y91+Y93</f>
        <v>216525722</v>
      </c>
      <c r="Z76" s="144">
        <f>+Z77+Z79+Z81+Z83+Z85+Z91+Z93</f>
        <v>0</v>
      </c>
      <c r="AA76" s="144"/>
      <c r="AB76" s="144"/>
      <c r="AC76" s="144">
        <f>+AC77+AC79+AC81+AC83+AC85+AC91+AC93</f>
        <v>0</v>
      </c>
      <c r="AD76" s="144"/>
      <c r="AE76" s="144"/>
      <c r="AF76" s="144">
        <f>+AF77+AF79+AF81+AF83+AF85+AF91+AF93</f>
        <v>0</v>
      </c>
      <c r="AG76" s="144"/>
      <c r="AH76" s="144"/>
      <c r="AI76" s="144">
        <f>+AI77+AI79+AI81+AI83+AI85+AI91+AI93</f>
        <v>0</v>
      </c>
      <c r="AJ76" s="144"/>
      <c r="AK76" s="144"/>
      <c r="AL76" s="144">
        <f>+AL77+AL79+AL81+AL83+AL85+AL91+AL93</f>
        <v>0</v>
      </c>
      <c r="AM76" s="144"/>
      <c r="AN76" s="144"/>
      <c r="AO76" s="144">
        <f>+AO77+AO79+AO81+AO83+AO85+AO91+AO93</f>
        <v>0</v>
      </c>
      <c r="AP76" s="144"/>
      <c r="AQ76" s="144"/>
      <c r="AR76" s="144">
        <f>+AR77+AR79+AR81+AR83+AR85+AR91+AR93</f>
        <v>0</v>
      </c>
      <c r="AS76" s="144"/>
      <c r="AT76" s="144"/>
      <c r="AU76" s="144">
        <f>+AU77+AU79+AU81+AU83+AU85+AU91+AU93</f>
        <v>0</v>
      </c>
      <c r="AV76" s="144"/>
      <c r="AW76" s="144"/>
      <c r="AX76" s="144">
        <f>+AX77+AX79+AX81+AX83+AX85+AX91+AX93</f>
        <v>1051464495</v>
      </c>
      <c r="AY76" s="144">
        <f>+AY77+AY79+AY81+AY83+AY85+AY91+AY93</f>
        <v>338497351</v>
      </c>
      <c r="AZ76" s="144">
        <f>+AZ77+AZ79+AZ81+AZ83+AZ85+AZ91+AZ93</f>
        <v>338497351</v>
      </c>
      <c r="BA76" s="144">
        <f>+BA77+BA79+BA81+BA83+BA85+BA91+BA93</f>
        <v>0</v>
      </c>
      <c r="BB76" s="144"/>
      <c r="BC76" s="144"/>
      <c r="BD76" s="144">
        <f>+BD77+BD79+BD81+BD83+BD85+BD91+BD93</f>
        <v>0</v>
      </c>
      <c r="BE76" s="144"/>
      <c r="BF76" s="144"/>
      <c r="BG76" s="144">
        <f>+BG77+BG79+BG81+BG83+BG85+BG91+BG93</f>
        <v>3243538053.0099998</v>
      </c>
      <c r="BH76" s="144">
        <f>+BH77+BH79+BH81+BH83+BH85+BH91+BH93</f>
        <v>555023073</v>
      </c>
      <c r="BI76" s="144">
        <f>+BI77+BI79+BI81+BI83+BI85+BI91+BI93</f>
        <v>555023073</v>
      </c>
      <c r="BK76" s="608"/>
    </row>
    <row r="77" spans="1:64" ht="15.75" x14ac:dyDescent="0.2">
      <c r="A77" s="377"/>
      <c r="B77" s="379"/>
      <c r="C77" s="171">
        <v>1</v>
      </c>
      <c r="D77" s="146">
        <v>1202</v>
      </c>
      <c r="E77" s="308" t="s">
        <v>1415</v>
      </c>
      <c r="F77" s="145"/>
      <c r="G77" s="146"/>
      <c r="H77" s="147"/>
      <c r="I77" s="145"/>
      <c r="J77" s="146"/>
      <c r="K77" s="146"/>
      <c r="L77" s="145"/>
      <c r="M77" s="147"/>
      <c r="N77" s="147"/>
      <c r="O77" s="146"/>
      <c r="P77" s="146"/>
      <c r="Q77" s="149"/>
      <c r="R77" s="146"/>
      <c r="S77" s="145"/>
      <c r="T77" s="308"/>
      <c r="U77" s="308"/>
      <c r="V77" s="308"/>
      <c r="W77" s="308"/>
      <c r="X77" s="308"/>
      <c r="Y77" s="308"/>
      <c r="Z77" s="308"/>
      <c r="AA77" s="308"/>
      <c r="AB77" s="308"/>
      <c r="AC77" s="308"/>
      <c r="AD77" s="308"/>
      <c r="AE77" s="308"/>
      <c r="AF77" s="308"/>
      <c r="AG77" s="308"/>
      <c r="AH77" s="308"/>
      <c r="AI77" s="308"/>
      <c r="AJ77" s="308"/>
      <c r="AK77" s="308"/>
      <c r="AL77" s="308"/>
      <c r="AM77" s="308"/>
      <c r="AN77" s="308"/>
      <c r="AO77" s="308"/>
      <c r="AP77" s="308"/>
      <c r="AQ77" s="308"/>
      <c r="AR77" s="308"/>
      <c r="AS77" s="308"/>
      <c r="AT77" s="308"/>
      <c r="AU77" s="308"/>
      <c r="AV77" s="308"/>
      <c r="AW77" s="308"/>
      <c r="AX77" s="333">
        <f>+AX78</f>
        <v>112128400</v>
      </c>
      <c r="AY77" s="333">
        <f>+AY78</f>
        <v>41593333</v>
      </c>
      <c r="AZ77" s="333">
        <f>+AZ78</f>
        <v>41593333</v>
      </c>
      <c r="BA77" s="308"/>
      <c r="BB77" s="308"/>
      <c r="BC77" s="308"/>
      <c r="BD77" s="308"/>
      <c r="BE77" s="308"/>
      <c r="BF77" s="308"/>
      <c r="BG77" s="333">
        <f>+BG78</f>
        <v>112128400</v>
      </c>
      <c r="BH77" s="333">
        <f>+BH78</f>
        <v>41593333</v>
      </c>
      <c r="BI77" s="333">
        <f>+BI78</f>
        <v>41593333</v>
      </c>
      <c r="BK77" s="608"/>
    </row>
    <row r="78" spans="1:64" ht="207" customHeight="1" x14ac:dyDescent="0.2">
      <c r="A78" s="377"/>
      <c r="B78" s="380"/>
      <c r="C78" s="322"/>
      <c r="D78" s="323"/>
      <c r="E78" s="305">
        <v>1202</v>
      </c>
      <c r="F78" s="306" t="s">
        <v>174</v>
      </c>
      <c r="G78" s="268" t="s">
        <v>289</v>
      </c>
      <c r="H78" s="313">
        <v>1202004</v>
      </c>
      <c r="I78" s="307" t="s">
        <v>1400</v>
      </c>
      <c r="J78" s="268" t="s">
        <v>290</v>
      </c>
      <c r="K78" s="175">
        <v>120200400</v>
      </c>
      <c r="L78" s="269" t="s">
        <v>291</v>
      </c>
      <c r="M78" s="305" t="s">
        <v>89</v>
      </c>
      <c r="N78" s="305">
        <v>12</v>
      </c>
      <c r="O78" s="313">
        <v>12</v>
      </c>
      <c r="P78" s="293">
        <v>8</v>
      </c>
      <c r="Q78" s="367" t="s">
        <v>292</v>
      </c>
      <c r="R78" s="305" t="s">
        <v>293</v>
      </c>
      <c r="S78" s="306" t="s">
        <v>294</v>
      </c>
      <c r="T78" s="27"/>
      <c r="U78" s="27"/>
      <c r="V78" s="27"/>
      <c r="W78" s="45"/>
      <c r="X78" s="45"/>
      <c r="Y78" s="45"/>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33">
        <v>112128400</v>
      </c>
      <c r="AY78" s="33">
        <v>41593333</v>
      </c>
      <c r="AZ78" s="33">
        <v>41593333</v>
      </c>
      <c r="BA78" s="27"/>
      <c r="BB78" s="27"/>
      <c r="BC78" s="27"/>
      <c r="BD78" s="27"/>
      <c r="BE78" s="27"/>
      <c r="BF78" s="27"/>
      <c r="BG78" s="151">
        <f>+T78+W78+Z78+AC78+AF78+AI78+AL78+AO78+AR78+AU78+AX78+BA78+BD78</f>
        <v>112128400</v>
      </c>
      <c r="BH78" s="151">
        <f>+U78+X78+AA78+AD78+AG78+AJ78+AM78+AP78+AS78+AV78+AY78+BB78+BE78</f>
        <v>41593333</v>
      </c>
      <c r="BI78" s="151">
        <f>+V78+Y78+AB78+AE78+AH78+AK78+AN78+AQ78+AT78+AW78+AZ78+BC78+BF78</f>
        <v>41593333</v>
      </c>
      <c r="BK78" s="608"/>
    </row>
    <row r="79" spans="1:64" ht="20.25" customHeight="1" x14ac:dyDescent="0.2">
      <c r="A79" s="377"/>
      <c r="B79" s="380"/>
      <c r="C79" s="171">
        <v>2</v>
      </c>
      <c r="D79" s="146">
        <v>1203</v>
      </c>
      <c r="E79" s="308" t="s">
        <v>295</v>
      </c>
      <c r="F79" s="145"/>
      <c r="G79" s="146"/>
      <c r="H79" s="147"/>
      <c r="I79" s="145"/>
      <c r="J79" s="146"/>
      <c r="K79" s="146"/>
      <c r="L79" s="145"/>
      <c r="M79" s="147"/>
      <c r="N79" s="147"/>
      <c r="O79" s="146"/>
      <c r="P79" s="146"/>
      <c r="Q79" s="368"/>
      <c r="R79" s="146"/>
      <c r="S79" s="145"/>
      <c r="T79" s="150"/>
      <c r="U79" s="150"/>
      <c r="V79" s="150"/>
      <c r="W79" s="150"/>
      <c r="X79" s="150"/>
      <c r="Y79" s="150"/>
      <c r="Z79" s="150"/>
      <c r="AA79" s="150"/>
      <c r="AB79" s="150"/>
      <c r="AC79" s="150"/>
      <c r="AD79" s="150"/>
      <c r="AE79" s="150"/>
      <c r="AF79" s="150"/>
      <c r="AG79" s="150"/>
      <c r="AH79" s="150"/>
      <c r="AI79" s="150"/>
      <c r="AJ79" s="150"/>
      <c r="AK79" s="150"/>
      <c r="AL79" s="150"/>
      <c r="AM79" s="150"/>
      <c r="AN79" s="150"/>
      <c r="AO79" s="150"/>
      <c r="AP79" s="150"/>
      <c r="AQ79" s="150"/>
      <c r="AR79" s="150"/>
      <c r="AS79" s="150"/>
      <c r="AT79" s="150"/>
      <c r="AU79" s="150"/>
      <c r="AV79" s="150"/>
      <c r="AW79" s="150"/>
      <c r="AX79" s="150">
        <f>AX80</f>
        <v>15000000</v>
      </c>
      <c r="AY79" s="150">
        <f>AY80</f>
        <v>3620000</v>
      </c>
      <c r="AZ79" s="150">
        <f>AZ80</f>
        <v>3620000</v>
      </c>
      <c r="BA79" s="150"/>
      <c r="BB79" s="150"/>
      <c r="BC79" s="150"/>
      <c r="BD79" s="150"/>
      <c r="BE79" s="150"/>
      <c r="BF79" s="150"/>
      <c r="BG79" s="150">
        <f>+BG80</f>
        <v>15000000</v>
      </c>
      <c r="BH79" s="150">
        <f>+BH80</f>
        <v>3620000</v>
      </c>
      <c r="BI79" s="150">
        <f>+BI80</f>
        <v>3620000</v>
      </c>
      <c r="BK79" s="608"/>
    </row>
    <row r="80" spans="1:64" ht="120" customHeight="1" x14ac:dyDescent="0.2">
      <c r="A80" s="377"/>
      <c r="B80" s="380"/>
      <c r="C80" s="322"/>
      <c r="D80" s="323"/>
      <c r="E80" s="305">
        <v>1203</v>
      </c>
      <c r="F80" s="306" t="s">
        <v>174</v>
      </c>
      <c r="G80" s="305" t="s">
        <v>296</v>
      </c>
      <c r="H80" s="313">
        <v>1203002</v>
      </c>
      <c r="I80" s="307" t="s">
        <v>297</v>
      </c>
      <c r="J80" s="268" t="s">
        <v>298</v>
      </c>
      <c r="K80" s="175">
        <v>120300200</v>
      </c>
      <c r="L80" s="269" t="s">
        <v>299</v>
      </c>
      <c r="M80" s="309" t="s">
        <v>179</v>
      </c>
      <c r="N80" s="305">
        <v>150</v>
      </c>
      <c r="O80" s="313">
        <v>10</v>
      </c>
      <c r="P80" s="580">
        <v>10</v>
      </c>
      <c r="Q80" s="367" t="s">
        <v>292</v>
      </c>
      <c r="R80" s="305" t="s">
        <v>300</v>
      </c>
      <c r="S80" s="306" t="s">
        <v>301</v>
      </c>
      <c r="T80" s="27"/>
      <c r="U80" s="27"/>
      <c r="V80" s="27"/>
      <c r="W80" s="151"/>
      <c r="X80" s="151"/>
      <c r="Y80" s="151"/>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33">
        <f>15000000</f>
        <v>15000000</v>
      </c>
      <c r="AY80" s="33">
        <v>3620000</v>
      </c>
      <c r="AZ80" s="33">
        <v>3620000</v>
      </c>
      <c r="BA80" s="27"/>
      <c r="BB80" s="27"/>
      <c r="BC80" s="27"/>
      <c r="BD80" s="334"/>
      <c r="BE80" s="334"/>
      <c r="BF80" s="334"/>
      <c r="BG80" s="151">
        <f>+T80+W80+Z80+AC80+AF80+AI80+AL80+AO80+AR80+AU80+AX80+BA80+BD80</f>
        <v>15000000</v>
      </c>
      <c r="BH80" s="151">
        <f>+U80+X80+AA80+AD80+AG80+AJ80+AM80+AP80+AS80+AV80+AY80+BB80+BE80</f>
        <v>3620000</v>
      </c>
      <c r="BI80" s="151">
        <f>+V80+Y80+AB80+AE80+AH80+AK80+AN80+AQ80+AT80+AW80+AZ80+BC80+BF80</f>
        <v>3620000</v>
      </c>
      <c r="BK80" s="608"/>
    </row>
    <row r="81" spans="1:63" ht="15.75" x14ac:dyDescent="0.2">
      <c r="A81" s="377"/>
      <c r="B81" s="380"/>
      <c r="C81" s="171">
        <v>3</v>
      </c>
      <c r="D81" s="146">
        <v>1206</v>
      </c>
      <c r="E81" s="308" t="s">
        <v>302</v>
      </c>
      <c r="F81" s="145"/>
      <c r="G81" s="146"/>
      <c r="H81" s="147"/>
      <c r="I81" s="145"/>
      <c r="J81" s="146"/>
      <c r="K81" s="146"/>
      <c r="L81" s="145"/>
      <c r="M81" s="147"/>
      <c r="N81" s="147"/>
      <c r="O81" s="146"/>
      <c r="P81" s="146"/>
      <c r="Q81" s="145"/>
      <c r="R81" s="146"/>
      <c r="S81" s="145"/>
      <c r="T81" s="195"/>
      <c r="U81" s="195"/>
      <c r="V81" s="195"/>
      <c r="W81" s="195"/>
      <c r="X81" s="195"/>
      <c r="Y81" s="195"/>
      <c r="Z81" s="195"/>
      <c r="AA81" s="195"/>
      <c r="AB81" s="195"/>
      <c r="AC81" s="195"/>
      <c r="AD81" s="195"/>
      <c r="AE81" s="195"/>
      <c r="AF81" s="195"/>
      <c r="AG81" s="195"/>
      <c r="AH81" s="195"/>
      <c r="AI81" s="195"/>
      <c r="AJ81" s="195"/>
      <c r="AK81" s="195"/>
      <c r="AL81" s="195"/>
      <c r="AM81" s="195"/>
      <c r="AN81" s="195"/>
      <c r="AO81" s="195"/>
      <c r="AP81" s="195"/>
      <c r="AQ81" s="195"/>
      <c r="AR81" s="195"/>
      <c r="AS81" s="195"/>
      <c r="AT81" s="195"/>
      <c r="AU81" s="195"/>
      <c r="AV81" s="195"/>
      <c r="AW81" s="195"/>
      <c r="AX81" s="150">
        <f>+AX82</f>
        <v>15000000</v>
      </c>
      <c r="AY81" s="150">
        <f>+AY82</f>
        <v>3886666</v>
      </c>
      <c r="AZ81" s="150">
        <f>+AZ82</f>
        <v>3886666</v>
      </c>
      <c r="BA81" s="195"/>
      <c r="BB81" s="195"/>
      <c r="BC81" s="195"/>
      <c r="BD81" s="195"/>
      <c r="BE81" s="195"/>
      <c r="BF81" s="195"/>
      <c r="BG81" s="150">
        <f>+BG82</f>
        <v>15000000</v>
      </c>
      <c r="BH81" s="150">
        <f>+BH82</f>
        <v>3886666</v>
      </c>
      <c r="BI81" s="150">
        <f>+BI82</f>
        <v>3886666</v>
      </c>
      <c r="BK81" s="608"/>
    </row>
    <row r="82" spans="1:63" ht="98.25" customHeight="1" x14ac:dyDescent="0.2">
      <c r="A82" s="377"/>
      <c r="B82" s="380"/>
      <c r="C82" s="322"/>
      <c r="D82" s="323"/>
      <c r="E82" s="305">
        <v>1206</v>
      </c>
      <c r="F82" s="306" t="s">
        <v>174</v>
      </c>
      <c r="G82" s="313" t="s">
        <v>303</v>
      </c>
      <c r="H82" s="313">
        <v>1206005</v>
      </c>
      <c r="I82" s="307" t="s">
        <v>304</v>
      </c>
      <c r="J82" s="313" t="s">
        <v>305</v>
      </c>
      <c r="K82" s="175">
        <v>120600500</v>
      </c>
      <c r="L82" s="307" t="s">
        <v>306</v>
      </c>
      <c r="M82" s="309" t="s">
        <v>179</v>
      </c>
      <c r="N82" s="305">
        <v>100</v>
      </c>
      <c r="O82" s="313">
        <v>15</v>
      </c>
      <c r="P82" s="293">
        <v>0</v>
      </c>
      <c r="Q82" s="367" t="s">
        <v>292</v>
      </c>
      <c r="R82" s="305" t="s">
        <v>300</v>
      </c>
      <c r="S82" s="306" t="s">
        <v>301</v>
      </c>
      <c r="T82" s="27"/>
      <c r="U82" s="27"/>
      <c r="V82" s="27"/>
      <c r="W82" s="44"/>
      <c r="X82" s="44"/>
      <c r="Y82" s="44"/>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33">
        <f>15000000</f>
        <v>15000000</v>
      </c>
      <c r="AY82" s="33">
        <v>3886666</v>
      </c>
      <c r="AZ82" s="33">
        <v>3886666</v>
      </c>
      <c r="BA82" s="27"/>
      <c r="BB82" s="27"/>
      <c r="BC82" s="27"/>
      <c r="BD82" s="27"/>
      <c r="BE82" s="27"/>
      <c r="BF82" s="27"/>
      <c r="BG82" s="151">
        <f>+T82+W82+Z82+AC82+AF82+AI82+AL82+AO82+AR82+AU82+AX82+BA82+BD82</f>
        <v>15000000</v>
      </c>
      <c r="BH82" s="151">
        <f>+U82+X82+AA82+AD82+AG82+AJ82+AM82+AP82+AS82+AV82+AY82+BB82+BE82</f>
        <v>3886666</v>
      </c>
      <c r="BI82" s="151">
        <f>+V82+Y82+AB82+AE82+AH82+AK82+AN82+AQ82+AT82+AW82+AZ82+BC82+BF82</f>
        <v>3886666</v>
      </c>
      <c r="BK82" s="608"/>
    </row>
    <row r="83" spans="1:63" ht="18.75" customHeight="1" x14ac:dyDescent="0.2">
      <c r="A83" s="377"/>
      <c r="B83" s="380"/>
      <c r="C83" s="171">
        <v>15</v>
      </c>
      <c r="D83" s="146">
        <v>2201</v>
      </c>
      <c r="E83" s="308" t="s">
        <v>191</v>
      </c>
      <c r="F83" s="145"/>
      <c r="G83" s="146"/>
      <c r="H83" s="147"/>
      <c r="I83" s="145"/>
      <c r="J83" s="146"/>
      <c r="K83" s="146"/>
      <c r="L83" s="145"/>
      <c r="M83" s="147"/>
      <c r="N83" s="147"/>
      <c r="O83" s="146"/>
      <c r="P83" s="146"/>
      <c r="Q83" s="368"/>
      <c r="R83" s="146"/>
      <c r="S83" s="145"/>
      <c r="T83" s="308"/>
      <c r="U83" s="308"/>
      <c r="V83" s="308"/>
      <c r="W83" s="308"/>
      <c r="X83" s="308"/>
      <c r="Y83" s="308"/>
      <c r="Z83" s="308"/>
      <c r="AA83" s="308"/>
      <c r="AB83" s="308"/>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181">
        <f>+AX84</f>
        <v>201866667</v>
      </c>
      <c r="AY83" s="181">
        <f>+AY84</f>
        <v>13442666</v>
      </c>
      <c r="AZ83" s="181">
        <f>+AZ84</f>
        <v>13442666</v>
      </c>
      <c r="BA83" s="308"/>
      <c r="BB83" s="308"/>
      <c r="BC83" s="308"/>
      <c r="BD83" s="308"/>
      <c r="BE83" s="308"/>
      <c r="BF83" s="308"/>
      <c r="BG83" s="181">
        <f>+BG84</f>
        <v>201866667</v>
      </c>
      <c r="BH83" s="181">
        <f>+BH84</f>
        <v>13442666</v>
      </c>
      <c r="BI83" s="181">
        <f>+BI84</f>
        <v>13442666</v>
      </c>
      <c r="BK83" s="608"/>
    </row>
    <row r="84" spans="1:63" ht="140.25" customHeight="1" x14ac:dyDescent="0.2">
      <c r="A84" s="377"/>
      <c r="B84" s="380"/>
      <c r="C84" s="322"/>
      <c r="D84" s="323"/>
      <c r="E84" s="314">
        <v>2201</v>
      </c>
      <c r="F84" s="306" t="s">
        <v>1401</v>
      </c>
      <c r="G84" s="305" t="s">
        <v>307</v>
      </c>
      <c r="H84" s="32">
        <v>2201068</v>
      </c>
      <c r="I84" s="306" t="s">
        <v>308</v>
      </c>
      <c r="J84" s="601" t="s">
        <v>309</v>
      </c>
      <c r="K84" s="175">
        <v>220106800</v>
      </c>
      <c r="L84" s="306" t="s">
        <v>310</v>
      </c>
      <c r="M84" s="197" t="s">
        <v>179</v>
      </c>
      <c r="N84" s="197">
        <v>266</v>
      </c>
      <c r="O84" s="197">
        <v>40</v>
      </c>
      <c r="P84" s="197">
        <v>0</v>
      </c>
      <c r="Q84" s="365" t="s">
        <v>198</v>
      </c>
      <c r="R84" s="305" t="s">
        <v>311</v>
      </c>
      <c r="S84" s="306" t="s">
        <v>312</v>
      </c>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33">
        <f>21866667+180000000</f>
        <v>201866667</v>
      </c>
      <c r="AY84" s="33">
        <v>13442666</v>
      </c>
      <c r="AZ84" s="33">
        <v>13442666</v>
      </c>
      <c r="BA84" s="27"/>
      <c r="BB84" s="27"/>
      <c r="BC84" s="27"/>
      <c r="BD84" s="27"/>
      <c r="BE84" s="27"/>
      <c r="BF84" s="27"/>
      <c r="BG84" s="151">
        <f>+T84+W84+Z84+AC84+AF84+AI84+AL84+AO84+AR84+AU84+AX84+BA84+BD84</f>
        <v>201866667</v>
      </c>
      <c r="BH84" s="151">
        <f>+U84+X84+AA84+AD84+AG84+AJ84+AM84+AP84+AS84+AV84+AY84+BB84+BE84</f>
        <v>13442666</v>
      </c>
      <c r="BI84" s="151">
        <f>+V84+Y84+AB84+AE84+AH84+AK84+AN84+AQ84+AT84+AW84+AZ84+BC84+BF84</f>
        <v>13442666</v>
      </c>
      <c r="BK84" s="608"/>
    </row>
    <row r="85" spans="1:63" ht="15.75" x14ac:dyDescent="0.2">
      <c r="A85" s="377"/>
      <c r="B85" s="380"/>
      <c r="C85" s="171">
        <v>35</v>
      </c>
      <c r="D85" s="146">
        <v>4101</v>
      </c>
      <c r="E85" s="308" t="s">
        <v>313</v>
      </c>
      <c r="F85" s="145"/>
      <c r="G85" s="146"/>
      <c r="H85" s="147"/>
      <c r="I85" s="145"/>
      <c r="J85" s="146"/>
      <c r="K85" s="146"/>
      <c r="L85" s="145"/>
      <c r="M85" s="147"/>
      <c r="N85" s="147"/>
      <c r="O85" s="146"/>
      <c r="P85" s="146"/>
      <c r="Q85" s="368"/>
      <c r="R85" s="146"/>
      <c r="S85" s="145"/>
      <c r="T85" s="150">
        <f>SUM(T86:T90)</f>
        <v>0</v>
      </c>
      <c r="U85" s="150"/>
      <c r="V85" s="150"/>
      <c r="W85" s="150">
        <f>SUM(W86:W90)</f>
        <v>0</v>
      </c>
      <c r="X85" s="150"/>
      <c r="Y85" s="150"/>
      <c r="Z85" s="150">
        <f>SUM(Z86:Z90)</f>
        <v>0</v>
      </c>
      <c r="AA85" s="150"/>
      <c r="AB85" s="150"/>
      <c r="AC85" s="150">
        <f>SUM(AC86:AC90)</f>
        <v>0</v>
      </c>
      <c r="AD85" s="150"/>
      <c r="AE85" s="150"/>
      <c r="AF85" s="150">
        <f>SUM(AF86:AF90)</f>
        <v>0</v>
      </c>
      <c r="AG85" s="150"/>
      <c r="AH85" s="150"/>
      <c r="AI85" s="150">
        <f>SUM(AI86:AI90)</f>
        <v>0</v>
      </c>
      <c r="AJ85" s="150"/>
      <c r="AK85" s="150"/>
      <c r="AL85" s="150">
        <f>SUM(AL86:AL90)</f>
        <v>0</v>
      </c>
      <c r="AM85" s="150"/>
      <c r="AN85" s="150"/>
      <c r="AO85" s="150">
        <f>SUM(AO86:AO90)</f>
        <v>0</v>
      </c>
      <c r="AP85" s="150"/>
      <c r="AQ85" s="150"/>
      <c r="AR85" s="150">
        <f>SUM(AR86:AR90)</f>
        <v>0</v>
      </c>
      <c r="AS85" s="150"/>
      <c r="AT85" s="150"/>
      <c r="AU85" s="150">
        <f>SUM(AU86:AU90)</f>
        <v>0</v>
      </c>
      <c r="AV85" s="150"/>
      <c r="AW85" s="150"/>
      <c r="AX85" s="150">
        <f>SUM(AX86:AX90)</f>
        <v>522730761</v>
      </c>
      <c r="AY85" s="150">
        <f>SUM(AY86:AY90)</f>
        <v>181023648</v>
      </c>
      <c r="AZ85" s="150">
        <f>SUM(AZ86:AZ90)</f>
        <v>181023648</v>
      </c>
      <c r="BA85" s="150"/>
      <c r="BB85" s="150"/>
      <c r="BC85" s="150"/>
      <c r="BD85" s="150">
        <f>SUM(BD86:BD90)</f>
        <v>0</v>
      </c>
      <c r="BE85" s="150"/>
      <c r="BF85" s="150"/>
      <c r="BG85" s="150">
        <f>SUM(BG86:BG90)</f>
        <v>522730761</v>
      </c>
      <c r="BH85" s="150">
        <f>SUM(BH86:BH90)</f>
        <v>181023648</v>
      </c>
      <c r="BI85" s="150">
        <f>SUM(BI86:BI90)</f>
        <v>181023648</v>
      </c>
      <c r="BK85" s="608"/>
    </row>
    <row r="86" spans="1:63" ht="89.25" customHeight="1" x14ac:dyDescent="0.2">
      <c r="A86" s="377"/>
      <c r="B86" s="380"/>
      <c r="C86" s="324"/>
      <c r="D86" s="305"/>
      <c r="E86" s="305">
        <v>4101</v>
      </c>
      <c r="F86" s="306" t="s">
        <v>314</v>
      </c>
      <c r="G86" s="261" t="s">
        <v>315</v>
      </c>
      <c r="H86" s="175">
        <v>4101023</v>
      </c>
      <c r="I86" s="306" t="s">
        <v>316</v>
      </c>
      <c r="J86" s="261" t="s">
        <v>317</v>
      </c>
      <c r="K86" s="175">
        <v>410102300</v>
      </c>
      <c r="L86" s="267" t="s">
        <v>318</v>
      </c>
      <c r="M86" s="309" t="s">
        <v>179</v>
      </c>
      <c r="N86" s="305">
        <v>2500</v>
      </c>
      <c r="O86" s="175">
        <v>200</v>
      </c>
      <c r="P86" s="288">
        <v>200</v>
      </c>
      <c r="Q86" s="612" t="s">
        <v>319</v>
      </c>
      <c r="R86" s="613" t="s">
        <v>320</v>
      </c>
      <c r="S86" s="611" t="s">
        <v>321</v>
      </c>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315">
        <v>310730761</v>
      </c>
      <c r="AY86" s="315">
        <v>89251102</v>
      </c>
      <c r="AZ86" s="315">
        <v>89251102</v>
      </c>
      <c r="BA86" s="301"/>
      <c r="BB86" s="27"/>
      <c r="BC86" s="27"/>
      <c r="BD86" s="27"/>
      <c r="BE86" s="27"/>
      <c r="BF86" s="27"/>
      <c r="BG86" s="151">
        <f>+T86+W86+Z86+AC86+AF86+AI86+AL86+AO86+AR86+AU86+AX86+BA86+BD86</f>
        <v>310730761</v>
      </c>
      <c r="BH86" s="151">
        <f t="shared" ref="BH86:BI90" si="27">+U86+X86+AA86+AD86+AG86+AJ86+AM86+AP86+AS86+AV86+AY86+BB86+BE86</f>
        <v>89251102</v>
      </c>
      <c r="BI86" s="151">
        <f t="shared" si="27"/>
        <v>89251102</v>
      </c>
      <c r="BK86" s="608"/>
    </row>
    <row r="87" spans="1:63" ht="73.5" customHeight="1" x14ac:dyDescent="0.2">
      <c r="A87" s="377"/>
      <c r="B87" s="380"/>
      <c r="C87" s="324"/>
      <c r="D87" s="305"/>
      <c r="E87" s="305">
        <v>4101</v>
      </c>
      <c r="F87" s="306" t="s">
        <v>314</v>
      </c>
      <c r="G87" s="305" t="s">
        <v>322</v>
      </c>
      <c r="H87" s="175">
        <v>4101025</v>
      </c>
      <c r="I87" s="306" t="s">
        <v>323</v>
      </c>
      <c r="J87" s="305" t="s">
        <v>324</v>
      </c>
      <c r="K87" s="175">
        <v>410102511</v>
      </c>
      <c r="L87" s="306" t="s">
        <v>325</v>
      </c>
      <c r="M87" s="309" t="s">
        <v>179</v>
      </c>
      <c r="N87" s="305">
        <v>500</v>
      </c>
      <c r="O87" s="175">
        <v>250</v>
      </c>
      <c r="P87" s="288">
        <v>125</v>
      </c>
      <c r="Q87" s="612"/>
      <c r="R87" s="613"/>
      <c r="S87" s="611"/>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315">
        <v>50000000</v>
      </c>
      <c r="AY87" s="315">
        <v>36485017</v>
      </c>
      <c r="AZ87" s="315">
        <v>36485017</v>
      </c>
      <c r="BA87" s="301"/>
      <c r="BB87" s="27"/>
      <c r="BC87" s="27"/>
      <c r="BD87" s="27"/>
      <c r="BE87" s="27"/>
      <c r="BF87" s="27"/>
      <c r="BG87" s="151">
        <f>+T87+W87+Z87+AC87+AF87+AI87+AL87+AO87+AR87+AU87+AX87+BA87+BD87</f>
        <v>50000000</v>
      </c>
      <c r="BH87" s="151">
        <f t="shared" si="27"/>
        <v>36485017</v>
      </c>
      <c r="BI87" s="151">
        <f t="shared" si="27"/>
        <v>36485017</v>
      </c>
      <c r="BK87" s="608"/>
    </row>
    <row r="88" spans="1:63" ht="47.25" customHeight="1" x14ac:dyDescent="0.2">
      <c r="A88" s="377"/>
      <c r="B88" s="380"/>
      <c r="C88" s="324"/>
      <c r="D88" s="305"/>
      <c r="E88" s="305">
        <v>4101</v>
      </c>
      <c r="F88" s="306" t="s">
        <v>314</v>
      </c>
      <c r="G88" s="305" t="s">
        <v>326</v>
      </c>
      <c r="H88" s="175">
        <v>4101038</v>
      </c>
      <c r="I88" s="306" t="s">
        <v>327</v>
      </c>
      <c r="J88" s="305" t="s">
        <v>328</v>
      </c>
      <c r="K88" s="175">
        <v>410103800</v>
      </c>
      <c r="L88" s="306" t="s">
        <v>329</v>
      </c>
      <c r="M88" s="309" t="s">
        <v>179</v>
      </c>
      <c r="N88" s="305">
        <v>48</v>
      </c>
      <c r="O88" s="175">
        <v>12</v>
      </c>
      <c r="P88" s="288">
        <v>12</v>
      </c>
      <c r="Q88" s="612"/>
      <c r="R88" s="613"/>
      <c r="S88" s="611"/>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315">
        <v>42000000</v>
      </c>
      <c r="AY88" s="315">
        <v>32907186</v>
      </c>
      <c r="AZ88" s="315">
        <v>32907186</v>
      </c>
      <c r="BA88" s="301"/>
      <c r="BB88" s="27"/>
      <c r="BC88" s="27"/>
      <c r="BD88" s="27"/>
      <c r="BE88" s="27"/>
      <c r="BF88" s="27"/>
      <c r="BG88" s="151">
        <f>+T88+W88+Z88+AC88+AF88+AI88+AL88+AO88+AR88+AU88+AX88+BA88+BD88</f>
        <v>42000000</v>
      </c>
      <c r="BH88" s="177">
        <f t="shared" si="27"/>
        <v>32907186</v>
      </c>
      <c r="BI88" s="177">
        <f t="shared" si="27"/>
        <v>32907186</v>
      </c>
      <c r="BK88" s="608"/>
    </row>
    <row r="89" spans="1:63" ht="46.5" customHeight="1" x14ac:dyDescent="0.2">
      <c r="A89" s="377"/>
      <c r="B89" s="380"/>
      <c r="C89" s="324"/>
      <c r="D89" s="305"/>
      <c r="E89" s="305">
        <v>4101</v>
      </c>
      <c r="F89" s="306" t="s">
        <v>330</v>
      </c>
      <c r="G89" s="305" t="s">
        <v>331</v>
      </c>
      <c r="H89" s="175">
        <v>4101073</v>
      </c>
      <c r="I89" s="306" t="s">
        <v>332</v>
      </c>
      <c r="J89" s="305" t="s">
        <v>333</v>
      </c>
      <c r="K89" s="175">
        <v>410107300</v>
      </c>
      <c r="L89" s="306" t="s">
        <v>334</v>
      </c>
      <c r="M89" s="261" t="s">
        <v>179</v>
      </c>
      <c r="N89" s="261">
        <v>200</v>
      </c>
      <c r="O89" s="261">
        <v>20</v>
      </c>
      <c r="P89" s="289">
        <v>0</v>
      </c>
      <c r="Q89" s="612"/>
      <c r="R89" s="613"/>
      <c r="S89" s="611"/>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315">
        <v>65000000</v>
      </c>
      <c r="AY89" s="315">
        <v>9400000</v>
      </c>
      <c r="AZ89" s="315">
        <v>9400000</v>
      </c>
      <c r="BA89" s="301"/>
      <c r="BB89" s="27"/>
      <c r="BC89" s="27"/>
      <c r="BD89" s="27"/>
      <c r="BE89" s="27"/>
      <c r="BF89" s="27"/>
      <c r="BG89" s="151">
        <f>+T89+W89+Z89+AC89+AF89+AI89+AL89+AO89+AR89+AU89+AX89+BA89+BD89</f>
        <v>65000000</v>
      </c>
      <c r="BH89" s="151">
        <f t="shared" si="27"/>
        <v>9400000</v>
      </c>
      <c r="BI89" s="151">
        <f t="shared" si="27"/>
        <v>9400000</v>
      </c>
      <c r="BK89" s="608"/>
    </row>
    <row r="90" spans="1:63" ht="90.75" customHeight="1" x14ac:dyDescent="0.2">
      <c r="A90" s="377"/>
      <c r="B90" s="380"/>
      <c r="C90" s="324"/>
      <c r="D90" s="305"/>
      <c r="E90" s="305">
        <v>4101</v>
      </c>
      <c r="F90" s="306" t="s">
        <v>335</v>
      </c>
      <c r="G90" s="305" t="s">
        <v>336</v>
      </c>
      <c r="H90" s="175">
        <v>4101011</v>
      </c>
      <c r="I90" s="306" t="s">
        <v>337</v>
      </c>
      <c r="J90" s="305" t="s">
        <v>338</v>
      </c>
      <c r="K90" s="175">
        <v>410101100</v>
      </c>
      <c r="L90" s="306" t="s">
        <v>339</v>
      </c>
      <c r="M90" s="309" t="s">
        <v>179</v>
      </c>
      <c r="N90" s="305">
        <v>10</v>
      </c>
      <c r="O90" s="175">
        <v>2</v>
      </c>
      <c r="P90" s="288">
        <v>1</v>
      </c>
      <c r="Q90" s="612"/>
      <c r="R90" s="613"/>
      <c r="S90" s="611"/>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315">
        <v>55000000</v>
      </c>
      <c r="AY90" s="315">
        <v>12980343</v>
      </c>
      <c r="AZ90" s="315">
        <v>12980343</v>
      </c>
      <c r="BA90" s="301"/>
      <c r="BB90" s="27"/>
      <c r="BC90" s="27"/>
      <c r="BD90" s="27"/>
      <c r="BE90" s="27"/>
      <c r="BF90" s="27"/>
      <c r="BG90" s="151">
        <f>+T90+W90+Z90+AC90+AF90+AI90+AL90+AO90+AR90+AU90+AX90+BA90+BD90</f>
        <v>55000000</v>
      </c>
      <c r="BH90" s="177">
        <f t="shared" si="27"/>
        <v>12980343</v>
      </c>
      <c r="BI90" s="177">
        <f t="shared" si="27"/>
        <v>12980343</v>
      </c>
      <c r="BK90" s="608"/>
    </row>
    <row r="91" spans="1:63" ht="17.25" customHeight="1" x14ac:dyDescent="0.2">
      <c r="A91" s="377"/>
      <c r="B91" s="380"/>
      <c r="C91" s="171">
        <v>37</v>
      </c>
      <c r="D91" s="146">
        <v>4103</v>
      </c>
      <c r="E91" s="308" t="s">
        <v>340</v>
      </c>
      <c r="F91" s="145"/>
      <c r="G91" s="146"/>
      <c r="H91" s="147"/>
      <c r="I91" s="145"/>
      <c r="J91" s="146"/>
      <c r="K91" s="146"/>
      <c r="L91" s="145"/>
      <c r="M91" s="147"/>
      <c r="N91" s="147"/>
      <c r="O91" s="146"/>
      <c r="P91" s="146"/>
      <c r="Q91" s="368"/>
      <c r="R91" s="146"/>
      <c r="S91" s="145"/>
      <c r="T91" s="333">
        <f>+T92</f>
        <v>0</v>
      </c>
      <c r="U91" s="333"/>
      <c r="V91" s="333"/>
      <c r="W91" s="333">
        <f>+W92</f>
        <v>0</v>
      </c>
      <c r="X91" s="333"/>
      <c r="Y91" s="333"/>
      <c r="Z91" s="333">
        <f>+Z92</f>
        <v>0</v>
      </c>
      <c r="AA91" s="333"/>
      <c r="AB91" s="333"/>
      <c r="AC91" s="333">
        <f>+AC92</f>
        <v>0</v>
      </c>
      <c r="AD91" s="333"/>
      <c r="AE91" s="333"/>
      <c r="AF91" s="333">
        <f>+AF92</f>
        <v>0</v>
      </c>
      <c r="AG91" s="333"/>
      <c r="AH91" s="333"/>
      <c r="AI91" s="333">
        <f>+AI92</f>
        <v>0</v>
      </c>
      <c r="AJ91" s="333"/>
      <c r="AK91" s="333"/>
      <c r="AL91" s="333">
        <f>+AL92</f>
        <v>0</v>
      </c>
      <c r="AM91" s="333"/>
      <c r="AN91" s="333"/>
      <c r="AO91" s="333">
        <f>+AO92</f>
        <v>0</v>
      </c>
      <c r="AP91" s="333"/>
      <c r="AQ91" s="333"/>
      <c r="AR91" s="333">
        <f>+AR92</f>
        <v>0</v>
      </c>
      <c r="AS91" s="333"/>
      <c r="AT91" s="333"/>
      <c r="AU91" s="333">
        <f>+AU92</f>
        <v>0</v>
      </c>
      <c r="AV91" s="333"/>
      <c r="AW91" s="333"/>
      <c r="AX91" s="333">
        <f>+AX92</f>
        <v>15738667</v>
      </c>
      <c r="AY91" s="333">
        <f>+AY92</f>
        <v>4990295</v>
      </c>
      <c r="AZ91" s="333">
        <f>+AZ92</f>
        <v>4990295</v>
      </c>
      <c r="BA91" s="333">
        <f>+BA92</f>
        <v>0</v>
      </c>
      <c r="BB91" s="333"/>
      <c r="BC91" s="333"/>
      <c r="BD91" s="333">
        <f>+BD92</f>
        <v>0</v>
      </c>
      <c r="BE91" s="333"/>
      <c r="BF91" s="333"/>
      <c r="BG91" s="333">
        <f>+BG92</f>
        <v>15738667</v>
      </c>
      <c r="BH91" s="333">
        <f>+BH92</f>
        <v>4990295</v>
      </c>
      <c r="BI91" s="333">
        <f>+BI92</f>
        <v>4990295</v>
      </c>
      <c r="BK91" s="608"/>
    </row>
    <row r="92" spans="1:63" ht="77.25" customHeight="1" x14ac:dyDescent="0.2">
      <c r="A92" s="377"/>
      <c r="B92" s="380"/>
      <c r="C92" s="324"/>
      <c r="D92" s="305"/>
      <c r="E92" s="305">
        <v>4103</v>
      </c>
      <c r="F92" s="306" t="s">
        <v>341</v>
      </c>
      <c r="G92" s="261" t="s">
        <v>342</v>
      </c>
      <c r="H92" s="305" t="s">
        <v>1402</v>
      </c>
      <c r="I92" s="306" t="s">
        <v>343</v>
      </c>
      <c r="J92" s="305" t="s">
        <v>344</v>
      </c>
      <c r="K92" s="175" t="s">
        <v>1379</v>
      </c>
      <c r="L92" s="306" t="s">
        <v>345</v>
      </c>
      <c r="M92" s="197" t="s">
        <v>179</v>
      </c>
      <c r="N92" s="197">
        <v>125</v>
      </c>
      <c r="O92" s="197">
        <v>50</v>
      </c>
      <c r="P92" s="197">
        <v>50</v>
      </c>
      <c r="Q92" s="367" t="s">
        <v>292</v>
      </c>
      <c r="R92" s="305" t="s">
        <v>346</v>
      </c>
      <c r="S92" s="306" t="s">
        <v>347</v>
      </c>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33">
        <v>15738667</v>
      </c>
      <c r="AY92" s="33">
        <v>4990295</v>
      </c>
      <c r="AZ92" s="33">
        <v>4990295</v>
      </c>
      <c r="BA92" s="27"/>
      <c r="BB92" s="27"/>
      <c r="BC92" s="27"/>
      <c r="BD92" s="27"/>
      <c r="BE92" s="27"/>
      <c r="BF92" s="27"/>
      <c r="BG92" s="151">
        <f>+T92+W92+Z92+AC92+AF92+AI92+AL92+AO92+AR92+AU92+AX92+BA92+BD92</f>
        <v>15738667</v>
      </c>
      <c r="BH92" s="151">
        <f>+U92+X92+AA92+AD92+AG92+AJ92+AM92+AP92+AS92+AV92+AY92+BB92+BE92</f>
        <v>4990295</v>
      </c>
      <c r="BI92" s="151">
        <f>+V92+Y92+AB92+AE92+AH92+AK92+AN92+AQ92+AT92+AW92+AZ92+BC92+BF92</f>
        <v>4990295</v>
      </c>
      <c r="BK92" s="608"/>
    </row>
    <row r="93" spans="1:63" ht="15.75" x14ac:dyDescent="0.2">
      <c r="A93" s="377"/>
      <c r="B93" s="380"/>
      <c r="C93" s="171">
        <v>41</v>
      </c>
      <c r="D93" s="146">
        <v>4501</v>
      </c>
      <c r="E93" s="308" t="s">
        <v>348</v>
      </c>
      <c r="F93" s="145"/>
      <c r="G93" s="146"/>
      <c r="H93" s="147"/>
      <c r="I93" s="145"/>
      <c r="J93" s="146"/>
      <c r="K93" s="146"/>
      <c r="L93" s="145"/>
      <c r="M93" s="147"/>
      <c r="N93" s="147"/>
      <c r="O93" s="146"/>
      <c r="P93" s="146"/>
      <c r="Q93" s="368"/>
      <c r="R93" s="146"/>
      <c r="S93" s="145"/>
      <c r="T93" s="333">
        <f>SUM(T94:T96)</f>
        <v>0</v>
      </c>
      <c r="U93" s="333"/>
      <c r="V93" s="333"/>
      <c r="W93" s="333">
        <f>SUM(W94:W96)</f>
        <v>2192073558.0099998</v>
      </c>
      <c r="X93" s="333">
        <f>SUM(X94:X96)</f>
        <v>216525722</v>
      </c>
      <c r="Y93" s="333">
        <f>SUM(Y94:Y96)</f>
        <v>216525722</v>
      </c>
      <c r="Z93" s="333">
        <f>SUM(Z94:Z96)</f>
        <v>0</v>
      </c>
      <c r="AA93" s="333"/>
      <c r="AB93" s="333"/>
      <c r="AC93" s="333">
        <f>SUM(AC94:AC96)</f>
        <v>0</v>
      </c>
      <c r="AD93" s="333"/>
      <c r="AE93" s="333"/>
      <c r="AF93" s="333">
        <f>SUM(AF94:AF96)</f>
        <v>0</v>
      </c>
      <c r="AG93" s="333"/>
      <c r="AH93" s="333"/>
      <c r="AI93" s="333">
        <f>SUM(AI94:AI96)</f>
        <v>0</v>
      </c>
      <c r="AJ93" s="333"/>
      <c r="AK93" s="333"/>
      <c r="AL93" s="333">
        <f>SUM(AL94:AL96)</f>
        <v>0</v>
      </c>
      <c r="AM93" s="333"/>
      <c r="AN93" s="333"/>
      <c r="AO93" s="333">
        <f>SUM(AO94:AO96)</f>
        <v>0</v>
      </c>
      <c r="AP93" s="333"/>
      <c r="AQ93" s="333"/>
      <c r="AR93" s="333">
        <f>SUM(AR94:AR96)</f>
        <v>0</v>
      </c>
      <c r="AS93" s="333"/>
      <c r="AT93" s="333"/>
      <c r="AU93" s="333">
        <f>SUM(AU94:AU96)</f>
        <v>0</v>
      </c>
      <c r="AV93" s="333"/>
      <c r="AW93" s="333"/>
      <c r="AX93" s="333">
        <f>SUM(AX94:AX96)</f>
        <v>169000000</v>
      </c>
      <c r="AY93" s="333">
        <f>SUM(AY94:AY96)</f>
        <v>89940743</v>
      </c>
      <c r="AZ93" s="333">
        <f>SUM(AZ94:AZ96)</f>
        <v>89940743</v>
      </c>
      <c r="BA93" s="333"/>
      <c r="BB93" s="333"/>
      <c r="BC93" s="333"/>
      <c r="BD93" s="333">
        <f>SUM(BD94:BD96)</f>
        <v>0</v>
      </c>
      <c r="BE93" s="333"/>
      <c r="BF93" s="333"/>
      <c r="BG93" s="333">
        <f>SUM(BG94:BG96)</f>
        <v>2361073558.0099998</v>
      </c>
      <c r="BH93" s="333">
        <f>SUM(BH94:BH96)</f>
        <v>306466465</v>
      </c>
      <c r="BI93" s="333">
        <f>SUM(BI94:BI96)</f>
        <v>306466465</v>
      </c>
      <c r="BK93" s="608"/>
    </row>
    <row r="94" spans="1:63" ht="198" customHeight="1" x14ac:dyDescent="0.2">
      <c r="A94" s="377"/>
      <c r="B94" s="380"/>
      <c r="C94" s="322"/>
      <c r="D94" s="323"/>
      <c r="E94" s="305">
        <v>4501</v>
      </c>
      <c r="F94" s="306" t="s">
        <v>174</v>
      </c>
      <c r="G94" s="305" t="s">
        <v>349</v>
      </c>
      <c r="H94" s="305" t="s">
        <v>1402</v>
      </c>
      <c r="I94" s="306" t="s">
        <v>350</v>
      </c>
      <c r="J94" s="305" t="s">
        <v>351</v>
      </c>
      <c r="K94" s="305" t="s">
        <v>83</v>
      </c>
      <c r="L94" s="306" t="s">
        <v>352</v>
      </c>
      <c r="M94" s="309" t="s">
        <v>89</v>
      </c>
      <c r="N94" s="305">
        <v>5</v>
      </c>
      <c r="O94" s="305">
        <v>5</v>
      </c>
      <c r="P94" s="197">
        <v>5</v>
      </c>
      <c r="Q94" s="367" t="s">
        <v>292</v>
      </c>
      <c r="R94" s="305" t="s">
        <v>300</v>
      </c>
      <c r="S94" s="306" t="s">
        <v>301</v>
      </c>
      <c r="T94" s="27"/>
      <c r="U94" s="27"/>
      <c r="V94" s="27"/>
      <c r="W94" s="44">
        <f>5428613946.86-3236540388.85</f>
        <v>2192073558.0099998</v>
      </c>
      <c r="X94" s="44">
        <v>216525722</v>
      </c>
      <c r="Y94" s="44">
        <v>216525722</v>
      </c>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33"/>
      <c r="AY94" s="33"/>
      <c r="AZ94" s="33"/>
      <c r="BA94" s="27"/>
      <c r="BB94" s="27"/>
      <c r="BC94" s="27"/>
      <c r="BD94" s="27"/>
      <c r="BE94" s="27"/>
      <c r="BF94" s="27"/>
      <c r="BG94" s="151">
        <f>+T94+W94+Z94+AC94+AF94+AI94+AL94+AO94+AR94+AU94+AX94+BA94+BD94</f>
        <v>2192073558.0099998</v>
      </c>
      <c r="BH94" s="177">
        <f t="shared" ref="BH94:BI96" si="28">+U94+X94+AA94+AD94+AG94+AJ94+AM94+AP94+AS94+AV94+AY94+BB94+BE94</f>
        <v>216525722</v>
      </c>
      <c r="BI94" s="177">
        <f t="shared" si="28"/>
        <v>216525722</v>
      </c>
      <c r="BK94" s="608"/>
    </row>
    <row r="95" spans="1:63" ht="119.25" customHeight="1" x14ac:dyDescent="0.2">
      <c r="A95" s="377"/>
      <c r="B95" s="380"/>
      <c r="C95" s="324"/>
      <c r="D95" s="305"/>
      <c r="E95" s="305">
        <v>4501</v>
      </c>
      <c r="F95" s="306" t="s">
        <v>1419</v>
      </c>
      <c r="G95" s="264" t="s">
        <v>353</v>
      </c>
      <c r="H95" s="305">
        <v>4501024</v>
      </c>
      <c r="I95" s="306" t="s">
        <v>354</v>
      </c>
      <c r="J95" s="264" t="s">
        <v>355</v>
      </c>
      <c r="K95" s="261">
        <v>450102400</v>
      </c>
      <c r="L95" s="267" t="s">
        <v>356</v>
      </c>
      <c r="M95" s="305" t="s">
        <v>89</v>
      </c>
      <c r="N95" s="305">
        <v>10</v>
      </c>
      <c r="O95" s="305">
        <v>10</v>
      </c>
      <c r="P95" s="197">
        <v>10</v>
      </c>
      <c r="Q95" s="367" t="s">
        <v>292</v>
      </c>
      <c r="R95" s="305" t="s">
        <v>346</v>
      </c>
      <c r="S95" s="306" t="s">
        <v>347</v>
      </c>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33">
        <v>94000000</v>
      </c>
      <c r="AY95" s="33">
        <v>49720743</v>
      </c>
      <c r="AZ95" s="33">
        <v>49720743</v>
      </c>
      <c r="BA95" s="27"/>
      <c r="BB95" s="27"/>
      <c r="BC95" s="27"/>
      <c r="BD95" s="27"/>
      <c r="BE95" s="27"/>
      <c r="BF95" s="27"/>
      <c r="BG95" s="151">
        <f>+T95+W95+Z95+AC95+AF95+AI95+AL95+AO95+AR95+AU95+AX95+BA95+BD95</f>
        <v>94000000</v>
      </c>
      <c r="BH95" s="177">
        <f t="shared" si="28"/>
        <v>49720743</v>
      </c>
      <c r="BI95" s="177">
        <f t="shared" si="28"/>
        <v>49720743</v>
      </c>
      <c r="BK95" s="608"/>
    </row>
    <row r="96" spans="1:63" ht="180.75" customHeight="1" x14ac:dyDescent="0.2">
      <c r="A96" s="377"/>
      <c r="B96" s="388"/>
      <c r="C96" s="324"/>
      <c r="D96" s="305"/>
      <c r="E96" s="305">
        <v>4501</v>
      </c>
      <c r="F96" s="306" t="s">
        <v>174</v>
      </c>
      <c r="G96" s="305" t="s">
        <v>357</v>
      </c>
      <c r="H96" s="305">
        <v>4501001</v>
      </c>
      <c r="I96" s="306" t="s">
        <v>358</v>
      </c>
      <c r="J96" s="305" t="s">
        <v>359</v>
      </c>
      <c r="K96" s="305">
        <v>450100100</v>
      </c>
      <c r="L96" s="306" t="s">
        <v>360</v>
      </c>
      <c r="M96" s="309" t="s">
        <v>89</v>
      </c>
      <c r="N96" s="305">
        <v>12</v>
      </c>
      <c r="O96" s="305">
        <v>12</v>
      </c>
      <c r="P96" s="197">
        <v>12</v>
      </c>
      <c r="Q96" s="367" t="s">
        <v>105</v>
      </c>
      <c r="R96" s="305" t="s">
        <v>361</v>
      </c>
      <c r="S96" s="306" t="s">
        <v>362</v>
      </c>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33">
        <f>96923000-21923000</f>
        <v>75000000</v>
      </c>
      <c r="AY96" s="33">
        <v>40220000</v>
      </c>
      <c r="AZ96" s="33">
        <v>40220000</v>
      </c>
      <c r="BA96" s="27"/>
      <c r="BB96" s="27"/>
      <c r="BC96" s="27"/>
      <c r="BD96" s="27"/>
      <c r="BE96" s="27"/>
      <c r="BF96" s="27"/>
      <c r="BG96" s="151">
        <f>+T96+W96+Z96+AC96+AF96+AI96+AL96+AO96+AR96+AU96+AX96+BA96+BD96</f>
        <v>75000000</v>
      </c>
      <c r="BH96" s="259">
        <f t="shared" si="28"/>
        <v>40220000</v>
      </c>
      <c r="BI96" s="151">
        <f t="shared" si="28"/>
        <v>40220000</v>
      </c>
      <c r="BK96" s="608"/>
    </row>
    <row r="97" spans="1:64" ht="15.75" x14ac:dyDescent="0.2">
      <c r="A97" s="377"/>
      <c r="B97" s="222">
        <v>3</v>
      </c>
      <c r="C97" s="138" t="s">
        <v>3</v>
      </c>
      <c r="D97" s="139"/>
      <c r="E97" s="139"/>
      <c r="F97" s="140"/>
      <c r="G97" s="141"/>
      <c r="H97" s="142"/>
      <c r="I97" s="140"/>
      <c r="J97" s="141"/>
      <c r="K97" s="141"/>
      <c r="L97" s="140"/>
      <c r="M97" s="142"/>
      <c r="N97" s="142"/>
      <c r="O97" s="141"/>
      <c r="P97" s="141"/>
      <c r="Q97" s="139"/>
      <c r="R97" s="141"/>
      <c r="S97" s="140"/>
      <c r="T97" s="144">
        <f>+T98+T101</f>
        <v>0</v>
      </c>
      <c r="U97" s="144"/>
      <c r="V97" s="144"/>
      <c r="W97" s="144">
        <f>+W98+W101</f>
        <v>0</v>
      </c>
      <c r="X97" s="144"/>
      <c r="Y97" s="144"/>
      <c r="Z97" s="144">
        <f>+Z98+Z101</f>
        <v>0</v>
      </c>
      <c r="AA97" s="144"/>
      <c r="AB97" s="144"/>
      <c r="AC97" s="144">
        <f>+AC98+AC101</f>
        <v>0</v>
      </c>
      <c r="AD97" s="144"/>
      <c r="AE97" s="144"/>
      <c r="AF97" s="144">
        <f>+AF98+AF101</f>
        <v>0</v>
      </c>
      <c r="AG97" s="144"/>
      <c r="AH97" s="144"/>
      <c r="AI97" s="144">
        <f>+AI98+AI101</f>
        <v>0</v>
      </c>
      <c r="AJ97" s="144"/>
      <c r="AK97" s="144"/>
      <c r="AL97" s="144">
        <f>+AL98+AL101</f>
        <v>0</v>
      </c>
      <c r="AM97" s="144"/>
      <c r="AN97" s="144"/>
      <c r="AO97" s="144">
        <f>+AO98+AO101</f>
        <v>0</v>
      </c>
      <c r="AP97" s="144"/>
      <c r="AQ97" s="144"/>
      <c r="AR97" s="144">
        <f>+AR98+AR101</f>
        <v>0</v>
      </c>
      <c r="AS97" s="144"/>
      <c r="AT97" s="144"/>
      <c r="AU97" s="144">
        <f>+AU98+AU101</f>
        <v>0</v>
      </c>
      <c r="AV97" s="144"/>
      <c r="AW97" s="144"/>
      <c r="AX97" s="144">
        <f>+AX98+AX101</f>
        <v>436511874.30000001</v>
      </c>
      <c r="AY97" s="144">
        <f>+AY98+AY101</f>
        <v>340430427</v>
      </c>
      <c r="AZ97" s="144">
        <f>+AZ98+AZ101</f>
        <v>340430427</v>
      </c>
      <c r="BA97" s="144">
        <f>+BA98+BA101</f>
        <v>0</v>
      </c>
      <c r="BB97" s="144"/>
      <c r="BC97" s="144"/>
      <c r="BD97" s="144">
        <f>+BD98+BD101</f>
        <v>0</v>
      </c>
      <c r="BE97" s="144"/>
      <c r="BF97" s="144"/>
      <c r="BG97" s="144">
        <f>+BG98+BG101</f>
        <v>436511874.30000001</v>
      </c>
      <c r="BH97" s="144">
        <f>+BH98+BH101</f>
        <v>340430427</v>
      </c>
      <c r="BI97" s="144">
        <f>+BI98+BI101</f>
        <v>340430427</v>
      </c>
      <c r="BK97" s="608"/>
    </row>
    <row r="98" spans="1:64" ht="15.75" x14ac:dyDescent="0.2">
      <c r="A98" s="377"/>
      <c r="B98" s="379"/>
      <c r="C98" s="171">
        <v>23</v>
      </c>
      <c r="D98" s="146">
        <v>3205</v>
      </c>
      <c r="E98" s="308" t="s">
        <v>246</v>
      </c>
      <c r="F98" s="145"/>
      <c r="G98" s="146"/>
      <c r="H98" s="147"/>
      <c r="I98" s="145"/>
      <c r="J98" s="146"/>
      <c r="K98" s="146"/>
      <c r="L98" s="145"/>
      <c r="M98" s="147"/>
      <c r="N98" s="147"/>
      <c r="O98" s="146"/>
      <c r="P98" s="146"/>
      <c r="Q98" s="149"/>
      <c r="R98" s="146"/>
      <c r="S98" s="145"/>
      <c r="T98" s="333">
        <f>SUM(T99:T100)</f>
        <v>0</v>
      </c>
      <c r="U98" s="333"/>
      <c r="V98" s="333"/>
      <c r="W98" s="333">
        <f>SUM(W99:W100)</f>
        <v>0</v>
      </c>
      <c r="X98" s="333"/>
      <c r="Y98" s="333"/>
      <c r="Z98" s="333">
        <f>SUM(Z99:Z100)</f>
        <v>0</v>
      </c>
      <c r="AA98" s="333"/>
      <c r="AB98" s="333"/>
      <c r="AC98" s="333">
        <f>SUM(AC99:AC100)</f>
        <v>0</v>
      </c>
      <c r="AD98" s="333"/>
      <c r="AE98" s="333"/>
      <c r="AF98" s="333">
        <f>SUM(AF99:AF100)</f>
        <v>0</v>
      </c>
      <c r="AG98" s="333"/>
      <c r="AH98" s="333"/>
      <c r="AI98" s="333">
        <f>SUM(AI99:AI100)</f>
        <v>0</v>
      </c>
      <c r="AJ98" s="333"/>
      <c r="AK98" s="333"/>
      <c r="AL98" s="333">
        <f>SUM(AL99:AL100)</f>
        <v>0</v>
      </c>
      <c r="AM98" s="333"/>
      <c r="AN98" s="333"/>
      <c r="AO98" s="333">
        <f>SUM(AO99:AO100)</f>
        <v>0</v>
      </c>
      <c r="AP98" s="333"/>
      <c r="AQ98" s="333"/>
      <c r="AR98" s="333">
        <f>SUM(AR99:AR100)</f>
        <v>0</v>
      </c>
      <c r="AS98" s="333"/>
      <c r="AT98" s="333"/>
      <c r="AU98" s="333">
        <f>SUM(AU99:AU100)</f>
        <v>0</v>
      </c>
      <c r="AV98" s="333"/>
      <c r="AW98" s="333"/>
      <c r="AX98" s="333">
        <f>SUM(AX99:AX100)</f>
        <v>37702666</v>
      </c>
      <c r="AY98" s="333">
        <f>SUM(AY99:AY100)</f>
        <v>27520000</v>
      </c>
      <c r="AZ98" s="333">
        <f>SUM(AZ99:AZ100)</f>
        <v>27520000</v>
      </c>
      <c r="BA98" s="333">
        <f>SUM(BA99:BA100)</f>
        <v>0</v>
      </c>
      <c r="BB98" s="333"/>
      <c r="BC98" s="333"/>
      <c r="BD98" s="333">
        <f>SUM(BD99:BD100)</f>
        <v>0</v>
      </c>
      <c r="BE98" s="333"/>
      <c r="BF98" s="333"/>
      <c r="BG98" s="333">
        <f>SUM(BG99:BG100)</f>
        <v>37702666</v>
      </c>
      <c r="BH98" s="333">
        <f>SUM(BH99:BH100)</f>
        <v>27520000</v>
      </c>
      <c r="BI98" s="333">
        <f>SUM(BI99:BI100)</f>
        <v>27520000</v>
      </c>
      <c r="BK98" s="608"/>
    </row>
    <row r="99" spans="1:64" ht="130.5" customHeight="1" x14ac:dyDescent="0.2">
      <c r="A99" s="377"/>
      <c r="B99" s="380"/>
      <c r="C99" s="322"/>
      <c r="D99" s="335"/>
      <c r="E99" s="197">
        <v>3205</v>
      </c>
      <c r="F99" s="196" t="s">
        <v>1420</v>
      </c>
      <c r="G99" s="197" t="s">
        <v>363</v>
      </c>
      <c r="H99" s="197">
        <v>3205002</v>
      </c>
      <c r="I99" s="196" t="s">
        <v>364</v>
      </c>
      <c r="J99" s="197" t="s">
        <v>365</v>
      </c>
      <c r="K99" s="197">
        <v>320500200</v>
      </c>
      <c r="L99" s="196" t="s">
        <v>366</v>
      </c>
      <c r="M99" s="289" t="s">
        <v>179</v>
      </c>
      <c r="N99" s="289">
        <v>10</v>
      </c>
      <c r="O99" s="289">
        <v>1</v>
      </c>
      <c r="P99" s="289">
        <v>1</v>
      </c>
      <c r="Q99" s="612" t="s">
        <v>367</v>
      </c>
      <c r="R99" s="613" t="s">
        <v>311</v>
      </c>
      <c r="S99" s="611" t="s">
        <v>312</v>
      </c>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315">
        <f>12866668+20000000</f>
        <v>32866668</v>
      </c>
      <c r="AY99" s="315">
        <v>24186668</v>
      </c>
      <c r="AZ99" s="315">
        <v>24186668</v>
      </c>
      <c r="BA99" s="27"/>
      <c r="BB99" s="27"/>
      <c r="BC99" s="27"/>
      <c r="BD99" s="27"/>
      <c r="BE99" s="27"/>
      <c r="BF99" s="27"/>
      <c r="BG99" s="151">
        <f t="shared" ref="BG99:BI100" si="29">+T99+W99+Z99+AC99+AF99+AI99+AL99+AO99+AR99+AU99+AX99+BA99+BD99</f>
        <v>32866668</v>
      </c>
      <c r="BH99" s="151">
        <f t="shared" si="29"/>
        <v>24186668</v>
      </c>
      <c r="BI99" s="151">
        <f t="shared" si="29"/>
        <v>24186668</v>
      </c>
      <c r="BK99" s="608"/>
    </row>
    <row r="100" spans="1:64" ht="137.25" customHeight="1" x14ac:dyDescent="0.2">
      <c r="A100" s="377"/>
      <c r="B100" s="380"/>
      <c r="C100" s="322"/>
      <c r="D100" s="335"/>
      <c r="E100" s="197">
        <v>3205</v>
      </c>
      <c r="F100" s="196" t="s">
        <v>1421</v>
      </c>
      <c r="G100" s="197" t="s">
        <v>368</v>
      </c>
      <c r="H100" s="197">
        <v>3205021</v>
      </c>
      <c r="I100" s="196" t="s">
        <v>248</v>
      </c>
      <c r="J100" s="601" t="s">
        <v>247</v>
      </c>
      <c r="K100" s="197">
        <v>320502100</v>
      </c>
      <c r="L100" s="196" t="s">
        <v>249</v>
      </c>
      <c r="M100" s="197" t="s">
        <v>179</v>
      </c>
      <c r="N100" s="197">
        <v>4</v>
      </c>
      <c r="O100" s="197">
        <v>1</v>
      </c>
      <c r="P100" s="197">
        <v>0</v>
      </c>
      <c r="Q100" s="612"/>
      <c r="R100" s="613"/>
      <c r="S100" s="611"/>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315">
        <v>4835998</v>
      </c>
      <c r="AY100" s="315">
        <v>3333332</v>
      </c>
      <c r="AZ100" s="315">
        <v>3333332</v>
      </c>
      <c r="BA100" s="27"/>
      <c r="BB100" s="27"/>
      <c r="BC100" s="27"/>
      <c r="BD100" s="27"/>
      <c r="BE100" s="27"/>
      <c r="BF100" s="27"/>
      <c r="BG100" s="151">
        <f t="shared" si="29"/>
        <v>4835998</v>
      </c>
      <c r="BH100" s="151">
        <f t="shared" si="29"/>
        <v>3333332</v>
      </c>
      <c r="BI100" s="151">
        <f t="shared" si="29"/>
        <v>3333332</v>
      </c>
      <c r="BK100" s="608"/>
    </row>
    <row r="101" spans="1:64" ht="15.75" x14ac:dyDescent="0.2">
      <c r="A101" s="377"/>
      <c r="B101" s="380"/>
      <c r="C101" s="171">
        <v>43</v>
      </c>
      <c r="D101" s="146">
        <v>4503</v>
      </c>
      <c r="E101" s="308" t="s">
        <v>369</v>
      </c>
      <c r="F101" s="145"/>
      <c r="G101" s="146"/>
      <c r="H101" s="147"/>
      <c r="I101" s="145"/>
      <c r="J101" s="146"/>
      <c r="K101" s="146"/>
      <c r="L101" s="145"/>
      <c r="M101" s="147"/>
      <c r="N101" s="147"/>
      <c r="O101" s="146"/>
      <c r="P101" s="146"/>
      <c r="Q101" s="368"/>
      <c r="R101" s="146"/>
      <c r="S101" s="145"/>
      <c r="T101" s="333">
        <f>SUM(T102:T104)</f>
        <v>0</v>
      </c>
      <c r="U101" s="333"/>
      <c r="V101" s="333"/>
      <c r="W101" s="333">
        <f>SUM(W102:W104)</f>
        <v>0</v>
      </c>
      <c r="X101" s="333"/>
      <c r="Y101" s="333"/>
      <c r="Z101" s="333">
        <f>SUM(Z102:Z104)</f>
        <v>0</v>
      </c>
      <c r="AA101" s="333"/>
      <c r="AB101" s="333"/>
      <c r="AC101" s="333">
        <f>SUM(AC102:AC104)</f>
        <v>0</v>
      </c>
      <c r="AD101" s="333"/>
      <c r="AE101" s="333"/>
      <c r="AF101" s="333">
        <f>SUM(AF102:AF104)</f>
        <v>0</v>
      </c>
      <c r="AG101" s="333"/>
      <c r="AH101" s="333"/>
      <c r="AI101" s="333">
        <f>SUM(AI102:AI104)</f>
        <v>0</v>
      </c>
      <c r="AJ101" s="333"/>
      <c r="AK101" s="333"/>
      <c r="AL101" s="333">
        <f>SUM(AL102:AL104)</f>
        <v>0</v>
      </c>
      <c r="AM101" s="333"/>
      <c r="AN101" s="333"/>
      <c r="AO101" s="333">
        <f>SUM(AO102:AO104)</f>
        <v>0</v>
      </c>
      <c r="AP101" s="333"/>
      <c r="AQ101" s="333"/>
      <c r="AR101" s="333">
        <f>SUM(AR102:AR104)</f>
        <v>0</v>
      </c>
      <c r="AS101" s="333"/>
      <c r="AT101" s="333"/>
      <c r="AU101" s="333">
        <f>SUM(AU102:AU104)</f>
        <v>0</v>
      </c>
      <c r="AV101" s="333"/>
      <c r="AW101" s="333"/>
      <c r="AX101" s="333">
        <f>SUM(AX102:AX104)</f>
        <v>398809208.30000001</v>
      </c>
      <c r="AY101" s="333">
        <f>SUM(AY102:AY104)</f>
        <v>312910427</v>
      </c>
      <c r="AZ101" s="333">
        <f>SUM(AZ102:AZ104)</f>
        <v>312910427</v>
      </c>
      <c r="BA101" s="333">
        <f>SUM(BA102:BA104)</f>
        <v>0</v>
      </c>
      <c r="BB101" s="333"/>
      <c r="BC101" s="333"/>
      <c r="BD101" s="333">
        <f>SUM(BD102:BD104)</f>
        <v>0</v>
      </c>
      <c r="BE101" s="333"/>
      <c r="BF101" s="333"/>
      <c r="BG101" s="333">
        <f>SUM(BG102:BG104)</f>
        <v>398809208.30000001</v>
      </c>
      <c r="BH101" s="333">
        <f>SUM(BH102:BH104)</f>
        <v>312910427</v>
      </c>
      <c r="BI101" s="333">
        <f>SUM(BI102:BI104)</f>
        <v>312910427</v>
      </c>
      <c r="BK101" s="608"/>
    </row>
    <row r="102" spans="1:64" ht="108" customHeight="1" x14ac:dyDescent="0.2">
      <c r="A102" s="377"/>
      <c r="B102" s="380"/>
      <c r="C102" s="322"/>
      <c r="D102" s="323"/>
      <c r="E102" s="297">
        <v>4503</v>
      </c>
      <c r="F102" s="196" t="s">
        <v>1422</v>
      </c>
      <c r="G102" s="197" t="s">
        <v>370</v>
      </c>
      <c r="H102" s="197">
        <v>4503002</v>
      </c>
      <c r="I102" s="196" t="s">
        <v>371</v>
      </c>
      <c r="J102" s="197" t="s">
        <v>372</v>
      </c>
      <c r="K102" s="197">
        <v>450300200</v>
      </c>
      <c r="L102" s="196" t="s">
        <v>373</v>
      </c>
      <c r="M102" s="197" t="s">
        <v>179</v>
      </c>
      <c r="N102" s="197">
        <v>15000</v>
      </c>
      <c r="O102" s="197">
        <v>1000</v>
      </c>
      <c r="P102" s="197">
        <v>1000</v>
      </c>
      <c r="Q102" s="617" t="s">
        <v>367</v>
      </c>
      <c r="R102" s="613" t="s">
        <v>311</v>
      </c>
      <c r="S102" s="611" t="s">
        <v>1403</v>
      </c>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33">
        <f>3733333+4390667+33000000</f>
        <v>41124000</v>
      </c>
      <c r="AY102" s="315">
        <v>28124000</v>
      </c>
      <c r="AZ102" s="315">
        <v>28124000</v>
      </c>
      <c r="BA102" s="27"/>
      <c r="BB102" s="27"/>
      <c r="BC102" s="27"/>
      <c r="BD102" s="27"/>
      <c r="BE102" s="27"/>
      <c r="BF102" s="27"/>
      <c r="BG102" s="151">
        <f>+T102+W102+Z102+AC102+AF102+AI102+AL102+AO102+AR102+AU102+AX102+BA102+BD102</f>
        <v>41124000</v>
      </c>
      <c r="BH102" s="151">
        <f t="shared" ref="BH102:BI104" si="30">+U102+X102+AA102+AD102+AG102+AJ102+AM102+AP102+AS102+AV102+AY102+BB102+BE102</f>
        <v>28124000</v>
      </c>
      <c r="BI102" s="151">
        <f t="shared" si="30"/>
        <v>28124000</v>
      </c>
      <c r="BK102" s="608"/>
    </row>
    <row r="103" spans="1:64" ht="93.75" customHeight="1" x14ac:dyDescent="0.2">
      <c r="A103" s="377"/>
      <c r="B103" s="380"/>
      <c r="C103" s="322"/>
      <c r="D103" s="323"/>
      <c r="E103" s="297">
        <v>4503</v>
      </c>
      <c r="F103" s="196" t="s">
        <v>374</v>
      </c>
      <c r="G103" s="197" t="s">
        <v>375</v>
      </c>
      <c r="H103" s="197">
        <v>4503003</v>
      </c>
      <c r="I103" s="196" t="s">
        <v>358</v>
      </c>
      <c r="J103" s="197" t="s">
        <v>376</v>
      </c>
      <c r="K103" s="197">
        <v>450300300</v>
      </c>
      <c r="L103" s="196" t="s">
        <v>377</v>
      </c>
      <c r="M103" s="197" t="s">
        <v>89</v>
      </c>
      <c r="N103" s="197">
        <v>12</v>
      </c>
      <c r="O103" s="197">
        <v>12</v>
      </c>
      <c r="P103" s="197">
        <v>12</v>
      </c>
      <c r="Q103" s="617"/>
      <c r="R103" s="613"/>
      <c r="S103" s="611"/>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33">
        <f>84753736+22122264+177579598</f>
        <v>284455598</v>
      </c>
      <c r="AY103" s="315">
        <v>212238801</v>
      </c>
      <c r="AZ103" s="315">
        <v>212238801</v>
      </c>
      <c r="BA103" s="27"/>
      <c r="BB103" s="27"/>
      <c r="BC103" s="27"/>
      <c r="BD103" s="27"/>
      <c r="BE103" s="27"/>
      <c r="BF103" s="27"/>
      <c r="BG103" s="151">
        <f>+T103+W103+Z103+AC103+AF103+AI103+AL103+AO103+AR103+AU103+AX103+BA103+BD103</f>
        <v>284455598</v>
      </c>
      <c r="BH103" s="151">
        <f t="shared" si="30"/>
        <v>212238801</v>
      </c>
      <c r="BI103" s="151">
        <f t="shared" si="30"/>
        <v>212238801</v>
      </c>
      <c r="BK103" s="608"/>
    </row>
    <row r="104" spans="1:64" ht="87.75" customHeight="1" x14ac:dyDescent="0.2">
      <c r="A104" s="377"/>
      <c r="B104" s="381"/>
      <c r="C104" s="322"/>
      <c r="D104" s="323"/>
      <c r="E104" s="297">
        <v>4503</v>
      </c>
      <c r="F104" s="196" t="s">
        <v>374</v>
      </c>
      <c r="G104" s="197" t="s">
        <v>378</v>
      </c>
      <c r="H104" s="197">
        <v>4503004</v>
      </c>
      <c r="I104" s="196" t="s">
        <v>379</v>
      </c>
      <c r="J104" s="197" t="s">
        <v>380</v>
      </c>
      <c r="K104" s="197" t="s">
        <v>83</v>
      </c>
      <c r="L104" s="196" t="s">
        <v>381</v>
      </c>
      <c r="M104" s="197" t="s">
        <v>89</v>
      </c>
      <c r="N104" s="197">
        <v>1</v>
      </c>
      <c r="O104" s="197">
        <v>1</v>
      </c>
      <c r="P104" s="197">
        <v>1</v>
      </c>
      <c r="Q104" s="292" t="s">
        <v>367</v>
      </c>
      <c r="R104" s="305" t="s">
        <v>382</v>
      </c>
      <c r="S104" s="306" t="s">
        <v>383</v>
      </c>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33">
        <f>13229610.3+60000000</f>
        <v>73229610.299999997</v>
      </c>
      <c r="AY104" s="33">
        <v>72547626</v>
      </c>
      <c r="AZ104" s="33">
        <v>72547626</v>
      </c>
      <c r="BA104" s="27"/>
      <c r="BB104" s="27"/>
      <c r="BC104" s="27"/>
      <c r="BD104" s="27"/>
      <c r="BE104" s="27"/>
      <c r="BF104" s="27"/>
      <c r="BG104" s="151">
        <f>+T104+W104+Z104+AC104+AF104+AI104+AL104+AO104+AR104+AU104+AX104+BA104+BD104</f>
        <v>73229610.299999997</v>
      </c>
      <c r="BH104" s="151">
        <f t="shared" si="30"/>
        <v>72547626</v>
      </c>
      <c r="BI104" s="151">
        <f t="shared" si="30"/>
        <v>72547626</v>
      </c>
      <c r="BK104" s="608"/>
    </row>
    <row r="105" spans="1:64" ht="15.75" x14ac:dyDescent="0.2">
      <c r="A105" s="377"/>
      <c r="B105" s="222">
        <v>4</v>
      </c>
      <c r="C105" s="138" t="s">
        <v>108</v>
      </c>
      <c r="D105" s="139"/>
      <c r="E105" s="139"/>
      <c r="F105" s="140"/>
      <c r="G105" s="141"/>
      <c r="H105" s="142"/>
      <c r="I105" s="140"/>
      <c r="J105" s="141"/>
      <c r="K105" s="141"/>
      <c r="L105" s="140"/>
      <c r="M105" s="142"/>
      <c r="N105" s="142"/>
      <c r="O105" s="141"/>
      <c r="P105" s="141"/>
      <c r="Q105" s="370"/>
      <c r="R105" s="141"/>
      <c r="S105" s="140"/>
      <c r="T105" s="144">
        <f>+T106</f>
        <v>0</v>
      </c>
      <c r="U105" s="144"/>
      <c r="V105" s="144"/>
      <c r="W105" s="144">
        <f>+W106</f>
        <v>0</v>
      </c>
      <c r="X105" s="144"/>
      <c r="Y105" s="144"/>
      <c r="Z105" s="144">
        <f>+Z106</f>
        <v>0</v>
      </c>
      <c r="AA105" s="144"/>
      <c r="AB105" s="144"/>
      <c r="AC105" s="144">
        <f>+AC106</f>
        <v>0</v>
      </c>
      <c r="AD105" s="144"/>
      <c r="AE105" s="144"/>
      <c r="AF105" s="144">
        <f>+AF106</f>
        <v>0</v>
      </c>
      <c r="AG105" s="144"/>
      <c r="AH105" s="144"/>
      <c r="AI105" s="144">
        <f>+AI106</f>
        <v>0</v>
      </c>
      <c r="AJ105" s="144"/>
      <c r="AK105" s="144"/>
      <c r="AL105" s="144">
        <f>+AL106</f>
        <v>0</v>
      </c>
      <c r="AM105" s="144"/>
      <c r="AN105" s="144"/>
      <c r="AO105" s="144">
        <f>+AO106</f>
        <v>0</v>
      </c>
      <c r="AP105" s="144"/>
      <c r="AQ105" s="144"/>
      <c r="AR105" s="144">
        <f>+AR106</f>
        <v>0</v>
      </c>
      <c r="AS105" s="144"/>
      <c r="AT105" s="144"/>
      <c r="AU105" s="144">
        <f>+AU106</f>
        <v>0</v>
      </c>
      <c r="AV105" s="144"/>
      <c r="AW105" s="144"/>
      <c r="AX105" s="144">
        <f>+AX106</f>
        <v>150170667</v>
      </c>
      <c r="AY105" s="144">
        <f>+AY106</f>
        <v>104457266</v>
      </c>
      <c r="AZ105" s="144">
        <f>+AZ106</f>
        <v>104457266</v>
      </c>
      <c r="BA105" s="144">
        <f>+BA106</f>
        <v>0</v>
      </c>
      <c r="BB105" s="144"/>
      <c r="BC105" s="144"/>
      <c r="BD105" s="144">
        <f>+BD106</f>
        <v>0</v>
      </c>
      <c r="BE105" s="144"/>
      <c r="BF105" s="144"/>
      <c r="BG105" s="144">
        <f>+BG106</f>
        <v>150170667</v>
      </c>
      <c r="BH105" s="144">
        <f>+BH106</f>
        <v>104457266</v>
      </c>
      <c r="BI105" s="144">
        <f>+BI106</f>
        <v>104457266</v>
      </c>
      <c r="BK105" s="608"/>
    </row>
    <row r="106" spans="1:64" ht="15.75" x14ac:dyDescent="0.2">
      <c r="A106" s="377"/>
      <c r="B106" s="389"/>
      <c r="C106" s="171">
        <v>42</v>
      </c>
      <c r="D106" s="146">
        <v>4502</v>
      </c>
      <c r="E106" s="195" t="s">
        <v>99</v>
      </c>
      <c r="F106" s="145"/>
      <c r="G106" s="146"/>
      <c r="H106" s="147"/>
      <c r="I106" s="145"/>
      <c r="J106" s="146"/>
      <c r="K106" s="146"/>
      <c r="L106" s="145"/>
      <c r="M106" s="147"/>
      <c r="N106" s="147"/>
      <c r="O106" s="146"/>
      <c r="P106" s="146"/>
      <c r="Q106" s="368"/>
      <c r="R106" s="146"/>
      <c r="S106" s="145"/>
      <c r="T106" s="150">
        <f>SUM(T107:T111)</f>
        <v>0</v>
      </c>
      <c r="U106" s="150"/>
      <c r="V106" s="150"/>
      <c r="W106" s="150">
        <f>SUM(W107:W111)</f>
        <v>0</v>
      </c>
      <c r="X106" s="150"/>
      <c r="Y106" s="150"/>
      <c r="Z106" s="150">
        <f>SUM(Z107:Z111)</f>
        <v>0</v>
      </c>
      <c r="AA106" s="150"/>
      <c r="AB106" s="150"/>
      <c r="AC106" s="150">
        <f>SUM(AC107:AC111)</f>
        <v>0</v>
      </c>
      <c r="AD106" s="150"/>
      <c r="AE106" s="150"/>
      <c r="AF106" s="150">
        <f>SUM(AF107:AF111)</f>
        <v>0</v>
      </c>
      <c r="AG106" s="150"/>
      <c r="AH106" s="150"/>
      <c r="AI106" s="150">
        <f>SUM(AI107:AI111)</f>
        <v>0</v>
      </c>
      <c r="AJ106" s="150"/>
      <c r="AK106" s="150"/>
      <c r="AL106" s="150">
        <f>SUM(AL107:AL111)</f>
        <v>0</v>
      </c>
      <c r="AM106" s="150"/>
      <c r="AN106" s="150"/>
      <c r="AO106" s="150">
        <f>SUM(AO107:AO111)</f>
        <v>0</v>
      </c>
      <c r="AP106" s="150"/>
      <c r="AQ106" s="150"/>
      <c r="AR106" s="150">
        <f>SUM(AR107:AR111)</f>
        <v>0</v>
      </c>
      <c r="AS106" s="150"/>
      <c r="AT106" s="150"/>
      <c r="AU106" s="150">
        <f>SUM(AU107:AU111)</f>
        <v>0</v>
      </c>
      <c r="AV106" s="150"/>
      <c r="AW106" s="150"/>
      <c r="AX106" s="150">
        <f>SUM(AX107:AX111)</f>
        <v>150170667</v>
      </c>
      <c r="AY106" s="150">
        <f>SUM(AY107:AY111)</f>
        <v>104457266</v>
      </c>
      <c r="AZ106" s="150">
        <f>SUM(AZ107:AZ111)</f>
        <v>104457266</v>
      </c>
      <c r="BA106" s="150">
        <f>SUM(BA107:BA111)</f>
        <v>0</v>
      </c>
      <c r="BB106" s="150"/>
      <c r="BC106" s="150"/>
      <c r="BD106" s="150">
        <f>SUM(BD107:BD111)</f>
        <v>0</v>
      </c>
      <c r="BE106" s="150"/>
      <c r="BF106" s="150"/>
      <c r="BG106" s="150">
        <f>SUM(BG107:BG111)</f>
        <v>150170667</v>
      </c>
      <c r="BH106" s="150">
        <f>SUM(BH107:BH111)</f>
        <v>104457266</v>
      </c>
      <c r="BI106" s="150">
        <f>SUM(BI107:BI111)</f>
        <v>104457266</v>
      </c>
      <c r="BK106" s="608"/>
    </row>
    <row r="107" spans="1:64" ht="99.75" customHeight="1" x14ac:dyDescent="0.2">
      <c r="A107" s="377"/>
      <c r="B107" s="390"/>
      <c r="C107" s="324"/>
      <c r="D107" s="305"/>
      <c r="E107" s="197">
        <v>4502</v>
      </c>
      <c r="F107" s="196" t="s">
        <v>100</v>
      </c>
      <c r="G107" s="197" t="s">
        <v>384</v>
      </c>
      <c r="H107" s="291">
        <v>4502001</v>
      </c>
      <c r="I107" s="292" t="s">
        <v>385</v>
      </c>
      <c r="J107" s="603" t="s">
        <v>386</v>
      </c>
      <c r="K107" s="197">
        <v>450200100</v>
      </c>
      <c r="L107" s="292" t="s">
        <v>387</v>
      </c>
      <c r="M107" s="294" t="s">
        <v>89</v>
      </c>
      <c r="N107" s="197">
        <v>3</v>
      </c>
      <c r="O107" s="293">
        <v>3</v>
      </c>
      <c r="P107" s="293">
        <v>2</v>
      </c>
      <c r="Q107" s="617" t="s">
        <v>105</v>
      </c>
      <c r="R107" s="613" t="s">
        <v>361</v>
      </c>
      <c r="S107" s="611" t="s">
        <v>362</v>
      </c>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315">
        <f>207796636-100000000-79525969+35000000</f>
        <v>63270667</v>
      </c>
      <c r="AY107" s="315">
        <v>44997333</v>
      </c>
      <c r="AZ107" s="315">
        <v>44997333</v>
      </c>
      <c r="BA107" s="27"/>
      <c r="BB107" s="27"/>
      <c r="BC107" s="27"/>
      <c r="BD107" s="27"/>
      <c r="BE107" s="27"/>
      <c r="BF107" s="27"/>
      <c r="BG107" s="151">
        <f>+T107+W107+Z107+AC107+AF107+AI107+AL107+AO107+AR107+AU107+AX107+BA107+BD107</f>
        <v>63270667</v>
      </c>
      <c r="BH107" s="177">
        <f t="shared" ref="BH107:BI111" si="31">+U107+X107+AA107+AD107+AG107+AJ107+AM107+AP107+AS107+AV107+AY107+BB107+BE107</f>
        <v>44997333</v>
      </c>
      <c r="BI107" s="151">
        <f t="shared" si="31"/>
        <v>44997333</v>
      </c>
      <c r="BK107" s="608"/>
    </row>
    <row r="108" spans="1:64" ht="54.75" customHeight="1" x14ac:dyDescent="0.2">
      <c r="A108" s="377"/>
      <c r="B108" s="390"/>
      <c r="C108" s="324"/>
      <c r="D108" s="305"/>
      <c r="E108" s="197">
        <v>4502</v>
      </c>
      <c r="F108" s="196" t="s">
        <v>100</v>
      </c>
      <c r="G108" s="295" t="s">
        <v>388</v>
      </c>
      <c r="H108" s="197" t="s">
        <v>83</v>
      </c>
      <c r="I108" s="296" t="s">
        <v>389</v>
      </c>
      <c r="J108" s="295" t="s">
        <v>390</v>
      </c>
      <c r="K108" s="295" t="s">
        <v>83</v>
      </c>
      <c r="L108" s="296" t="s">
        <v>391</v>
      </c>
      <c r="M108" s="294" t="s">
        <v>89</v>
      </c>
      <c r="N108" s="197">
        <v>1</v>
      </c>
      <c r="O108" s="295">
        <v>1</v>
      </c>
      <c r="P108" s="295">
        <v>0.8</v>
      </c>
      <c r="Q108" s="617"/>
      <c r="R108" s="613"/>
      <c r="S108" s="611"/>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33">
        <f>70000000-35000000</f>
        <v>35000000</v>
      </c>
      <c r="AY108" s="33">
        <v>19653334</v>
      </c>
      <c r="AZ108" s="33">
        <v>19653334</v>
      </c>
      <c r="BA108" s="27"/>
      <c r="BB108" s="27"/>
      <c r="BC108" s="27"/>
      <c r="BD108" s="27"/>
      <c r="BE108" s="27"/>
      <c r="BF108" s="27"/>
      <c r="BG108" s="151">
        <f>+T108+W108+Z108+AC108+AF108+AI108+AL108+AO108+AR108+AU108+AX108+BA108+BD108</f>
        <v>35000000</v>
      </c>
      <c r="BH108" s="151">
        <f t="shared" si="31"/>
        <v>19653334</v>
      </c>
      <c r="BI108" s="151">
        <f t="shared" si="31"/>
        <v>19653334</v>
      </c>
      <c r="BK108" s="608"/>
    </row>
    <row r="109" spans="1:64" ht="95.25" customHeight="1" x14ac:dyDescent="0.2">
      <c r="A109" s="377"/>
      <c r="B109" s="390"/>
      <c r="C109" s="324"/>
      <c r="D109" s="305"/>
      <c r="E109" s="197">
        <v>4502</v>
      </c>
      <c r="F109" s="196" t="s">
        <v>100</v>
      </c>
      <c r="G109" s="293" t="s">
        <v>392</v>
      </c>
      <c r="H109" s="197" t="s">
        <v>83</v>
      </c>
      <c r="I109" s="292" t="s">
        <v>393</v>
      </c>
      <c r="J109" s="293" t="s">
        <v>394</v>
      </c>
      <c r="K109" s="293" t="s">
        <v>83</v>
      </c>
      <c r="L109" s="292" t="s">
        <v>1423</v>
      </c>
      <c r="M109" s="294" t="s">
        <v>89</v>
      </c>
      <c r="N109" s="197">
        <v>12</v>
      </c>
      <c r="O109" s="293">
        <v>12</v>
      </c>
      <c r="P109" s="293">
        <v>12</v>
      </c>
      <c r="Q109" s="617" t="s">
        <v>105</v>
      </c>
      <c r="R109" s="613" t="s">
        <v>395</v>
      </c>
      <c r="S109" s="611" t="s">
        <v>396</v>
      </c>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33">
        <f>40000000-20100000</f>
        <v>19900000</v>
      </c>
      <c r="AY109" s="315">
        <v>16293333</v>
      </c>
      <c r="AZ109" s="33">
        <v>16293333</v>
      </c>
      <c r="BA109" s="27"/>
      <c r="BB109" s="27"/>
      <c r="BC109" s="27"/>
      <c r="BD109" s="27"/>
      <c r="BE109" s="27"/>
      <c r="BF109" s="27"/>
      <c r="BG109" s="151">
        <f>+T109+W109+Z109+AC109+AF109+AI109+AL109+AO109+AR109+AU109+AX109+BA109+BD109</f>
        <v>19900000</v>
      </c>
      <c r="BH109" s="151">
        <f t="shared" si="31"/>
        <v>16293333</v>
      </c>
      <c r="BI109" s="151">
        <f t="shared" si="31"/>
        <v>16293333</v>
      </c>
      <c r="BK109" s="608"/>
    </row>
    <row r="110" spans="1:64" ht="63.75" customHeight="1" x14ac:dyDescent="0.2">
      <c r="A110" s="377"/>
      <c r="B110" s="390"/>
      <c r="C110" s="324"/>
      <c r="D110" s="305"/>
      <c r="E110" s="197">
        <v>4502</v>
      </c>
      <c r="F110" s="196" t="s">
        <v>100</v>
      </c>
      <c r="G110" s="295" t="s">
        <v>397</v>
      </c>
      <c r="H110" s="197" t="s">
        <v>1402</v>
      </c>
      <c r="I110" s="296" t="s">
        <v>398</v>
      </c>
      <c r="J110" s="295" t="s">
        <v>399</v>
      </c>
      <c r="K110" s="295" t="s">
        <v>83</v>
      </c>
      <c r="L110" s="296" t="s">
        <v>400</v>
      </c>
      <c r="M110" s="294" t="s">
        <v>179</v>
      </c>
      <c r="N110" s="197">
        <v>1</v>
      </c>
      <c r="O110" s="295">
        <v>0.2</v>
      </c>
      <c r="P110" s="295">
        <v>0.2</v>
      </c>
      <c r="Q110" s="617"/>
      <c r="R110" s="613"/>
      <c r="S110" s="611"/>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33">
        <v>10000000</v>
      </c>
      <c r="AY110" s="315">
        <v>9123266</v>
      </c>
      <c r="AZ110" s="33">
        <v>9123266</v>
      </c>
      <c r="BA110" s="27"/>
      <c r="BB110" s="27"/>
      <c r="BC110" s="27"/>
      <c r="BD110" s="27"/>
      <c r="BE110" s="27"/>
      <c r="BF110" s="27"/>
      <c r="BG110" s="151">
        <f>+T110+W110+Z110+AC110+AF110+AI110+AL110+AO110+AR110+AU110+AX110+BA110+BD110</f>
        <v>10000000</v>
      </c>
      <c r="BH110" s="151">
        <f>+U110+X110+AA110+AD110+AG110+AJ110+AM110+AP110+AS110+AV110+AY110+BB110+BE110</f>
        <v>9123266</v>
      </c>
      <c r="BI110" s="151">
        <f t="shared" si="31"/>
        <v>9123266</v>
      </c>
      <c r="BK110" s="608"/>
    </row>
    <row r="111" spans="1:64" ht="46.5" customHeight="1" x14ac:dyDescent="0.2">
      <c r="A111" s="378"/>
      <c r="B111" s="388"/>
      <c r="C111" s="324"/>
      <c r="D111" s="305"/>
      <c r="E111" s="197">
        <v>4502</v>
      </c>
      <c r="F111" s="196" t="s">
        <v>100</v>
      </c>
      <c r="G111" s="197" t="s">
        <v>384</v>
      </c>
      <c r="H111" s="288">
        <v>4502001</v>
      </c>
      <c r="I111" s="196" t="s">
        <v>385</v>
      </c>
      <c r="J111" s="601" t="s">
        <v>386</v>
      </c>
      <c r="K111" s="197">
        <v>450200100</v>
      </c>
      <c r="L111" s="196" t="s">
        <v>387</v>
      </c>
      <c r="M111" s="294" t="s">
        <v>89</v>
      </c>
      <c r="N111" s="197">
        <v>3</v>
      </c>
      <c r="O111" s="197">
        <v>3</v>
      </c>
      <c r="P111" s="197">
        <v>2</v>
      </c>
      <c r="Q111" s="292" t="s">
        <v>105</v>
      </c>
      <c r="R111" s="305" t="s">
        <v>401</v>
      </c>
      <c r="S111" s="306" t="s">
        <v>1424</v>
      </c>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33">
        <f>50000000-28000000</f>
        <v>22000000</v>
      </c>
      <c r="AY111" s="33">
        <v>14390000</v>
      </c>
      <c r="AZ111" s="33">
        <v>14390000</v>
      </c>
      <c r="BA111" s="27"/>
      <c r="BB111" s="27"/>
      <c r="BC111" s="27"/>
      <c r="BD111" s="27"/>
      <c r="BE111" s="27"/>
      <c r="BF111" s="27"/>
      <c r="BG111" s="151">
        <f>+T111+W111+Z111+AC111+AF111+AI111+AL111+AO111+AR111+AU111+AX111+BA111+BD111</f>
        <v>22000000</v>
      </c>
      <c r="BH111" s="177">
        <f t="shared" si="31"/>
        <v>14390000</v>
      </c>
      <c r="BI111" s="177">
        <f t="shared" si="31"/>
        <v>14390000</v>
      </c>
      <c r="BK111" s="608"/>
    </row>
    <row r="112" spans="1:64" ht="20.25" customHeight="1" x14ac:dyDescent="0.2">
      <c r="A112" s="183" t="s">
        <v>403</v>
      </c>
      <c r="B112" s="183"/>
      <c r="C112" s="183"/>
      <c r="D112" s="184"/>
      <c r="E112" s="184"/>
      <c r="F112" s="185"/>
      <c r="G112" s="186"/>
      <c r="H112" s="135"/>
      <c r="I112" s="185"/>
      <c r="J112" s="186"/>
      <c r="K112" s="186"/>
      <c r="L112" s="185"/>
      <c r="M112" s="135"/>
      <c r="N112" s="135"/>
      <c r="O112" s="186"/>
      <c r="P112" s="186"/>
      <c r="Q112" s="369"/>
      <c r="R112" s="186"/>
      <c r="S112" s="185"/>
      <c r="T112" s="164">
        <f t="shared" ref="T112:BI112" si="32">T113</f>
        <v>2235170761.02</v>
      </c>
      <c r="U112" s="164">
        <f t="shared" si="32"/>
        <v>1001595203.83</v>
      </c>
      <c r="V112" s="164">
        <f t="shared" si="32"/>
        <v>1001595203.83</v>
      </c>
      <c r="W112" s="164">
        <f t="shared" si="32"/>
        <v>0</v>
      </c>
      <c r="X112" s="164">
        <f t="shared" si="32"/>
        <v>0</v>
      </c>
      <c r="Y112" s="164">
        <f t="shared" si="32"/>
        <v>0</v>
      </c>
      <c r="Z112" s="164">
        <f t="shared" si="32"/>
        <v>0</v>
      </c>
      <c r="AA112" s="164">
        <f t="shared" si="32"/>
        <v>0</v>
      </c>
      <c r="AB112" s="164">
        <f t="shared" si="32"/>
        <v>0</v>
      </c>
      <c r="AC112" s="164">
        <f t="shared" si="32"/>
        <v>0</v>
      </c>
      <c r="AD112" s="164">
        <f t="shared" si="32"/>
        <v>0</v>
      </c>
      <c r="AE112" s="164">
        <f t="shared" si="32"/>
        <v>0</v>
      </c>
      <c r="AF112" s="164">
        <f t="shared" si="32"/>
        <v>0</v>
      </c>
      <c r="AG112" s="164">
        <f t="shared" si="32"/>
        <v>0</v>
      </c>
      <c r="AH112" s="164">
        <f t="shared" si="32"/>
        <v>0</v>
      </c>
      <c r="AI112" s="164">
        <f t="shared" si="32"/>
        <v>0</v>
      </c>
      <c r="AJ112" s="164">
        <f t="shared" si="32"/>
        <v>0</v>
      </c>
      <c r="AK112" s="164">
        <f t="shared" si="32"/>
        <v>0</v>
      </c>
      <c r="AL112" s="164">
        <f t="shared" si="32"/>
        <v>0</v>
      </c>
      <c r="AM112" s="164">
        <f t="shared" si="32"/>
        <v>0</v>
      </c>
      <c r="AN112" s="164">
        <f t="shared" si="32"/>
        <v>0</v>
      </c>
      <c r="AO112" s="164">
        <f t="shared" si="32"/>
        <v>0</v>
      </c>
      <c r="AP112" s="164">
        <f t="shared" si="32"/>
        <v>0</v>
      </c>
      <c r="AQ112" s="164">
        <f t="shared" si="32"/>
        <v>0</v>
      </c>
      <c r="AR112" s="164">
        <f t="shared" si="32"/>
        <v>0</v>
      </c>
      <c r="AS112" s="164">
        <f t="shared" si="32"/>
        <v>0</v>
      </c>
      <c r="AT112" s="164">
        <f t="shared" si="32"/>
        <v>0</v>
      </c>
      <c r="AU112" s="164">
        <f t="shared" si="32"/>
        <v>0</v>
      </c>
      <c r="AV112" s="164">
        <f t="shared" si="32"/>
        <v>0</v>
      </c>
      <c r="AW112" s="164">
        <f t="shared" si="32"/>
        <v>0</v>
      </c>
      <c r="AX112" s="164">
        <f t="shared" si="32"/>
        <v>457871341</v>
      </c>
      <c r="AY112" s="164">
        <f t="shared" si="32"/>
        <v>272160331</v>
      </c>
      <c r="AZ112" s="164">
        <f t="shared" si="32"/>
        <v>272160331</v>
      </c>
      <c r="BA112" s="164">
        <f t="shared" si="32"/>
        <v>342754433.30000001</v>
      </c>
      <c r="BB112" s="164">
        <f t="shared" si="32"/>
        <v>314079669</v>
      </c>
      <c r="BC112" s="164">
        <f t="shared" si="32"/>
        <v>314079669</v>
      </c>
      <c r="BD112" s="164">
        <f t="shared" si="32"/>
        <v>0</v>
      </c>
      <c r="BE112" s="164">
        <f t="shared" si="32"/>
        <v>0</v>
      </c>
      <c r="BF112" s="164">
        <f t="shared" si="32"/>
        <v>0</v>
      </c>
      <c r="BG112" s="164">
        <f t="shared" si="32"/>
        <v>3035796535.3200002</v>
      </c>
      <c r="BH112" s="164">
        <f t="shared" si="32"/>
        <v>1587835203.8299999</v>
      </c>
      <c r="BI112" s="164">
        <f t="shared" si="32"/>
        <v>1587835203.8299999</v>
      </c>
      <c r="BJ112" s="608"/>
      <c r="BK112" s="608"/>
      <c r="BL112" s="608"/>
    </row>
    <row r="113" spans="1:64" ht="20.25" customHeight="1" x14ac:dyDescent="0.2">
      <c r="A113" s="382"/>
      <c r="B113" s="222">
        <v>1</v>
      </c>
      <c r="C113" s="138" t="s">
        <v>1</v>
      </c>
      <c r="D113" s="139"/>
      <c r="E113" s="139"/>
      <c r="F113" s="140"/>
      <c r="G113" s="141"/>
      <c r="H113" s="142"/>
      <c r="I113" s="140"/>
      <c r="J113" s="141"/>
      <c r="K113" s="141"/>
      <c r="L113" s="140"/>
      <c r="M113" s="143"/>
      <c r="N113" s="143"/>
      <c r="O113" s="141"/>
      <c r="P113" s="141"/>
      <c r="Q113" s="370"/>
      <c r="R113" s="141"/>
      <c r="S113" s="140"/>
      <c r="T113" s="144">
        <f t="shared" ref="T113:BI113" si="33">T114+T121</f>
        <v>2235170761.02</v>
      </c>
      <c r="U113" s="144">
        <f t="shared" si="33"/>
        <v>1001595203.83</v>
      </c>
      <c r="V113" s="144">
        <f t="shared" si="33"/>
        <v>1001595203.83</v>
      </c>
      <c r="W113" s="144">
        <f t="shared" si="33"/>
        <v>0</v>
      </c>
      <c r="X113" s="144">
        <f t="shared" si="33"/>
        <v>0</v>
      </c>
      <c r="Y113" s="144">
        <f t="shared" si="33"/>
        <v>0</v>
      </c>
      <c r="Z113" s="144">
        <f t="shared" si="33"/>
        <v>0</v>
      </c>
      <c r="AA113" s="144">
        <f t="shared" si="33"/>
        <v>0</v>
      </c>
      <c r="AB113" s="144">
        <f t="shared" si="33"/>
        <v>0</v>
      </c>
      <c r="AC113" s="144">
        <f t="shared" si="33"/>
        <v>0</v>
      </c>
      <c r="AD113" s="144">
        <f t="shared" si="33"/>
        <v>0</v>
      </c>
      <c r="AE113" s="144">
        <f t="shared" si="33"/>
        <v>0</v>
      </c>
      <c r="AF113" s="144">
        <f t="shared" si="33"/>
        <v>0</v>
      </c>
      <c r="AG113" s="144">
        <f t="shared" si="33"/>
        <v>0</v>
      </c>
      <c r="AH113" s="144">
        <f t="shared" si="33"/>
        <v>0</v>
      </c>
      <c r="AI113" s="144">
        <f t="shared" si="33"/>
        <v>0</v>
      </c>
      <c r="AJ113" s="144">
        <f t="shared" si="33"/>
        <v>0</v>
      </c>
      <c r="AK113" s="144">
        <f t="shared" si="33"/>
        <v>0</v>
      </c>
      <c r="AL113" s="144">
        <f t="shared" si="33"/>
        <v>0</v>
      </c>
      <c r="AM113" s="144">
        <f t="shared" si="33"/>
        <v>0</v>
      </c>
      <c r="AN113" s="144">
        <f t="shared" si="33"/>
        <v>0</v>
      </c>
      <c r="AO113" s="144">
        <f t="shared" si="33"/>
        <v>0</v>
      </c>
      <c r="AP113" s="144">
        <f t="shared" si="33"/>
        <v>0</v>
      </c>
      <c r="AQ113" s="144">
        <f t="shared" si="33"/>
        <v>0</v>
      </c>
      <c r="AR113" s="144">
        <f t="shared" si="33"/>
        <v>0</v>
      </c>
      <c r="AS113" s="144">
        <f t="shared" si="33"/>
        <v>0</v>
      </c>
      <c r="AT113" s="144">
        <f t="shared" si="33"/>
        <v>0</v>
      </c>
      <c r="AU113" s="144">
        <f t="shared" si="33"/>
        <v>0</v>
      </c>
      <c r="AV113" s="144">
        <f t="shared" si="33"/>
        <v>0</v>
      </c>
      <c r="AW113" s="144">
        <f t="shared" si="33"/>
        <v>0</v>
      </c>
      <c r="AX113" s="144">
        <f t="shared" si="33"/>
        <v>457871341</v>
      </c>
      <c r="AY113" s="144">
        <f t="shared" si="33"/>
        <v>272160331</v>
      </c>
      <c r="AZ113" s="144">
        <f t="shared" si="33"/>
        <v>272160331</v>
      </c>
      <c r="BA113" s="144">
        <f t="shared" si="33"/>
        <v>342754433.30000001</v>
      </c>
      <c r="BB113" s="144">
        <f t="shared" si="33"/>
        <v>314079669</v>
      </c>
      <c r="BC113" s="144">
        <f t="shared" si="33"/>
        <v>314079669</v>
      </c>
      <c r="BD113" s="144">
        <f t="shared" si="33"/>
        <v>0</v>
      </c>
      <c r="BE113" s="144">
        <f t="shared" si="33"/>
        <v>0</v>
      </c>
      <c r="BF113" s="144">
        <f t="shared" si="33"/>
        <v>0</v>
      </c>
      <c r="BG113" s="144">
        <f t="shared" si="33"/>
        <v>3035796535.3200002</v>
      </c>
      <c r="BH113" s="144">
        <f t="shared" si="33"/>
        <v>1587835203.8299999</v>
      </c>
      <c r="BI113" s="144">
        <f t="shared" si="33"/>
        <v>1587835203.8299999</v>
      </c>
      <c r="BK113" s="608"/>
    </row>
    <row r="114" spans="1:64" ht="20.25" customHeight="1" x14ac:dyDescent="0.2">
      <c r="A114" s="377"/>
      <c r="B114" s="379"/>
      <c r="C114" s="171">
        <v>25</v>
      </c>
      <c r="D114" s="146">
        <v>3301</v>
      </c>
      <c r="E114" s="308" t="s">
        <v>201</v>
      </c>
      <c r="F114" s="145"/>
      <c r="G114" s="146"/>
      <c r="H114" s="147"/>
      <c r="I114" s="145"/>
      <c r="J114" s="146"/>
      <c r="K114" s="146"/>
      <c r="L114" s="145"/>
      <c r="M114" s="148"/>
      <c r="N114" s="148"/>
      <c r="O114" s="146"/>
      <c r="P114" s="146"/>
      <c r="Q114" s="368"/>
      <c r="R114" s="146"/>
      <c r="S114" s="145"/>
      <c r="T114" s="150">
        <f>SUM(T115:T120)</f>
        <v>2235170761.02</v>
      </c>
      <c r="U114" s="150">
        <f t="shared" ref="U114:BF114" si="34">SUM(U115:U120)</f>
        <v>1001595203.83</v>
      </c>
      <c r="V114" s="150">
        <f t="shared" si="34"/>
        <v>1001595203.83</v>
      </c>
      <c r="W114" s="150">
        <f t="shared" si="34"/>
        <v>0</v>
      </c>
      <c r="X114" s="150">
        <f t="shared" si="34"/>
        <v>0</v>
      </c>
      <c r="Y114" s="150">
        <f t="shared" si="34"/>
        <v>0</v>
      </c>
      <c r="Z114" s="150">
        <f t="shared" si="34"/>
        <v>0</v>
      </c>
      <c r="AA114" s="150">
        <f t="shared" si="34"/>
        <v>0</v>
      </c>
      <c r="AB114" s="150">
        <f t="shared" si="34"/>
        <v>0</v>
      </c>
      <c r="AC114" s="150">
        <f t="shared" si="34"/>
        <v>0</v>
      </c>
      <c r="AD114" s="150">
        <f t="shared" si="34"/>
        <v>0</v>
      </c>
      <c r="AE114" s="150">
        <f t="shared" si="34"/>
        <v>0</v>
      </c>
      <c r="AF114" s="150">
        <f t="shared" si="34"/>
        <v>0</v>
      </c>
      <c r="AG114" s="150">
        <f t="shared" si="34"/>
        <v>0</v>
      </c>
      <c r="AH114" s="150">
        <f t="shared" si="34"/>
        <v>0</v>
      </c>
      <c r="AI114" s="150">
        <f t="shared" si="34"/>
        <v>0</v>
      </c>
      <c r="AJ114" s="150">
        <f t="shared" si="34"/>
        <v>0</v>
      </c>
      <c r="AK114" s="150">
        <f t="shared" si="34"/>
        <v>0</v>
      </c>
      <c r="AL114" s="150">
        <f t="shared" si="34"/>
        <v>0</v>
      </c>
      <c r="AM114" s="150">
        <f t="shared" si="34"/>
        <v>0</v>
      </c>
      <c r="AN114" s="150">
        <f t="shared" si="34"/>
        <v>0</v>
      </c>
      <c r="AO114" s="150">
        <f t="shared" si="34"/>
        <v>0</v>
      </c>
      <c r="AP114" s="150">
        <f t="shared" si="34"/>
        <v>0</v>
      </c>
      <c r="AQ114" s="150">
        <f t="shared" si="34"/>
        <v>0</v>
      </c>
      <c r="AR114" s="150">
        <f t="shared" si="34"/>
        <v>0</v>
      </c>
      <c r="AS114" s="150">
        <f t="shared" si="34"/>
        <v>0</v>
      </c>
      <c r="AT114" s="150">
        <f t="shared" si="34"/>
        <v>0</v>
      </c>
      <c r="AU114" s="150">
        <f t="shared" si="34"/>
        <v>0</v>
      </c>
      <c r="AV114" s="150">
        <f t="shared" si="34"/>
        <v>0</v>
      </c>
      <c r="AW114" s="150">
        <f t="shared" si="34"/>
        <v>0</v>
      </c>
      <c r="AX114" s="150">
        <f t="shared" si="34"/>
        <v>395431010</v>
      </c>
      <c r="AY114" s="150">
        <f t="shared" si="34"/>
        <v>209720000</v>
      </c>
      <c r="AZ114" s="150">
        <f t="shared" si="34"/>
        <v>209720000</v>
      </c>
      <c r="BA114" s="150">
        <f t="shared" si="34"/>
        <v>0</v>
      </c>
      <c r="BB114" s="150">
        <f t="shared" si="34"/>
        <v>0</v>
      </c>
      <c r="BC114" s="150">
        <f t="shared" si="34"/>
        <v>0</v>
      </c>
      <c r="BD114" s="150">
        <f t="shared" si="34"/>
        <v>0</v>
      </c>
      <c r="BE114" s="150">
        <f t="shared" si="34"/>
        <v>0</v>
      </c>
      <c r="BF114" s="150">
        <f t="shared" si="34"/>
        <v>0</v>
      </c>
      <c r="BG114" s="150">
        <f>SUM(BG115:BG120)</f>
        <v>2630601771.02</v>
      </c>
      <c r="BH114" s="150">
        <f>SUM(BH115:BH120)</f>
        <v>1211315203.8299999</v>
      </c>
      <c r="BI114" s="150">
        <f>SUM(BI115:BI120)</f>
        <v>1211315203.8299999</v>
      </c>
      <c r="BK114" s="608"/>
    </row>
    <row r="115" spans="1:64" ht="69.75" customHeight="1" x14ac:dyDescent="0.2">
      <c r="A115" s="377"/>
      <c r="B115" s="380"/>
      <c r="C115" s="322"/>
      <c r="D115" s="323"/>
      <c r="E115" s="314">
        <v>3301</v>
      </c>
      <c r="F115" s="307" t="s">
        <v>1383</v>
      </c>
      <c r="G115" s="293" t="s">
        <v>404</v>
      </c>
      <c r="H115" s="305">
        <v>3301087</v>
      </c>
      <c r="I115" s="306" t="s">
        <v>405</v>
      </c>
      <c r="J115" s="305" t="s">
        <v>406</v>
      </c>
      <c r="K115" s="305">
        <v>330108701</v>
      </c>
      <c r="L115" s="306" t="s">
        <v>373</v>
      </c>
      <c r="M115" s="305" t="s">
        <v>179</v>
      </c>
      <c r="N115" s="305">
        <v>18785</v>
      </c>
      <c r="O115" s="305">
        <v>1600</v>
      </c>
      <c r="P115" s="197">
        <v>172</v>
      </c>
      <c r="Q115" s="611" t="s">
        <v>208</v>
      </c>
      <c r="R115" s="613" t="s">
        <v>407</v>
      </c>
      <c r="S115" s="611" t="s">
        <v>408</v>
      </c>
      <c r="T115" s="336"/>
      <c r="U115" s="336"/>
      <c r="V115" s="336"/>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511">
        <f>774149741-400000000-210749741-79000000</f>
        <v>84400000</v>
      </c>
      <c r="AY115" s="511">
        <f>'[3]Metas Producto F-PLA-47'!$U$16+'[3]Metas Producto F-PLA-47'!$U$17</f>
        <v>84400000</v>
      </c>
      <c r="AZ115" s="511">
        <f>'[3]Metas Producto F-PLA-47'!$V$16+'[3]Metas Producto F-PLA-47'!$V$17</f>
        <v>84400000</v>
      </c>
      <c r="BA115" s="27"/>
      <c r="BB115" s="27"/>
      <c r="BC115" s="27"/>
      <c r="BD115" s="27"/>
      <c r="BE115" s="27"/>
      <c r="BF115" s="27"/>
      <c r="BG115" s="151">
        <f t="shared" ref="BG115:BI120" si="35">+T115+W115+Z115+AC115+AF115+AI115+AL115+AO115+AR115+AU115+AX115+BA115+BD115</f>
        <v>84400000</v>
      </c>
      <c r="BH115" s="151">
        <f t="shared" si="35"/>
        <v>84400000</v>
      </c>
      <c r="BI115" s="151">
        <f t="shared" si="35"/>
        <v>84400000</v>
      </c>
      <c r="BK115" s="608"/>
    </row>
    <row r="116" spans="1:64" ht="114" customHeight="1" x14ac:dyDescent="0.2">
      <c r="A116" s="377"/>
      <c r="B116" s="380"/>
      <c r="C116" s="322"/>
      <c r="D116" s="323"/>
      <c r="E116" s="314">
        <v>3301</v>
      </c>
      <c r="F116" s="307" t="s">
        <v>1497</v>
      </c>
      <c r="G116" s="293" t="s">
        <v>409</v>
      </c>
      <c r="H116" s="305">
        <v>3301073</v>
      </c>
      <c r="I116" s="306" t="s">
        <v>410</v>
      </c>
      <c r="J116" s="305" t="s">
        <v>411</v>
      </c>
      <c r="K116" s="305">
        <v>330107301</v>
      </c>
      <c r="L116" s="306" t="s">
        <v>412</v>
      </c>
      <c r="M116" s="305" t="s">
        <v>179</v>
      </c>
      <c r="N116" s="305">
        <v>1800</v>
      </c>
      <c r="O116" s="305">
        <v>200</v>
      </c>
      <c r="P116" s="197">
        <v>150</v>
      </c>
      <c r="Q116" s="611"/>
      <c r="R116" s="613"/>
      <c r="S116" s="611"/>
      <c r="T116" s="572">
        <f>1308657774.35-151977347.27-151977347</f>
        <v>1004703080.0799999</v>
      </c>
      <c r="U116" s="572">
        <v>954870203.83000004</v>
      </c>
      <c r="V116" s="572">
        <v>954870203.83000004</v>
      </c>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33">
        <f>0+210749741-83749741</f>
        <v>127000000</v>
      </c>
      <c r="AY116" s="33">
        <v>125320000</v>
      </c>
      <c r="AZ116" s="33">
        <v>125320000</v>
      </c>
      <c r="BA116" s="27"/>
      <c r="BB116" s="27"/>
      <c r="BC116" s="27"/>
      <c r="BD116" s="27"/>
      <c r="BE116" s="27"/>
      <c r="BF116" s="27"/>
      <c r="BG116" s="177">
        <f t="shared" si="35"/>
        <v>1131703080.0799999</v>
      </c>
      <c r="BH116" s="177">
        <f t="shared" si="35"/>
        <v>1080190203.8299999</v>
      </c>
      <c r="BI116" s="177">
        <f t="shared" si="35"/>
        <v>1080190203.8299999</v>
      </c>
      <c r="BK116" s="608"/>
    </row>
    <row r="117" spans="1:64" ht="72.75" customHeight="1" x14ac:dyDescent="0.2">
      <c r="A117" s="377"/>
      <c r="B117" s="380"/>
      <c r="C117" s="322"/>
      <c r="D117" s="323"/>
      <c r="E117" s="314">
        <v>3301</v>
      </c>
      <c r="F117" s="307" t="s">
        <v>1498</v>
      </c>
      <c r="G117" s="293" t="s">
        <v>413</v>
      </c>
      <c r="H117" s="305">
        <v>3301085</v>
      </c>
      <c r="I117" s="306" t="s">
        <v>414</v>
      </c>
      <c r="J117" s="305" t="s">
        <v>415</v>
      </c>
      <c r="K117" s="305" t="s">
        <v>416</v>
      </c>
      <c r="L117" s="306" t="s">
        <v>417</v>
      </c>
      <c r="M117" s="305" t="s">
        <v>179</v>
      </c>
      <c r="N117" s="305">
        <v>270958</v>
      </c>
      <c r="O117" s="305">
        <v>958</v>
      </c>
      <c r="P117" s="197">
        <v>596</v>
      </c>
      <c r="Q117" s="611" t="s">
        <v>208</v>
      </c>
      <c r="R117" s="613" t="s">
        <v>418</v>
      </c>
      <c r="S117" s="611" t="s">
        <v>1425</v>
      </c>
      <c r="T117" s="572">
        <v>110000000</v>
      </c>
      <c r="U117" s="572">
        <v>46725000</v>
      </c>
      <c r="V117" s="572">
        <v>46725000</v>
      </c>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33"/>
      <c r="AY117" s="33"/>
      <c r="AZ117" s="33"/>
      <c r="BA117" s="27"/>
      <c r="BB117" s="27"/>
      <c r="BC117" s="27"/>
      <c r="BD117" s="27"/>
      <c r="BE117" s="27"/>
      <c r="BF117" s="27"/>
      <c r="BG117" s="151">
        <f t="shared" si="35"/>
        <v>110000000</v>
      </c>
      <c r="BH117" s="151">
        <f t="shared" si="35"/>
        <v>46725000</v>
      </c>
      <c r="BI117" s="151">
        <f t="shared" si="35"/>
        <v>46725000</v>
      </c>
      <c r="BK117" s="608"/>
    </row>
    <row r="118" spans="1:64" ht="101.25" customHeight="1" x14ac:dyDescent="0.2">
      <c r="A118" s="377"/>
      <c r="B118" s="380"/>
      <c r="C118" s="322"/>
      <c r="D118" s="323"/>
      <c r="E118" s="314">
        <v>3301</v>
      </c>
      <c r="F118" s="307" t="s">
        <v>1384</v>
      </c>
      <c r="G118" s="293" t="s">
        <v>420</v>
      </c>
      <c r="H118" s="305">
        <v>3301100</v>
      </c>
      <c r="I118" s="306" t="s">
        <v>421</v>
      </c>
      <c r="J118" s="261" t="s">
        <v>422</v>
      </c>
      <c r="K118" s="270" t="s">
        <v>423</v>
      </c>
      <c r="L118" s="267" t="s">
        <v>424</v>
      </c>
      <c r="M118" s="305" t="s">
        <v>179</v>
      </c>
      <c r="N118" s="305">
        <v>40</v>
      </c>
      <c r="O118" s="305">
        <v>5</v>
      </c>
      <c r="P118" s="305">
        <v>0</v>
      </c>
      <c r="Q118" s="611"/>
      <c r="R118" s="613"/>
      <c r="S118" s="611"/>
      <c r="T118" s="512">
        <f>94814219-0.26</f>
        <v>94814218.739999995</v>
      </c>
      <c r="U118" s="512">
        <v>0</v>
      </c>
      <c r="V118" s="512">
        <v>0</v>
      </c>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151">
        <f t="shared" si="35"/>
        <v>94814218.739999995</v>
      </c>
      <c r="BH118" s="151">
        <f t="shared" si="35"/>
        <v>0</v>
      </c>
      <c r="BI118" s="151">
        <f t="shared" si="35"/>
        <v>0</v>
      </c>
      <c r="BK118" s="608"/>
    </row>
    <row r="119" spans="1:64" ht="99.75" customHeight="1" x14ac:dyDescent="0.2">
      <c r="A119" s="377"/>
      <c r="B119" s="380"/>
      <c r="C119" s="322"/>
      <c r="D119" s="323"/>
      <c r="E119" s="314">
        <v>3301</v>
      </c>
      <c r="F119" s="306" t="s">
        <v>1497</v>
      </c>
      <c r="G119" s="197" t="s">
        <v>425</v>
      </c>
      <c r="H119" s="305">
        <v>3301099</v>
      </c>
      <c r="I119" s="306" t="s">
        <v>426</v>
      </c>
      <c r="J119" s="261" t="s">
        <v>427</v>
      </c>
      <c r="K119" s="270" t="s">
        <v>428</v>
      </c>
      <c r="L119" s="267" t="s">
        <v>429</v>
      </c>
      <c r="M119" s="261" t="s">
        <v>89</v>
      </c>
      <c r="N119" s="261">
        <v>1</v>
      </c>
      <c r="O119" s="305">
        <v>1</v>
      </c>
      <c r="P119" s="534">
        <v>0</v>
      </c>
      <c r="Q119" s="365" t="s">
        <v>208</v>
      </c>
      <c r="R119" s="305" t="s">
        <v>430</v>
      </c>
      <c r="S119" s="306" t="s">
        <v>1426</v>
      </c>
      <c r="T119" s="573"/>
      <c r="U119" s="573"/>
      <c r="V119" s="573"/>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33">
        <f>80000000-62000000</f>
        <v>18000000</v>
      </c>
      <c r="AY119" s="33"/>
      <c r="AZ119" s="33"/>
      <c r="BA119" s="27"/>
      <c r="BB119" s="27"/>
      <c r="BC119" s="27"/>
      <c r="BD119" s="27"/>
      <c r="BE119" s="27"/>
      <c r="BF119" s="27"/>
      <c r="BG119" s="151">
        <f t="shared" si="35"/>
        <v>18000000</v>
      </c>
      <c r="BH119" s="151">
        <f t="shared" si="35"/>
        <v>0</v>
      </c>
      <c r="BI119" s="151">
        <f t="shared" si="35"/>
        <v>0</v>
      </c>
      <c r="BK119" s="608"/>
    </row>
    <row r="120" spans="1:64" ht="141" customHeight="1" x14ac:dyDescent="0.2">
      <c r="A120" s="377"/>
      <c r="B120" s="380"/>
      <c r="C120" s="322"/>
      <c r="D120" s="323"/>
      <c r="E120" s="314">
        <v>3301</v>
      </c>
      <c r="F120" s="307" t="s">
        <v>1381</v>
      </c>
      <c r="G120" s="293" t="s">
        <v>432</v>
      </c>
      <c r="H120" s="305">
        <v>3301095</v>
      </c>
      <c r="I120" s="306" t="s">
        <v>433</v>
      </c>
      <c r="J120" s="305" t="s">
        <v>434</v>
      </c>
      <c r="K120" s="305" t="s">
        <v>435</v>
      </c>
      <c r="L120" s="306" t="s">
        <v>436</v>
      </c>
      <c r="M120" s="261" t="s">
        <v>179</v>
      </c>
      <c r="N120" s="261">
        <v>480</v>
      </c>
      <c r="O120" s="261">
        <v>30</v>
      </c>
      <c r="P120" s="261">
        <v>0</v>
      </c>
      <c r="Q120" s="365" t="s">
        <v>208</v>
      </c>
      <c r="R120" s="305" t="s">
        <v>437</v>
      </c>
      <c r="S120" s="306" t="s">
        <v>438</v>
      </c>
      <c r="T120" s="574">
        <f>1063903990.74-38250528.54</f>
        <v>1025653462.2</v>
      </c>
      <c r="U120" s="574">
        <v>0</v>
      </c>
      <c r="V120" s="574">
        <v>0</v>
      </c>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511">
        <f>3281269+162749741</f>
        <v>166031010</v>
      </c>
      <c r="AY120" s="172"/>
      <c r="AZ120" s="172"/>
      <c r="BA120" s="27"/>
      <c r="BB120" s="27"/>
      <c r="BC120" s="27"/>
      <c r="BD120" s="27"/>
      <c r="BE120" s="27"/>
      <c r="BF120" s="27"/>
      <c r="BG120" s="151">
        <f t="shared" si="35"/>
        <v>1191684472.2</v>
      </c>
      <c r="BH120" s="151">
        <f t="shared" si="35"/>
        <v>0</v>
      </c>
      <c r="BI120" s="151">
        <f t="shared" si="35"/>
        <v>0</v>
      </c>
      <c r="BK120" s="608"/>
    </row>
    <row r="121" spans="1:64" ht="25.5" customHeight="1" x14ac:dyDescent="0.2">
      <c r="A121" s="377"/>
      <c r="B121" s="380"/>
      <c r="C121" s="171">
        <v>26</v>
      </c>
      <c r="D121" s="146">
        <v>3302</v>
      </c>
      <c r="E121" s="195" t="s">
        <v>439</v>
      </c>
      <c r="F121" s="145"/>
      <c r="G121" s="146"/>
      <c r="H121" s="147"/>
      <c r="I121" s="145"/>
      <c r="J121" s="146"/>
      <c r="K121" s="146"/>
      <c r="L121" s="145"/>
      <c r="M121" s="148"/>
      <c r="N121" s="148"/>
      <c r="O121" s="146"/>
      <c r="P121" s="146"/>
      <c r="Q121" s="368"/>
      <c r="R121" s="146"/>
      <c r="S121" s="145"/>
      <c r="T121" s="150">
        <f t="shared" ref="T121:BG121" si="36">SUM(T122:T123)</f>
        <v>0</v>
      </c>
      <c r="U121" s="150">
        <f t="shared" si="36"/>
        <v>0</v>
      </c>
      <c r="V121" s="150">
        <f t="shared" si="36"/>
        <v>0</v>
      </c>
      <c r="W121" s="150">
        <f t="shared" si="36"/>
        <v>0</v>
      </c>
      <c r="X121" s="150">
        <f t="shared" si="36"/>
        <v>0</v>
      </c>
      <c r="Y121" s="150">
        <f t="shared" si="36"/>
        <v>0</v>
      </c>
      <c r="Z121" s="150">
        <f t="shared" si="36"/>
        <v>0</v>
      </c>
      <c r="AA121" s="150">
        <f t="shared" si="36"/>
        <v>0</v>
      </c>
      <c r="AB121" s="150">
        <f t="shared" si="36"/>
        <v>0</v>
      </c>
      <c r="AC121" s="150">
        <f t="shared" si="36"/>
        <v>0</v>
      </c>
      <c r="AD121" s="150">
        <f t="shared" si="36"/>
        <v>0</v>
      </c>
      <c r="AE121" s="150">
        <f t="shared" si="36"/>
        <v>0</v>
      </c>
      <c r="AF121" s="150">
        <f t="shared" si="36"/>
        <v>0</v>
      </c>
      <c r="AG121" s="150">
        <f t="shared" si="36"/>
        <v>0</v>
      </c>
      <c r="AH121" s="150">
        <f t="shared" si="36"/>
        <v>0</v>
      </c>
      <c r="AI121" s="150">
        <f t="shared" si="36"/>
        <v>0</v>
      </c>
      <c r="AJ121" s="150">
        <f t="shared" si="36"/>
        <v>0</v>
      </c>
      <c r="AK121" s="150">
        <f t="shared" si="36"/>
        <v>0</v>
      </c>
      <c r="AL121" s="150">
        <f t="shared" si="36"/>
        <v>0</v>
      </c>
      <c r="AM121" s="150">
        <f t="shared" si="36"/>
        <v>0</v>
      </c>
      <c r="AN121" s="150">
        <f t="shared" si="36"/>
        <v>0</v>
      </c>
      <c r="AO121" s="150">
        <f t="shared" si="36"/>
        <v>0</v>
      </c>
      <c r="AP121" s="150">
        <f t="shared" si="36"/>
        <v>0</v>
      </c>
      <c r="AQ121" s="150">
        <f t="shared" si="36"/>
        <v>0</v>
      </c>
      <c r="AR121" s="150">
        <f t="shared" si="36"/>
        <v>0</v>
      </c>
      <c r="AS121" s="150">
        <f t="shared" si="36"/>
        <v>0</v>
      </c>
      <c r="AT121" s="150">
        <f t="shared" si="36"/>
        <v>0</v>
      </c>
      <c r="AU121" s="150">
        <f t="shared" si="36"/>
        <v>0</v>
      </c>
      <c r="AV121" s="150">
        <f t="shared" si="36"/>
        <v>0</v>
      </c>
      <c r="AW121" s="150">
        <f t="shared" si="36"/>
        <v>0</v>
      </c>
      <c r="AX121" s="150">
        <f t="shared" si="36"/>
        <v>62440331</v>
      </c>
      <c r="AY121" s="150">
        <f t="shared" si="36"/>
        <v>62440331</v>
      </c>
      <c r="AZ121" s="150">
        <f t="shared" si="36"/>
        <v>62440331</v>
      </c>
      <c r="BA121" s="150">
        <f t="shared" si="36"/>
        <v>342754433.30000001</v>
      </c>
      <c r="BB121" s="150">
        <f t="shared" si="36"/>
        <v>314079669</v>
      </c>
      <c r="BC121" s="150">
        <f t="shared" si="36"/>
        <v>314079669</v>
      </c>
      <c r="BD121" s="150">
        <f t="shared" si="36"/>
        <v>0</v>
      </c>
      <c r="BE121" s="150">
        <f t="shared" si="36"/>
        <v>0</v>
      </c>
      <c r="BF121" s="150">
        <f t="shared" si="36"/>
        <v>0</v>
      </c>
      <c r="BG121" s="150">
        <f t="shared" si="36"/>
        <v>405194764.30000001</v>
      </c>
      <c r="BH121" s="150">
        <f>SUM(BH122:BH123)</f>
        <v>376520000</v>
      </c>
      <c r="BI121" s="150">
        <f>SUM(BI122:BI123)</f>
        <v>376520000</v>
      </c>
      <c r="BK121" s="608"/>
    </row>
    <row r="122" spans="1:64" ht="99" customHeight="1" x14ac:dyDescent="0.2">
      <c r="A122" s="377"/>
      <c r="B122" s="380"/>
      <c r="C122" s="322"/>
      <c r="D122" s="323"/>
      <c r="E122" s="314">
        <v>3302</v>
      </c>
      <c r="F122" s="307" t="s">
        <v>1499</v>
      </c>
      <c r="G122" s="197" t="s">
        <v>440</v>
      </c>
      <c r="H122" s="32">
        <v>3302042</v>
      </c>
      <c r="I122" s="306" t="s">
        <v>441</v>
      </c>
      <c r="J122" s="305" t="s">
        <v>442</v>
      </c>
      <c r="K122" s="305" t="s">
        <v>443</v>
      </c>
      <c r="L122" s="306" t="s">
        <v>444</v>
      </c>
      <c r="M122" s="305" t="s">
        <v>179</v>
      </c>
      <c r="N122" s="305">
        <v>48</v>
      </c>
      <c r="O122" s="305">
        <v>12</v>
      </c>
      <c r="P122" s="305">
        <v>12</v>
      </c>
      <c r="Q122" s="611" t="s">
        <v>208</v>
      </c>
      <c r="R122" s="613" t="s">
        <v>445</v>
      </c>
      <c r="S122" s="611" t="s">
        <v>446</v>
      </c>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33">
        <f>80000000-46200000</f>
        <v>33800000</v>
      </c>
      <c r="AY122" s="33">
        <v>33800000</v>
      </c>
      <c r="AZ122" s="33">
        <v>33800000</v>
      </c>
      <c r="BA122" s="27"/>
      <c r="BB122" s="27"/>
      <c r="BC122" s="27"/>
      <c r="BD122" s="334"/>
      <c r="BE122" s="334"/>
      <c r="BF122" s="334"/>
      <c r="BG122" s="151">
        <f t="shared" ref="BG122:BI123" si="37">+T122+W122+Z122+AC122+AF122+AI122+AL122+AO122+AR122+AU122+AX122+BA122+BD122</f>
        <v>33800000</v>
      </c>
      <c r="BH122" s="151">
        <f t="shared" si="37"/>
        <v>33800000</v>
      </c>
      <c r="BI122" s="151">
        <f t="shared" si="37"/>
        <v>33800000</v>
      </c>
      <c r="BK122" s="608"/>
    </row>
    <row r="123" spans="1:64" ht="100.5" customHeight="1" x14ac:dyDescent="0.2">
      <c r="A123" s="378"/>
      <c r="B123" s="381"/>
      <c r="C123" s="322"/>
      <c r="D123" s="323"/>
      <c r="E123" s="314">
        <v>3302</v>
      </c>
      <c r="F123" s="307" t="s">
        <v>1500</v>
      </c>
      <c r="G123" s="289" t="s">
        <v>447</v>
      </c>
      <c r="H123" s="32">
        <v>3302070</v>
      </c>
      <c r="I123" s="306" t="s">
        <v>448</v>
      </c>
      <c r="J123" s="261" t="s">
        <v>449</v>
      </c>
      <c r="K123" s="270" t="s">
        <v>450</v>
      </c>
      <c r="L123" s="267" t="s">
        <v>424</v>
      </c>
      <c r="M123" s="305" t="s">
        <v>89</v>
      </c>
      <c r="N123" s="305">
        <v>4</v>
      </c>
      <c r="O123" s="305">
        <v>4</v>
      </c>
      <c r="P123" s="305">
        <v>4</v>
      </c>
      <c r="Q123" s="611"/>
      <c r="R123" s="613"/>
      <c r="S123" s="611"/>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33">
        <f>0+28640331</f>
        <v>28640331</v>
      </c>
      <c r="AY123" s="33">
        <v>28640331</v>
      </c>
      <c r="AZ123" s="33">
        <v>28640331</v>
      </c>
      <c r="BA123" s="575">
        <f>287355981.3+55398452</f>
        <v>342754433.30000001</v>
      </c>
      <c r="BB123" s="575">
        <v>314079669</v>
      </c>
      <c r="BC123" s="575">
        <v>314079669</v>
      </c>
      <c r="BD123" s="576"/>
      <c r="BE123" s="334"/>
      <c r="BF123" s="334"/>
      <c r="BG123" s="151">
        <f t="shared" si="37"/>
        <v>371394764.30000001</v>
      </c>
      <c r="BH123" s="151">
        <f t="shared" si="37"/>
        <v>342720000</v>
      </c>
      <c r="BI123" s="151">
        <f t="shared" si="37"/>
        <v>342720000</v>
      </c>
      <c r="BK123" s="608"/>
    </row>
    <row r="124" spans="1:64" ht="15.75" x14ac:dyDescent="0.2">
      <c r="A124" s="183" t="s">
        <v>451</v>
      </c>
      <c r="B124" s="183"/>
      <c r="C124" s="183"/>
      <c r="D124" s="184"/>
      <c r="E124" s="184"/>
      <c r="F124" s="185"/>
      <c r="G124" s="186"/>
      <c r="H124" s="135"/>
      <c r="I124" s="185"/>
      <c r="J124" s="186"/>
      <c r="K124" s="186"/>
      <c r="L124" s="185"/>
      <c r="M124" s="135"/>
      <c r="N124" s="135"/>
      <c r="O124" s="186"/>
      <c r="P124" s="186"/>
      <c r="Q124" s="369"/>
      <c r="R124" s="186"/>
      <c r="S124" s="185"/>
      <c r="T124" s="164">
        <f t="shared" ref="T124:BI124" si="38">T125</f>
        <v>0</v>
      </c>
      <c r="U124" s="164"/>
      <c r="V124" s="164"/>
      <c r="W124" s="164">
        <f t="shared" si="38"/>
        <v>0</v>
      </c>
      <c r="X124" s="164"/>
      <c r="Y124" s="164"/>
      <c r="Z124" s="164">
        <f t="shared" si="38"/>
        <v>0</v>
      </c>
      <c r="AA124" s="164"/>
      <c r="AB124" s="164"/>
      <c r="AC124" s="164">
        <f t="shared" si="38"/>
        <v>0</v>
      </c>
      <c r="AD124" s="164"/>
      <c r="AE124" s="164"/>
      <c r="AF124" s="164">
        <f t="shared" si="38"/>
        <v>0</v>
      </c>
      <c r="AG124" s="164"/>
      <c r="AH124" s="164"/>
      <c r="AI124" s="164">
        <f t="shared" si="38"/>
        <v>0</v>
      </c>
      <c r="AJ124" s="164"/>
      <c r="AK124" s="164"/>
      <c r="AL124" s="164">
        <f t="shared" si="38"/>
        <v>0</v>
      </c>
      <c r="AM124" s="164"/>
      <c r="AN124" s="164"/>
      <c r="AO124" s="164">
        <f t="shared" si="38"/>
        <v>0</v>
      </c>
      <c r="AP124" s="164"/>
      <c r="AQ124" s="164"/>
      <c r="AR124" s="164">
        <f t="shared" si="38"/>
        <v>0</v>
      </c>
      <c r="AS124" s="164"/>
      <c r="AT124" s="164"/>
      <c r="AU124" s="164">
        <f t="shared" si="38"/>
        <v>0</v>
      </c>
      <c r="AV124" s="164"/>
      <c r="AW124" s="164"/>
      <c r="AX124" s="164">
        <f t="shared" si="38"/>
        <v>2262011167</v>
      </c>
      <c r="AY124" s="164">
        <f t="shared" si="38"/>
        <v>1610029996</v>
      </c>
      <c r="AZ124" s="164">
        <f t="shared" si="38"/>
        <v>1610029996</v>
      </c>
      <c r="BA124" s="164">
        <f t="shared" si="38"/>
        <v>516877904.85000002</v>
      </c>
      <c r="BB124" s="164">
        <f t="shared" si="38"/>
        <v>283654552</v>
      </c>
      <c r="BC124" s="164">
        <f t="shared" si="38"/>
        <v>283654552</v>
      </c>
      <c r="BD124" s="164">
        <f t="shared" si="38"/>
        <v>0</v>
      </c>
      <c r="BE124" s="164">
        <f t="shared" si="38"/>
        <v>0</v>
      </c>
      <c r="BF124" s="164">
        <f t="shared" si="38"/>
        <v>0</v>
      </c>
      <c r="BG124" s="164">
        <f t="shared" si="38"/>
        <v>2778889071.8499999</v>
      </c>
      <c r="BH124" s="164">
        <f t="shared" si="38"/>
        <v>1893684548</v>
      </c>
      <c r="BI124" s="164">
        <f t="shared" si="38"/>
        <v>1893684548</v>
      </c>
      <c r="BJ124" s="608"/>
      <c r="BK124" s="608"/>
      <c r="BL124" s="608"/>
    </row>
    <row r="125" spans="1:64" ht="15.75" x14ac:dyDescent="0.2">
      <c r="A125" s="382"/>
      <c r="B125" s="138">
        <v>2</v>
      </c>
      <c r="C125" s="138" t="s">
        <v>2</v>
      </c>
      <c r="D125" s="139"/>
      <c r="E125" s="337"/>
      <c r="F125" s="140"/>
      <c r="G125" s="141"/>
      <c r="H125" s="142"/>
      <c r="I125" s="140"/>
      <c r="J125" s="141"/>
      <c r="K125" s="141"/>
      <c r="L125" s="140"/>
      <c r="M125" s="143"/>
      <c r="N125" s="143"/>
      <c r="O125" s="141"/>
      <c r="P125" s="141"/>
      <c r="Q125" s="370"/>
      <c r="R125" s="141"/>
      <c r="S125" s="140"/>
      <c r="T125" s="144">
        <f t="shared" ref="T125:BI125" si="39">T126+T135</f>
        <v>0</v>
      </c>
      <c r="U125" s="144"/>
      <c r="V125" s="144"/>
      <c r="W125" s="144">
        <f t="shared" si="39"/>
        <v>0</v>
      </c>
      <c r="X125" s="144"/>
      <c r="Y125" s="144"/>
      <c r="Z125" s="144">
        <f t="shared" si="39"/>
        <v>0</v>
      </c>
      <c r="AA125" s="144"/>
      <c r="AB125" s="144"/>
      <c r="AC125" s="144">
        <f t="shared" si="39"/>
        <v>0</v>
      </c>
      <c r="AD125" s="144"/>
      <c r="AE125" s="144"/>
      <c r="AF125" s="144">
        <f t="shared" si="39"/>
        <v>0</v>
      </c>
      <c r="AG125" s="144"/>
      <c r="AH125" s="144"/>
      <c r="AI125" s="144">
        <f t="shared" si="39"/>
        <v>0</v>
      </c>
      <c r="AJ125" s="144"/>
      <c r="AK125" s="144"/>
      <c r="AL125" s="144">
        <f t="shared" si="39"/>
        <v>0</v>
      </c>
      <c r="AM125" s="144"/>
      <c r="AN125" s="144"/>
      <c r="AO125" s="144">
        <f t="shared" si="39"/>
        <v>0</v>
      </c>
      <c r="AP125" s="144"/>
      <c r="AQ125" s="144"/>
      <c r="AR125" s="144">
        <f t="shared" si="39"/>
        <v>0</v>
      </c>
      <c r="AS125" s="144"/>
      <c r="AT125" s="144"/>
      <c r="AU125" s="144">
        <f t="shared" si="39"/>
        <v>0</v>
      </c>
      <c r="AV125" s="144"/>
      <c r="AW125" s="144"/>
      <c r="AX125" s="144">
        <f t="shared" si="39"/>
        <v>2262011167</v>
      </c>
      <c r="AY125" s="144">
        <f t="shared" si="39"/>
        <v>1610029996</v>
      </c>
      <c r="AZ125" s="144">
        <f t="shared" si="39"/>
        <v>1610029996</v>
      </c>
      <c r="BA125" s="144">
        <f t="shared" si="39"/>
        <v>516877904.85000002</v>
      </c>
      <c r="BB125" s="144">
        <f t="shared" si="39"/>
        <v>283654552</v>
      </c>
      <c r="BC125" s="144">
        <f t="shared" si="39"/>
        <v>283654552</v>
      </c>
      <c r="BD125" s="144">
        <f t="shared" si="39"/>
        <v>0</v>
      </c>
      <c r="BE125" s="144">
        <f t="shared" si="39"/>
        <v>0</v>
      </c>
      <c r="BF125" s="144">
        <f t="shared" si="39"/>
        <v>0</v>
      </c>
      <c r="BG125" s="144">
        <f t="shared" si="39"/>
        <v>2778889071.8499999</v>
      </c>
      <c r="BH125" s="144">
        <f t="shared" si="39"/>
        <v>1893684548</v>
      </c>
      <c r="BI125" s="144">
        <f t="shared" si="39"/>
        <v>1893684548</v>
      </c>
      <c r="BK125" s="608"/>
    </row>
    <row r="126" spans="1:64" ht="21" customHeight="1" x14ac:dyDescent="0.2">
      <c r="A126" s="377"/>
      <c r="B126" s="626"/>
      <c r="C126" s="308">
        <v>27</v>
      </c>
      <c r="D126" s="149">
        <v>3502</v>
      </c>
      <c r="E126" s="308" t="s">
        <v>228</v>
      </c>
      <c r="F126" s="145"/>
      <c r="G126" s="146"/>
      <c r="H126" s="147"/>
      <c r="I126" s="145"/>
      <c r="J126" s="146"/>
      <c r="K126" s="146"/>
      <c r="L126" s="145"/>
      <c r="M126" s="148"/>
      <c r="N126" s="148"/>
      <c r="O126" s="146"/>
      <c r="P126" s="146"/>
      <c r="Q126" s="368"/>
      <c r="R126" s="146"/>
      <c r="S126" s="145"/>
      <c r="T126" s="150">
        <f t="shared" ref="T126:BI126" si="40">SUM(T127:T134)</f>
        <v>0</v>
      </c>
      <c r="U126" s="150"/>
      <c r="V126" s="150"/>
      <c r="W126" s="150">
        <f t="shared" si="40"/>
        <v>0</v>
      </c>
      <c r="X126" s="150"/>
      <c r="Y126" s="150"/>
      <c r="Z126" s="150">
        <f t="shared" si="40"/>
        <v>0</v>
      </c>
      <c r="AA126" s="150"/>
      <c r="AB126" s="150"/>
      <c r="AC126" s="150">
        <f t="shared" si="40"/>
        <v>0</v>
      </c>
      <c r="AD126" s="150"/>
      <c r="AE126" s="150"/>
      <c r="AF126" s="150">
        <f t="shared" si="40"/>
        <v>0</v>
      </c>
      <c r="AG126" s="150"/>
      <c r="AH126" s="150"/>
      <c r="AI126" s="150">
        <f t="shared" si="40"/>
        <v>0</v>
      </c>
      <c r="AJ126" s="150"/>
      <c r="AK126" s="150"/>
      <c r="AL126" s="150">
        <f t="shared" si="40"/>
        <v>0</v>
      </c>
      <c r="AM126" s="150"/>
      <c r="AN126" s="150"/>
      <c r="AO126" s="150">
        <f t="shared" si="40"/>
        <v>0</v>
      </c>
      <c r="AP126" s="150"/>
      <c r="AQ126" s="150"/>
      <c r="AR126" s="150">
        <f t="shared" si="40"/>
        <v>0</v>
      </c>
      <c r="AS126" s="150"/>
      <c r="AT126" s="150"/>
      <c r="AU126" s="150">
        <f t="shared" si="40"/>
        <v>0</v>
      </c>
      <c r="AV126" s="150"/>
      <c r="AW126" s="150"/>
      <c r="AX126" s="150">
        <f t="shared" si="40"/>
        <v>1026326167</v>
      </c>
      <c r="AY126" s="150">
        <f t="shared" si="40"/>
        <v>483669998</v>
      </c>
      <c r="AZ126" s="150">
        <f t="shared" si="40"/>
        <v>483669998</v>
      </c>
      <c r="BA126" s="150">
        <f t="shared" si="40"/>
        <v>516877904.85000002</v>
      </c>
      <c r="BB126" s="150">
        <f t="shared" si="40"/>
        <v>283654552</v>
      </c>
      <c r="BC126" s="150">
        <f t="shared" si="40"/>
        <v>283654552</v>
      </c>
      <c r="BD126" s="150">
        <f t="shared" si="40"/>
        <v>0</v>
      </c>
      <c r="BE126" s="150">
        <f t="shared" si="40"/>
        <v>0</v>
      </c>
      <c r="BF126" s="150">
        <f t="shared" si="40"/>
        <v>0</v>
      </c>
      <c r="BG126" s="150">
        <f t="shared" si="40"/>
        <v>1543204071.8499999</v>
      </c>
      <c r="BH126" s="150">
        <f t="shared" si="40"/>
        <v>767324550</v>
      </c>
      <c r="BI126" s="150">
        <f t="shared" si="40"/>
        <v>767324550</v>
      </c>
      <c r="BK126" s="608"/>
    </row>
    <row r="127" spans="1:64" ht="56.25" customHeight="1" x14ac:dyDescent="0.2">
      <c r="A127" s="377"/>
      <c r="B127" s="626"/>
      <c r="C127" s="322"/>
      <c r="D127" s="323"/>
      <c r="E127" s="297">
        <v>3502</v>
      </c>
      <c r="F127" s="196" t="s">
        <v>1385</v>
      </c>
      <c r="G127" s="197" t="s">
        <v>452</v>
      </c>
      <c r="H127" s="297">
        <v>3502006</v>
      </c>
      <c r="I127" s="196" t="s">
        <v>453</v>
      </c>
      <c r="J127" s="197" t="s">
        <v>454</v>
      </c>
      <c r="K127" s="197" t="s">
        <v>455</v>
      </c>
      <c r="L127" s="196" t="s">
        <v>456</v>
      </c>
      <c r="M127" s="294" t="s">
        <v>179</v>
      </c>
      <c r="N127" s="197">
        <v>4</v>
      </c>
      <c r="O127" s="197">
        <v>1</v>
      </c>
      <c r="P127" s="197">
        <v>1</v>
      </c>
      <c r="Q127" s="617" t="s">
        <v>225</v>
      </c>
      <c r="R127" s="613" t="s">
        <v>457</v>
      </c>
      <c r="S127" s="611" t="s">
        <v>458</v>
      </c>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315">
        <f>20000000+10000000</f>
        <v>30000000</v>
      </c>
      <c r="AY127" s="315">
        <v>18666666</v>
      </c>
      <c r="AZ127" s="315">
        <v>18666666</v>
      </c>
      <c r="BA127" s="27"/>
      <c r="BB127" s="27"/>
      <c r="BC127" s="27"/>
      <c r="BD127" s="27"/>
      <c r="BE127" s="27"/>
      <c r="BF127" s="27"/>
      <c r="BG127" s="151">
        <f t="shared" ref="BG127:BI134" si="41">+T127+W127+Z127+AC127+AF127+AI127+AL127+AO127+AR127+AU127+AX127+BA127+BD127</f>
        <v>30000000</v>
      </c>
      <c r="BH127" s="151">
        <f t="shared" si="41"/>
        <v>18666666</v>
      </c>
      <c r="BI127" s="151">
        <f t="shared" si="41"/>
        <v>18666666</v>
      </c>
      <c r="BK127" s="608"/>
    </row>
    <row r="128" spans="1:64" ht="47.25" customHeight="1" x14ac:dyDescent="0.2">
      <c r="A128" s="377"/>
      <c r="B128" s="626"/>
      <c r="C128" s="322"/>
      <c r="D128" s="323"/>
      <c r="E128" s="297">
        <v>3502</v>
      </c>
      <c r="F128" s="196" t="s">
        <v>1385</v>
      </c>
      <c r="G128" s="197" t="s">
        <v>459</v>
      </c>
      <c r="H128" s="297">
        <v>3502007</v>
      </c>
      <c r="I128" s="196" t="s">
        <v>1427</v>
      </c>
      <c r="J128" s="601" t="s">
        <v>460</v>
      </c>
      <c r="K128" s="197" t="s">
        <v>461</v>
      </c>
      <c r="L128" s="196" t="s">
        <v>462</v>
      </c>
      <c r="M128" s="294" t="s">
        <v>89</v>
      </c>
      <c r="N128" s="197">
        <v>7</v>
      </c>
      <c r="O128" s="197">
        <v>7</v>
      </c>
      <c r="P128" s="197">
        <v>7</v>
      </c>
      <c r="Q128" s="617"/>
      <c r="R128" s="613"/>
      <c r="S128" s="611"/>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315">
        <f>30000000+15000000</f>
        <v>45000000</v>
      </c>
      <c r="AY128" s="33">
        <v>8750000</v>
      </c>
      <c r="AZ128" s="33">
        <v>8750000</v>
      </c>
      <c r="BA128" s="27"/>
      <c r="BB128" s="27"/>
      <c r="BC128" s="27"/>
      <c r="BD128" s="27"/>
      <c r="BE128" s="27"/>
      <c r="BF128" s="27"/>
      <c r="BG128" s="151">
        <f t="shared" si="41"/>
        <v>45000000</v>
      </c>
      <c r="BH128" s="151">
        <f t="shared" si="41"/>
        <v>8750000</v>
      </c>
      <c r="BI128" s="151">
        <f t="shared" si="41"/>
        <v>8750000</v>
      </c>
      <c r="BK128" s="608"/>
    </row>
    <row r="129" spans="1:64" ht="43.5" customHeight="1" x14ac:dyDescent="0.2">
      <c r="A129" s="377"/>
      <c r="B129" s="626"/>
      <c r="C129" s="628"/>
      <c r="D129" s="323"/>
      <c r="E129" s="197">
        <v>3502</v>
      </c>
      <c r="F129" s="196" t="s">
        <v>1385</v>
      </c>
      <c r="G129" s="197" t="s">
        <v>463</v>
      </c>
      <c r="H129" s="288">
        <v>3502022</v>
      </c>
      <c r="I129" s="196" t="s">
        <v>464</v>
      </c>
      <c r="J129" s="602" t="s">
        <v>465</v>
      </c>
      <c r="K129" s="298" t="s">
        <v>466</v>
      </c>
      <c r="L129" s="299" t="s">
        <v>467</v>
      </c>
      <c r="M129" s="289" t="s">
        <v>89</v>
      </c>
      <c r="N129" s="289">
        <v>14</v>
      </c>
      <c r="O129" s="289">
        <v>14</v>
      </c>
      <c r="P129" s="289">
        <v>15</v>
      </c>
      <c r="Q129" s="617" t="s">
        <v>225</v>
      </c>
      <c r="R129" s="613" t="s">
        <v>468</v>
      </c>
      <c r="S129" s="611" t="s">
        <v>469</v>
      </c>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315">
        <f>100000000+89600000-23586667-18000000</f>
        <v>148013333</v>
      </c>
      <c r="AY129" s="33">
        <v>148013333</v>
      </c>
      <c r="AZ129" s="33">
        <v>148013333</v>
      </c>
      <c r="BA129" s="27"/>
      <c r="BB129" s="27"/>
      <c r="BC129" s="27"/>
      <c r="BD129" s="27"/>
      <c r="BE129" s="27"/>
      <c r="BF129" s="27"/>
      <c r="BG129" s="151">
        <f t="shared" si="41"/>
        <v>148013333</v>
      </c>
      <c r="BH129" s="151">
        <f t="shared" si="41"/>
        <v>148013333</v>
      </c>
      <c r="BI129" s="151">
        <f t="shared" si="41"/>
        <v>148013333</v>
      </c>
      <c r="BK129" s="608"/>
    </row>
    <row r="130" spans="1:64" ht="39.75" customHeight="1" x14ac:dyDescent="0.2">
      <c r="A130" s="377"/>
      <c r="B130" s="626"/>
      <c r="C130" s="628"/>
      <c r="D130" s="323"/>
      <c r="E130" s="297">
        <v>3502</v>
      </c>
      <c r="F130" s="196" t="s">
        <v>1385</v>
      </c>
      <c r="G130" s="197" t="s">
        <v>470</v>
      </c>
      <c r="H130" s="288">
        <v>3502047</v>
      </c>
      <c r="I130" s="196" t="s">
        <v>471</v>
      </c>
      <c r="J130" s="602" t="s">
        <v>472</v>
      </c>
      <c r="K130" s="298" t="s">
        <v>473</v>
      </c>
      <c r="L130" s="299" t="s">
        <v>474</v>
      </c>
      <c r="M130" s="197" t="s">
        <v>179</v>
      </c>
      <c r="N130" s="197">
        <v>1</v>
      </c>
      <c r="O130" s="197">
        <v>0.3</v>
      </c>
      <c r="P130" s="197">
        <v>0.3</v>
      </c>
      <c r="Q130" s="617"/>
      <c r="R130" s="613"/>
      <c r="S130" s="611"/>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315">
        <f>20000000+23586667</f>
        <v>43586667</v>
      </c>
      <c r="AY130" s="33">
        <v>17400000</v>
      </c>
      <c r="AZ130" s="33">
        <v>17400000</v>
      </c>
      <c r="BA130" s="27"/>
      <c r="BB130" s="27"/>
      <c r="BC130" s="27"/>
      <c r="BD130" s="27"/>
      <c r="BE130" s="27"/>
      <c r="BF130" s="27"/>
      <c r="BG130" s="151">
        <f t="shared" si="41"/>
        <v>43586667</v>
      </c>
      <c r="BH130" s="151">
        <f t="shared" si="41"/>
        <v>17400000</v>
      </c>
      <c r="BI130" s="151">
        <f t="shared" si="41"/>
        <v>17400000</v>
      </c>
      <c r="BK130" s="608"/>
    </row>
    <row r="131" spans="1:64" ht="62.25" customHeight="1" x14ac:dyDescent="0.2">
      <c r="A131" s="377"/>
      <c r="B131" s="626"/>
      <c r="C131" s="628"/>
      <c r="D131" s="323"/>
      <c r="E131" s="297">
        <v>3502</v>
      </c>
      <c r="F131" s="196" t="s">
        <v>1428</v>
      </c>
      <c r="G131" s="197" t="s">
        <v>475</v>
      </c>
      <c r="H131" s="288">
        <v>3502039</v>
      </c>
      <c r="I131" s="196" t="s">
        <v>476</v>
      </c>
      <c r="J131" s="601" t="s">
        <v>477</v>
      </c>
      <c r="K131" s="197" t="s">
        <v>478</v>
      </c>
      <c r="L131" s="196" t="s">
        <v>291</v>
      </c>
      <c r="M131" s="197" t="s">
        <v>89</v>
      </c>
      <c r="N131" s="197">
        <v>12</v>
      </c>
      <c r="O131" s="197">
        <v>12</v>
      </c>
      <c r="P131" s="197">
        <v>12</v>
      </c>
      <c r="Q131" s="617" t="s">
        <v>225</v>
      </c>
      <c r="R131" s="613" t="s">
        <v>479</v>
      </c>
      <c r="S131" s="611" t="s">
        <v>1404</v>
      </c>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33">
        <f>434485000-14600000-236245001-43639999+93839999</f>
        <v>233839999</v>
      </c>
      <c r="AY131" s="177">
        <v>233839999</v>
      </c>
      <c r="AZ131" s="177">
        <v>233839999</v>
      </c>
      <c r="BA131" s="27"/>
      <c r="BB131" s="27"/>
      <c r="BC131" s="27"/>
      <c r="BD131" s="27"/>
      <c r="BE131" s="27"/>
      <c r="BF131" s="27"/>
      <c r="BG131" s="151">
        <f t="shared" si="41"/>
        <v>233839999</v>
      </c>
      <c r="BH131" s="151">
        <f t="shared" ref="BH131:BI133" si="42">+U131+X131+AA131+AD131+AG131+AJ131+AM131+AP131+AS131+AV131+AY131+BB131+BE131</f>
        <v>233839999</v>
      </c>
      <c r="BI131" s="151">
        <f t="shared" si="42"/>
        <v>233839999</v>
      </c>
      <c r="BK131" s="608"/>
    </row>
    <row r="132" spans="1:64" ht="62.25" customHeight="1" x14ac:dyDescent="0.2">
      <c r="A132" s="377"/>
      <c r="B132" s="626"/>
      <c r="C132" s="628"/>
      <c r="D132" s="323"/>
      <c r="E132" s="197">
        <v>3502</v>
      </c>
      <c r="F132" s="196" t="s">
        <v>1428</v>
      </c>
      <c r="G132" s="197" t="s">
        <v>475</v>
      </c>
      <c r="H132" s="288">
        <v>3502039</v>
      </c>
      <c r="I132" s="196" t="s">
        <v>476</v>
      </c>
      <c r="J132" s="602" t="s">
        <v>481</v>
      </c>
      <c r="K132" s="298" t="s">
        <v>482</v>
      </c>
      <c r="L132" s="299" t="s">
        <v>483</v>
      </c>
      <c r="M132" s="197" t="s">
        <v>179</v>
      </c>
      <c r="N132" s="197">
        <v>6</v>
      </c>
      <c r="O132" s="197">
        <v>1</v>
      </c>
      <c r="P132" s="197">
        <v>2</v>
      </c>
      <c r="Q132" s="617"/>
      <c r="R132" s="613"/>
      <c r="S132" s="611"/>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33">
        <f>236245001-87757502-61320062+18000000</f>
        <v>105167437</v>
      </c>
      <c r="AY132" s="177">
        <v>55000000</v>
      </c>
      <c r="AZ132" s="177">
        <v>55000000</v>
      </c>
      <c r="BA132" s="27"/>
      <c r="BB132" s="27"/>
      <c r="BC132" s="27"/>
      <c r="BD132" s="27"/>
      <c r="BE132" s="27"/>
      <c r="BF132" s="27"/>
      <c r="BG132" s="151">
        <f t="shared" si="41"/>
        <v>105167437</v>
      </c>
      <c r="BH132" s="151">
        <f t="shared" si="42"/>
        <v>55000000</v>
      </c>
      <c r="BI132" s="151">
        <f t="shared" si="42"/>
        <v>55000000</v>
      </c>
      <c r="BK132" s="608"/>
    </row>
    <row r="133" spans="1:64" ht="56.25" customHeight="1" x14ac:dyDescent="0.2">
      <c r="A133" s="377"/>
      <c r="B133" s="626"/>
      <c r="C133" s="628"/>
      <c r="D133" s="323"/>
      <c r="E133" s="197">
        <v>3502</v>
      </c>
      <c r="F133" s="196" t="s">
        <v>1385</v>
      </c>
      <c r="G133" s="197" t="s">
        <v>470</v>
      </c>
      <c r="H133" s="288">
        <v>3502047</v>
      </c>
      <c r="I133" s="196" t="s">
        <v>471</v>
      </c>
      <c r="J133" s="601" t="s">
        <v>472</v>
      </c>
      <c r="K133" s="197" t="s">
        <v>473</v>
      </c>
      <c r="L133" s="196" t="s">
        <v>474</v>
      </c>
      <c r="M133" s="197" t="s">
        <v>179</v>
      </c>
      <c r="N133" s="197">
        <v>1</v>
      </c>
      <c r="O133" s="197">
        <v>0.3</v>
      </c>
      <c r="P133" s="197">
        <v>0.3</v>
      </c>
      <c r="Q133" s="617"/>
      <c r="R133" s="613"/>
      <c r="S133" s="611"/>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33">
        <f>36519937-32519937</f>
        <v>4000000</v>
      </c>
      <c r="AY133" s="177">
        <v>2000000</v>
      </c>
      <c r="AZ133" s="177">
        <v>2000000</v>
      </c>
      <c r="BA133" s="27"/>
      <c r="BB133" s="27"/>
      <c r="BC133" s="27"/>
      <c r="BD133" s="27"/>
      <c r="BE133" s="27"/>
      <c r="BF133" s="27"/>
      <c r="BG133" s="151">
        <f t="shared" si="41"/>
        <v>4000000</v>
      </c>
      <c r="BH133" s="151">
        <f t="shared" si="42"/>
        <v>2000000</v>
      </c>
      <c r="BI133" s="151">
        <f t="shared" si="42"/>
        <v>2000000</v>
      </c>
      <c r="BK133" s="608"/>
    </row>
    <row r="134" spans="1:64" s="182" customFormat="1" ht="90.75" customHeight="1" x14ac:dyDescent="0.25">
      <c r="A134" s="391"/>
      <c r="B134" s="626"/>
      <c r="C134" s="628"/>
      <c r="D134" s="323"/>
      <c r="E134" s="197">
        <v>3502</v>
      </c>
      <c r="F134" s="292" t="s">
        <v>1428</v>
      </c>
      <c r="G134" s="293" t="s">
        <v>484</v>
      </c>
      <c r="H134" s="288">
        <v>3502046</v>
      </c>
      <c r="I134" s="196" t="s">
        <v>485</v>
      </c>
      <c r="J134" s="197" t="s">
        <v>486</v>
      </c>
      <c r="K134" s="197" t="s">
        <v>487</v>
      </c>
      <c r="L134" s="196" t="s">
        <v>488</v>
      </c>
      <c r="M134" s="197" t="s">
        <v>179</v>
      </c>
      <c r="N134" s="197">
        <v>4</v>
      </c>
      <c r="O134" s="197">
        <v>1</v>
      </c>
      <c r="P134" s="197">
        <v>1</v>
      </c>
      <c r="Q134" s="292" t="s">
        <v>225</v>
      </c>
      <c r="R134" s="305" t="s">
        <v>489</v>
      </c>
      <c r="S134" s="306" t="s">
        <v>1429</v>
      </c>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33">
        <v>416718731</v>
      </c>
      <c r="AY134" s="33"/>
      <c r="AZ134" s="33"/>
      <c r="BA134" s="45">
        <f>291845334+22109904.85+232026666-29104000</f>
        <v>516877904.85000002</v>
      </c>
      <c r="BB134" s="45">
        <f>'[4]F-PLA-47 Metas Producto Turismo'!$R$27+'[4]F-PLA-47 Metas Producto Turismo'!$R$28+'[4]F-PLA-47 Metas Producto Turismo'!$R$30</f>
        <v>283654552</v>
      </c>
      <c r="BC134" s="45">
        <f>'[4]F-PLA-47 Metas Producto Turismo'!$R$27+'[4]F-PLA-47 Metas Producto Turismo'!$R$28+'[4]F-PLA-47 Metas Producto Turismo'!$R$30</f>
        <v>283654552</v>
      </c>
      <c r="BD134" s="45"/>
      <c r="BE134" s="45"/>
      <c r="BF134" s="45"/>
      <c r="BG134" s="151">
        <f t="shared" si="41"/>
        <v>933596635.85000002</v>
      </c>
      <c r="BH134" s="151">
        <f t="shared" si="41"/>
        <v>283654552</v>
      </c>
      <c r="BI134" s="151">
        <f t="shared" si="41"/>
        <v>283654552</v>
      </c>
      <c r="BJ134" s="489"/>
      <c r="BK134" s="608"/>
      <c r="BL134" s="489"/>
    </row>
    <row r="135" spans="1:64" ht="18.75" customHeight="1" x14ac:dyDescent="0.2">
      <c r="A135" s="377"/>
      <c r="B135" s="626"/>
      <c r="C135" s="308">
        <v>28</v>
      </c>
      <c r="D135" s="149">
        <v>3602</v>
      </c>
      <c r="E135" s="308" t="s">
        <v>491</v>
      </c>
      <c r="F135" s="145"/>
      <c r="G135" s="146"/>
      <c r="H135" s="147"/>
      <c r="I135" s="145"/>
      <c r="J135" s="146"/>
      <c r="K135" s="146"/>
      <c r="L135" s="145"/>
      <c r="M135" s="148"/>
      <c r="N135" s="148"/>
      <c r="O135" s="146"/>
      <c r="P135" s="146"/>
      <c r="Q135" s="368"/>
      <c r="R135" s="146"/>
      <c r="S135" s="145"/>
      <c r="T135" s="150">
        <f t="shared" ref="T135:BF135" si="43">SUM(T136:T139)</f>
        <v>0</v>
      </c>
      <c r="U135" s="150"/>
      <c r="V135" s="150"/>
      <c r="W135" s="150">
        <f t="shared" si="43"/>
        <v>0</v>
      </c>
      <c r="X135" s="150"/>
      <c r="Y135" s="150"/>
      <c r="Z135" s="150">
        <f t="shared" si="43"/>
        <v>0</v>
      </c>
      <c r="AA135" s="150"/>
      <c r="AB135" s="150"/>
      <c r="AC135" s="150">
        <f t="shared" si="43"/>
        <v>0</v>
      </c>
      <c r="AD135" s="150"/>
      <c r="AE135" s="150"/>
      <c r="AF135" s="150">
        <f t="shared" si="43"/>
        <v>0</v>
      </c>
      <c r="AG135" s="150"/>
      <c r="AH135" s="150"/>
      <c r="AI135" s="150">
        <f t="shared" si="43"/>
        <v>0</v>
      </c>
      <c r="AJ135" s="150"/>
      <c r="AK135" s="150"/>
      <c r="AL135" s="150">
        <f t="shared" si="43"/>
        <v>0</v>
      </c>
      <c r="AM135" s="150"/>
      <c r="AN135" s="150"/>
      <c r="AO135" s="150">
        <f t="shared" si="43"/>
        <v>0</v>
      </c>
      <c r="AP135" s="150"/>
      <c r="AQ135" s="150"/>
      <c r="AR135" s="150">
        <f t="shared" si="43"/>
        <v>0</v>
      </c>
      <c r="AS135" s="150"/>
      <c r="AT135" s="150"/>
      <c r="AU135" s="150">
        <f t="shared" si="43"/>
        <v>0</v>
      </c>
      <c r="AV135" s="150"/>
      <c r="AW135" s="150"/>
      <c r="AX135" s="150">
        <f t="shared" si="43"/>
        <v>1235685000</v>
      </c>
      <c r="AY135" s="150">
        <f t="shared" si="43"/>
        <v>1126359998</v>
      </c>
      <c r="AZ135" s="150">
        <f t="shared" si="43"/>
        <v>1126359998</v>
      </c>
      <c r="BA135" s="150">
        <f t="shared" si="43"/>
        <v>0</v>
      </c>
      <c r="BB135" s="150">
        <f t="shared" si="43"/>
        <v>0</v>
      </c>
      <c r="BC135" s="150">
        <f t="shared" si="43"/>
        <v>0</v>
      </c>
      <c r="BD135" s="150">
        <f t="shared" si="43"/>
        <v>0</v>
      </c>
      <c r="BE135" s="150">
        <f t="shared" si="43"/>
        <v>0</v>
      </c>
      <c r="BF135" s="150">
        <f t="shared" si="43"/>
        <v>0</v>
      </c>
      <c r="BG135" s="150">
        <f>SUM(BG136:BG139)</f>
        <v>1235685000</v>
      </c>
      <c r="BH135" s="150">
        <f>SUM(BH136:BH139)</f>
        <v>1126359998</v>
      </c>
      <c r="BI135" s="150">
        <f>SUM(BI136:BI139)</f>
        <v>1126359998</v>
      </c>
      <c r="BK135" s="608"/>
    </row>
    <row r="136" spans="1:64" ht="99" customHeight="1" x14ac:dyDescent="0.2">
      <c r="A136" s="377"/>
      <c r="B136" s="626"/>
      <c r="C136" s="626"/>
      <c r="D136" s="323"/>
      <c r="E136" s="197">
        <v>3602</v>
      </c>
      <c r="F136" s="196" t="s">
        <v>1385</v>
      </c>
      <c r="G136" s="289" t="s">
        <v>492</v>
      </c>
      <c r="H136" s="197">
        <v>3602018</v>
      </c>
      <c r="I136" s="196" t="s">
        <v>493</v>
      </c>
      <c r="J136" s="289" t="s">
        <v>494</v>
      </c>
      <c r="K136" s="298" t="s">
        <v>1386</v>
      </c>
      <c r="L136" s="299" t="s">
        <v>495</v>
      </c>
      <c r="M136" s="289" t="s">
        <v>179</v>
      </c>
      <c r="N136" s="289">
        <v>14</v>
      </c>
      <c r="O136" s="289">
        <v>3</v>
      </c>
      <c r="P136" s="289">
        <v>3</v>
      </c>
      <c r="Q136" s="627" t="s">
        <v>225</v>
      </c>
      <c r="R136" s="613" t="s">
        <v>496</v>
      </c>
      <c r="S136" s="611" t="s">
        <v>497</v>
      </c>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33">
        <f>160285000+950000000</f>
        <v>1110285000</v>
      </c>
      <c r="AY136" s="33">
        <v>1009000000</v>
      </c>
      <c r="AZ136" s="33">
        <v>1009000000</v>
      </c>
      <c r="BA136" s="27"/>
      <c r="BB136" s="27"/>
      <c r="BC136" s="27"/>
      <c r="BD136" s="27"/>
      <c r="BE136" s="27"/>
      <c r="BF136" s="27"/>
      <c r="BG136" s="151">
        <f>+T136+W136+Z136+AC136+AF136+AI136+AL136+AO136+AR136+AU136+AX136+BA136+BD136</f>
        <v>1110285000</v>
      </c>
      <c r="BH136" s="151">
        <f t="shared" ref="BH136:BI139" si="44">+U136+X136+AA136+AD136+AG136+AJ136+AM136+AP136+AS136+AV136+AY136+BB136+BE136</f>
        <v>1009000000</v>
      </c>
      <c r="BI136" s="151">
        <f t="shared" si="44"/>
        <v>1009000000</v>
      </c>
      <c r="BK136" s="608"/>
    </row>
    <row r="137" spans="1:64" ht="51" customHeight="1" x14ac:dyDescent="0.2">
      <c r="A137" s="377"/>
      <c r="B137" s="626"/>
      <c r="C137" s="626"/>
      <c r="D137" s="323"/>
      <c r="E137" s="197">
        <v>3602</v>
      </c>
      <c r="F137" s="196" t="s">
        <v>1385</v>
      </c>
      <c r="G137" s="289" t="s">
        <v>498</v>
      </c>
      <c r="H137" s="297">
        <v>3602032</v>
      </c>
      <c r="I137" s="196" t="s">
        <v>499</v>
      </c>
      <c r="J137" s="289" t="s">
        <v>500</v>
      </c>
      <c r="K137" s="298" t="s">
        <v>1387</v>
      </c>
      <c r="L137" s="299" t="s">
        <v>501</v>
      </c>
      <c r="M137" s="289" t="s">
        <v>89</v>
      </c>
      <c r="N137" s="289">
        <v>14</v>
      </c>
      <c r="O137" s="289">
        <v>14</v>
      </c>
      <c r="P137" s="289">
        <v>14</v>
      </c>
      <c r="Q137" s="627"/>
      <c r="R137" s="613"/>
      <c r="S137" s="611"/>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33">
        <v>72000000</v>
      </c>
      <c r="AY137" s="33">
        <v>70919998</v>
      </c>
      <c r="AZ137" s="33">
        <v>70919998</v>
      </c>
      <c r="BA137" s="27"/>
      <c r="BB137" s="27"/>
      <c r="BC137" s="27"/>
      <c r="BD137" s="27"/>
      <c r="BE137" s="27"/>
      <c r="BF137" s="27"/>
      <c r="BG137" s="151">
        <f>+T137+W137+Z137+AC137+AF137+AI137+AL137+AO137+AR137+AU137+AX137+BA137+BD137</f>
        <v>72000000</v>
      </c>
      <c r="BH137" s="151">
        <f t="shared" si="44"/>
        <v>70919998</v>
      </c>
      <c r="BI137" s="151">
        <f t="shared" si="44"/>
        <v>70919998</v>
      </c>
      <c r="BK137" s="608"/>
    </row>
    <row r="138" spans="1:64" ht="51" customHeight="1" x14ac:dyDescent="0.2">
      <c r="A138" s="377"/>
      <c r="B138" s="626"/>
      <c r="C138" s="626"/>
      <c r="D138" s="323"/>
      <c r="E138" s="197">
        <v>3602</v>
      </c>
      <c r="F138" s="196" t="s">
        <v>1385</v>
      </c>
      <c r="G138" s="289" t="s">
        <v>502</v>
      </c>
      <c r="H138" s="297">
        <v>3602029</v>
      </c>
      <c r="I138" s="196" t="s">
        <v>1430</v>
      </c>
      <c r="J138" s="289" t="s">
        <v>503</v>
      </c>
      <c r="K138" s="298" t="s">
        <v>1388</v>
      </c>
      <c r="L138" s="299" t="s">
        <v>504</v>
      </c>
      <c r="M138" s="289" t="s">
        <v>179</v>
      </c>
      <c r="N138" s="289">
        <v>42</v>
      </c>
      <c r="O138" s="289">
        <v>5</v>
      </c>
      <c r="P138" s="289">
        <v>5</v>
      </c>
      <c r="Q138" s="627"/>
      <c r="R138" s="613"/>
      <c r="S138" s="611"/>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33">
        <v>34400000</v>
      </c>
      <c r="AY138" s="33">
        <v>34400000</v>
      </c>
      <c r="AZ138" s="33">
        <v>34400000</v>
      </c>
      <c r="BA138" s="27"/>
      <c r="BB138" s="27"/>
      <c r="BC138" s="27"/>
      <c r="BD138" s="27"/>
      <c r="BE138" s="27"/>
      <c r="BF138" s="27"/>
      <c r="BG138" s="151">
        <f>+T138+W138+Z138+AC138+AF138+AI138+AL138+AO138+AR138+AU138+AX138+BA138+BD138</f>
        <v>34400000</v>
      </c>
      <c r="BH138" s="151">
        <f t="shared" si="44"/>
        <v>34400000</v>
      </c>
      <c r="BI138" s="151">
        <f t="shared" si="44"/>
        <v>34400000</v>
      </c>
      <c r="BK138" s="608"/>
    </row>
    <row r="139" spans="1:64" ht="51" customHeight="1" x14ac:dyDescent="0.2">
      <c r="A139" s="378"/>
      <c r="B139" s="626"/>
      <c r="C139" s="626"/>
      <c r="D139" s="323"/>
      <c r="E139" s="197">
        <v>3602</v>
      </c>
      <c r="F139" s="196" t="s">
        <v>1385</v>
      </c>
      <c r="G139" s="289" t="s">
        <v>505</v>
      </c>
      <c r="H139" s="297">
        <v>3602030</v>
      </c>
      <c r="I139" s="196" t="s">
        <v>506</v>
      </c>
      <c r="J139" s="289" t="s">
        <v>507</v>
      </c>
      <c r="K139" s="298" t="s">
        <v>508</v>
      </c>
      <c r="L139" s="299" t="s">
        <v>509</v>
      </c>
      <c r="M139" s="294" t="s">
        <v>179</v>
      </c>
      <c r="N139" s="197">
        <v>12</v>
      </c>
      <c r="O139" s="197">
        <v>1</v>
      </c>
      <c r="P139" s="197">
        <v>1</v>
      </c>
      <c r="Q139" s="627"/>
      <c r="R139" s="613"/>
      <c r="S139" s="611"/>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33">
        <v>19000000</v>
      </c>
      <c r="AY139" s="33">
        <v>12040000</v>
      </c>
      <c r="AZ139" s="33">
        <v>12040000</v>
      </c>
      <c r="BA139" s="27"/>
      <c r="BB139" s="27"/>
      <c r="BC139" s="27"/>
      <c r="BD139" s="27"/>
      <c r="BE139" s="27"/>
      <c r="BF139" s="27"/>
      <c r="BG139" s="151">
        <f>+T139+W139+Z139+AC139+AF139+AI139+AL139+AO139+AR139+AU139+AX139+BA139+BD139</f>
        <v>19000000</v>
      </c>
      <c r="BH139" s="151">
        <f t="shared" si="44"/>
        <v>12040000</v>
      </c>
      <c r="BI139" s="151">
        <f t="shared" si="44"/>
        <v>12040000</v>
      </c>
      <c r="BK139" s="608"/>
    </row>
    <row r="140" spans="1:64" ht="17.25" customHeight="1" x14ac:dyDescent="0.2">
      <c r="A140" s="183" t="s">
        <v>510</v>
      </c>
      <c r="B140" s="183"/>
      <c r="C140" s="183"/>
      <c r="D140" s="184"/>
      <c r="E140" s="184"/>
      <c r="F140" s="185"/>
      <c r="G140" s="186"/>
      <c r="H140" s="135"/>
      <c r="I140" s="185"/>
      <c r="J140" s="186"/>
      <c r="K140" s="186"/>
      <c r="L140" s="185"/>
      <c r="M140" s="135"/>
      <c r="N140" s="135"/>
      <c r="O140" s="186"/>
      <c r="P140" s="186"/>
      <c r="Q140" s="369"/>
      <c r="R140" s="186"/>
      <c r="S140" s="185"/>
      <c r="T140" s="164">
        <f>T141+T172</f>
        <v>0</v>
      </c>
      <c r="U140" s="164"/>
      <c r="V140" s="164"/>
      <c r="W140" s="164">
        <f>W141+W172</f>
        <v>0</v>
      </c>
      <c r="X140" s="164"/>
      <c r="Y140" s="164"/>
      <c r="Z140" s="164">
        <f>Z141+Z172</f>
        <v>0</v>
      </c>
      <c r="AA140" s="164"/>
      <c r="AB140" s="164"/>
      <c r="AC140" s="164">
        <f>AC141+AC172</f>
        <v>0</v>
      </c>
      <c r="AD140" s="164"/>
      <c r="AE140" s="164"/>
      <c r="AF140" s="164">
        <f>AF141+AF172</f>
        <v>0</v>
      </c>
      <c r="AG140" s="164"/>
      <c r="AH140" s="164"/>
      <c r="AI140" s="164">
        <f>AI141+AI172</f>
        <v>0</v>
      </c>
      <c r="AJ140" s="164"/>
      <c r="AK140" s="164"/>
      <c r="AL140" s="164">
        <f>AL141+AL172</f>
        <v>0</v>
      </c>
      <c r="AM140" s="164"/>
      <c r="AN140" s="164"/>
      <c r="AO140" s="164">
        <f>AO141+AO172</f>
        <v>0</v>
      </c>
      <c r="AP140" s="164"/>
      <c r="AQ140" s="164"/>
      <c r="AR140" s="164">
        <f>AR141+AR172</f>
        <v>0</v>
      </c>
      <c r="AS140" s="164"/>
      <c r="AT140" s="164"/>
      <c r="AU140" s="164">
        <f>AU141+AU172</f>
        <v>0</v>
      </c>
      <c r="AV140" s="164"/>
      <c r="AW140" s="164"/>
      <c r="AX140" s="164">
        <f t="shared" ref="AX140:BI140" si="45">AX141+AX172</f>
        <v>1704396659.97</v>
      </c>
      <c r="AY140" s="164">
        <f t="shared" si="45"/>
        <v>922940601</v>
      </c>
      <c r="AZ140" s="164">
        <f t="shared" si="45"/>
        <v>913140601</v>
      </c>
      <c r="BA140" s="164">
        <f t="shared" si="45"/>
        <v>0</v>
      </c>
      <c r="BB140" s="164">
        <f t="shared" si="45"/>
        <v>0</v>
      </c>
      <c r="BC140" s="164">
        <f t="shared" si="45"/>
        <v>0</v>
      </c>
      <c r="BD140" s="164">
        <f t="shared" si="45"/>
        <v>0</v>
      </c>
      <c r="BE140" s="164">
        <f t="shared" si="45"/>
        <v>0</v>
      </c>
      <c r="BF140" s="164">
        <f t="shared" si="45"/>
        <v>0</v>
      </c>
      <c r="BG140" s="164">
        <f t="shared" si="45"/>
        <v>1704396659.97</v>
      </c>
      <c r="BH140" s="164">
        <f t="shared" si="45"/>
        <v>922940601</v>
      </c>
      <c r="BI140" s="164">
        <f t="shared" si="45"/>
        <v>913140601</v>
      </c>
      <c r="BJ140" s="608"/>
      <c r="BK140" s="608"/>
      <c r="BL140" s="608"/>
    </row>
    <row r="141" spans="1:64" ht="17.25" customHeight="1" x14ac:dyDescent="0.2">
      <c r="A141" s="382"/>
      <c r="B141" s="222">
        <v>2</v>
      </c>
      <c r="C141" s="138" t="s">
        <v>2</v>
      </c>
      <c r="D141" s="139"/>
      <c r="E141" s="139"/>
      <c r="F141" s="140"/>
      <c r="G141" s="141"/>
      <c r="H141" s="142"/>
      <c r="I141" s="140"/>
      <c r="J141" s="141"/>
      <c r="K141" s="141"/>
      <c r="L141" s="140"/>
      <c r="M141" s="143"/>
      <c r="N141" s="143"/>
      <c r="O141" s="141"/>
      <c r="P141" s="141"/>
      <c r="Q141" s="370"/>
      <c r="R141" s="141"/>
      <c r="S141" s="140"/>
      <c r="T141" s="144">
        <f>+T142+T154+T156+T159+T161+T163+T166+T169</f>
        <v>0</v>
      </c>
      <c r="U141" s="144"/>
      <c r="V141" s="144"/>
      <c r="W141" s="144">
        <f>+W142+W154+W156+W159+W161+W163+W166+W169</f>
        <v>0</v>
      </c>
      <c r="X141" s="144"/>
      <c r="Y141" s="144"/>
      <c r="Z141" s="144">
        <f>+Z142+Z154+Z156+Z159+Z161+Z163+Z166+Z169</f>
        <v>0</v>
      </c>
      <c r="AA141" s="144"/>
      <c r="AB141" s="144"/>
      <c r="AC141" s="144">
        <f>+AC142+AC154+AC156+AC159+AC161+AC163+AC166+AC169</f>
        <v>0</v>
      </c>
      <c r="AD141" s="144"/>
      <c r="AE141" s="144"/>
      <c r="AF141" s="144">
        <f>+AF142+AF154+AF156+AF159+AF161+AF163+AF166+AF169</f>
        <v>0</v>
      </c>
      <c r="AG141" s="144"/>
      <c r="AH141" s="144"/>
      <c r="AI141" s="144">
        <f>+AI142+AI154+AI156+AI159+AI161+AI163+AI166+AI169</f>
        <v>0</v>
      </c>
      <c r="AJ141" s="144"/>
      <c r="AK141" s="144"/>
      <c r="AL141" s="144">
        <f>+AL142+AL154+AL156+AL159+AL161+AL163+AL166+AL169</f>
        <v>0</v>
      </c>
      <c r="AM141" s="144"/>
      <c r="AN141" s="144"/>
      <c r="AO141" s="144">
        <f>+AO142+AO154+AO156+AO159+AO161+AO163+AO166+AO169</f>
        <v>0</v>
      </c>
      <c r="AP141" s="144"/>
      <c r="AQ141" s="144"/>
      <c r="AR141" s="144">
        <f>+AR142+AR154+AR156+AR159+AR161+AR163+AR166+AR169</f>
        <v>0</v>
      </c>
      <c r="AS141" s="144"/>
      <c r="AT141" s="144"/>
      <c r="AU141" s="144">
        <f>+AU142+AU154+AU156+AU159+AU161+AU163+AU166+AU169</f>
        <v>0</v>
      </c>
      <c r="AV141" s="144"/>
      <c r="AW141" s="144"/>
      <c r="AX141" s="144">
        <f t="shared" ref="AX141:BI141" si="46">+AX142+AX154+AX156+AX159+AX161+AX163+AX166+AX169</f>
        <v>968346792.97000003</v>
      </c>
      <c r="AY141" s="144">
        <f t="shared" si="46"/>
        <v>594971622</v>
      </c>
      <c r="AZ141" s="144">
        <f t="shared" si="46"/>
        <v>594971622</v>
      </c>
      <c r="BA141" s="144">
        <f t="shared" si="46"/>
        <v>0</v>
      </c>
      <c r="BB141" s="144">
        <f t="shared" si="46"/>
        <v>0</v>
      </c>
      <c r="BC141" s="144">
        <f t="shared" si="46"/>
        <v>0</v>
      </c>
      <c r="BD141" s="144">
        <f t="shared" si="46"/>
        <v>0</v>
      </c>
      <c r="BE141" s="144">
        <f t="shared" si="46"/>
        <v>0</v>
      </c>
      <c r="BF141" s="144">
        <f t="shared" si="46"/>
        <v>0</v>
      </c>
      <c r="BG141" s="144">
        <f t="shared" si="46"/>
        <v>968346792.97000003</v>
      </c>
      <c r="BH141" s="144">
        <f t="shared" si="46"/>
        <v>594971622</v>
      </c>
      <c r="BI141" s="144">
        <f t="shared" si="46"/>
        <v>594971622</v>
      </c>
      <c r="BK141" s="608"/>
    </row>
    <row r="142" spans="1:64" ht="17.25" customHeight="1" x14ac:dyDescent="0.2">
      <c r="A142" s="377"/>
      <c r="B142" s="379"/>
      <c r="C142" s="171">
        <v>4</v>
      </c>
      <c r="D142" s="146">
        <v>1702</v>
      </c>
      <c r="E142" s="308" t="s">
        <v>511</v>
      </c>
      <c r="F142" s="145"/>
      <c r="G142" s="146"/>
      <c r="H142" s="147"/>
      <c r="I142" s="145"/>
      <c r="J142" s="146"/>
      <c r="K142" s="146"/>
      <c r="L142" s="145"/>
      <c r="M142" s="148"/>
      <c r="N142" s="148"/>
      <c r="O142" s="146"/>
      <c r="P142" s="146"/>
      <c r="Q142" s="368"/>
      <c r="R142" s="146"/>
      <c r="S142" s="145"/>
      <c r="T142" s="150">
        <f>SUM(T143:T153)</f>
        <v>0</v>
      </c>
      <c r="U142" s="150"/>
      <c r="V142" s="150"/>
      <c r="W142" s="150">
        <f>SUM(W143:W153)</f>
        <v>0</v>
      </c>
      <c r="X142" s="150"/>
      <c r="Y142" s="150"/>
      <c r="Z142" s="150">
        <f>SUM(Z143:Z153)</f>
        <v>0</v>
      </c>
      <c r="AA142" s="150"/>
      <c r="AB142" s="150"/>
      <c r="AC142" s="150">
        <f>SUM(AC143:AC153)</f>
        <v>0</v>
      </c>
      <c r="AD142" s="150"/>
      <c r="AE142" s="150"/>
      <c r="AF142" s="150">
        <f>SUM(AF143:AF153)</f>
        <v>0</v>
      </c>
      <c r="AG142" s="150"/>
      <c r="AH142" s="150"/>
      <c r="AI142" s="150">
        <f>SUM(AI143:AI153)</f>
        <v>0</v>
      </c>
      <c r="AJ142" s="150"/>
      <c r="AK142" s="150"/>
      <c r="AL142" s="150">
        <f>SUM(AL143:AL153)</f>
        <v>0</v>
      </c>
      <c r="AM142" s="150"/>
      <c r="AN142" s="150"/>
      <c r="AO142" s="150">
        <f>SUM(AO143:AO153)</f>
        <v>0</v>
      </c>
      <c r="AP142" s="150"/>
      <c r="AQ142" s="150"/>
      <c r="AR142" s="150">
        <f>SUM(AR143:AR153)</f>
        <v>0</v>
      </c>
      <c r="AS142" s="150"/>
      <c r="AT142" s="150"/>
      <c r="AU142" s="150">
        <f>SUM(AU143:AU153)</f>
        <v>0</v>
      </c>
      <c r="AV142" s="150"/>
      <c r="AW142" s="150"/>
      <c r="AX142" s="150">
        <f t="shared" ref="AX142:BI142" si="47">SUM(AX143:AX153)</f>
        <v>680027523.97000003</v>
      </c>
      <c r="AY142" s="150">
        <f t="shared" si="47"/>
        <v>355571644</v>
      </c>
      <c r="AZ142" s="150">
        <f t="shared" si="47"/>
        <v>355571644</v>
      </c>
      <c r="BA142" s="150">
        <f t="shared" si="47"/>
        <v>0</v>
      </c>
      <c r="BB142" s="150">
        <f t="shared" si="47"/>
        <v>0</v>
      </c>
      <c r="BC142" s="150">
        <f t="shared" si="47"/>
        <v>0</v>
      </c>
      <c r="BD142" s="150">
        <f t="shared" si="47"/>
        <v>0</v>
      </c>
      <c r="BE142" s="150">
        <f t="shared" si="47"/>
        <v>0</v>
      </c>
      <c r="BF142" s="150">
        <f t="shared" si="47"/>
        <v>0</v>
      </c>
      <c r="BG142" s="150">
        <f t="shared" si="47"/>
        <v>680027523.97000003</v>
      </c>
      <c r="BH142" s="150">
        <f t="shared" si="47"/>
        <v>355571644</v>
      </c>
      <c r="BI142" s="150">
        <f t="shared" si="47"/>
        <v>355571644</v>
      </c>
      <c r="BK142" s="608"/>
    </row>
    <row r="143" spans="1:64" ht="66" customHeight="1" x14ac:dyDescent="0.2">
      <c r="A143" s="377"/>
      <c r="B143" s="380"/>
      <c r="C143" s="322"/>
      <c r="D143" s="323"/>
      <c r="E143" s="305">
        <v>1702</v>
      </c>
      <c r="F143" s="306" t="s">
        <v>221</v>
      </c>
      <c r="G143" s="305" t="s">
        <v>512</v>
      </c>
      <c r="H143" s="175">
        <v>1702011</v>
      </c>
      <c r="I143" s="306" t="s">
        <v>513</v>
      </c>
      <c r="J143" s="305" t="s">
        <v>514</v>
      </c>
      <c r="K143" s="305" t="s">
        <v>515</v>
      </c>
      <c r="L143" s="306" t="s">
        <v>516</v>
      </c>
      <c r="M143" s="305" t="s">
        <v>89</v>
      </c>
      <c r="N143" s="305">
        <v>30</v>
      </c>
      <c r="O143" s="175">
        <v>30</v>
      </c>
      <c r="P143" s="288">
        <v>25</v>
      </c>
      <c r="Q143" s="611" t="s">
        <v>225</v>
      </c>
      <c r="R143" s="613" t="s">
        <v>517</v>
      </c>
      <c r="S143" s="611" t="s">
        <v>518</v>
      </c>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512">
        <f>195850000+64199999</f>
        <v>260049999</v>
      </c>
      <c r="AY143" s="512">
        <v>160049999</v>
      </c>
      <c r="AZ143" s="512">
        <v>160049999</v>
      </c>
      <c r="BA143" s="187"/>
      <c r="BB143" s="187"/>
      <c r="BC143" s="187"/>
      <c r="BD143" s="187"/>
      <c r="BE143" s="187"/>
      <c r="BF143" s="187"/>
      <c r="BG143" s="151">
        <f t="shared" ref="BG143:BG153" si="48">+T143+W143+Z143+AC143+AF143+AI143+AL143+AO143+AR143+AU143+AX143+BA143+BD143</f>
        <v>260049999</v>
      </c>
      <c r="BH143" s="151">
        <f t="shared" ref="BH143:BH153" si="49">+U143+X143+AA143+AD143+AG143+AJ143+AM143+AP143+AS143+AV143+AY143+BB143+BE143</f>
        <v>160049999</v>
      </c>
      <c r="BI143" s="151">
        <f t="shared" ref="BI143:BI153" si="50">+V143+Y143+AB143+AE143+AH143+AK143+AN143+AQ143+AT143+AW143+AZ143+BC143+BF143</f>
        <v>160049999</v>
      </c>
      <c r="BK143" s="608"/>
    </row>
    <row r="144" spans="1:64" ht="54.75" customHeight="1" x14ac:dyDescent="0.2">
      <c r="A144" s="377"/>
      <c r="B144" s="380"/>
      <c r="C144" s="322"/>
      <c r="D144" s="323"/>
      <c r="E144" s="305">
        <v>1702</v>
      </c>
      <c r="F144" s="306" t="s">
        <v>221</v>
      </c>
      <c r="G144" s="261" t="s">
        <v>519</v>
      </c>
      <c r="H144" s="175">
        <v>1702007</v>
      </c>
      <c r="I144" s="306" t="s">
        <v>520</v>
      </c>
      <c r="J144" s="261" t="s">
        <v>521</v>
      </c>
      <c r="K144" s="264" t="s">
        <v>522</v>
      </c>
      <c r="L144" s="267" t="s">
        <v>523</v>
      </c>
      <c r="M144" s="314" t="s">
        <v>179</v>
      </c>
      <c r="N144" s="314">
        <v>16</v>
      </c>
      <c r="O144" s="175">
        <v>5</v>
      </c>
      <c r="P144" s="288">
        <v>0</v>
      </c>
      <c r="Q144" s="611"/>
      <c r="R144" s="613"/>
      <c r="S144" s="611"/>
      <c r="T144" s="189"/>
      <c r="U144" s="189"/>
      <c r="V144" s="189"/>
      <c r="W144" s="189"/>
      <c r="X144" s="189"/>
      <c r="Y144" s="189"/>
      <c r="Z144" s="189"/>
      <c r="AA144" s="189"/>
      <c r="AB144" s="189"/>
      <c r="AC144" s="189"/>
      <c r="AD144" s="189"/>
      <c r="AE144" s="189"/>
      <c r="AF144" s="189"/>
      <c r="AG144" s="189"/>
      <c r="AH144" s="189"/>
      <c r="AI144" s="189"/>
      <c r="AJ144" s="189"/>
      <c r="AK144" s="189"/>
      <c r="AL144" s="189"/>
      <c r="AM144" s="189"/>
      <c r="AN144" s="189"/>
      <c r="AO144" s="189"/>
      <c r="AP144" s="189"/>
      <c r="AQ144" s="189"/>
      <c r="AR144" s="189"/>
      <c r="AS144" s="189"/>
      <c r="AT144" s="189"/>
      <c r="AU144" s="189"/>
      <c r="AV144" s="189"/>
      <c r="AW144" s="189"/>
      <c r="AX144" s="512">
        <f>130000000-86255969+85833493.97</f>
        <v>129577524.97</v>
      </c>
      <c r="AY144" s="512"/>
      <c r="AZ144" s="512"/>
      <c r="BA144" s="187"/>
      <c r="BB144" s="187"/>
      <c r="BC144" s="187"/>
      <c r="BD144" s="187"/>
      <c r="BE144" s="187"/>
      <c r="BF144" s="187"/>
      <c r="BG144" s="151">
        <f t="shared" si="48"/>
        <v>129577524.97</v>
      </c>
      <c r="BH144" s="151">
        <f t="shared" si="49"/>
        <v>0</v>
      </c>
      <c r="BI144" s="151">
        <f t="shared" si="50"/>
        <v>0</v>
      </c>
      <c r="BK144" s="608"/>
    </row>
    <row r="145" spans="1:63" ht="104.25" customHeight="1" x14ac:dyDescent="0.2">
      <c r="A145" s="377"/>
      <c r="B145" s="380"/>
      <c r="C145" s="322"/>
      <c r="D145" s="323"/>
      <c r="E145" s="305">
        <v>1702</v>
      </c>
      <c r="F145" s="306" t="s">
        <v>221</v>
      </c>
      <c r="G145" s="261" t="s">
        <v>524</v>
      </c>
      <c r="H145" s="37">
        <v>1702017</v>
      </c>
      <c r="I145" s="306" t="s">
        <v>525</v>
      </c>
      <c r="J145" s="602" t="s">
        <v>526</v>
      </c>
      <c r="K145" s="264" t="s">
        <v>527</v>
      </c>
      <c r="L145" s="267" t="s">
        <v>528</v>
      </c>
      <c r="M145" s="314" t="s">
        <v>179</v>
      </c>
      <c r="N145" s="314">
        <v>2500</v>
      </c>
      <c r="O145" s="305">
        <v>250</v>
      </c>
      <c r="P145" s="197">
        <v>240</v>
      </c>
      <c r="Q145" s="373" t="s">
        <v>529</v>
      </c>
      <c r="R145" s="305" t="s">
        <v>530</v>
      </c>
      <c r="S145" s="306" t="s">
        <v>531</v>
      </c>
      <c r="T145" s="189"/>
      <c r="U145" s="189"/>
      <c r="V145" s="189"/>
      <c r="W145" s="189"/>
      <c r="X145" s="189"/>
      <c r="Y145" s="189"/>
      <c r="Z145" s="189"/>
      <c r="AA145" s="189"/>
      <c r="AB145" s="189"/>
      <c r="AC145" s="189"/>
      <c r="AD145" s="189"/>
      <c r="AE145" s="189"/>
      <c r="AF145" s="189"/>
      <c r="AG145" s="189"/>
      <c r="AH145" s="189"/>
      <c r="AI145" s="189"/>
      <c r="AJ145" s="189"/>
      <c r="AK145" s="189"/>
      <c r="AL145" s="189"/>
      <c r="AM145" s="189"/>
      <c r="AN145" s="189"/>
      <c r="AO145" s="189"/>
      <c r="AP145" s="189"/>
      <c r="AQ145" s="189"/>
      <c r="AR145" s="189"/>
      <c r="AS145" s="189"/>
      <c r="AT145" s="189"/>
      <c r="AU145" s="189"/>
      <c r="AV145" s="189"/>
      <c r="AW145" s="189"/>
      <c r="AX145" s="512">
        <v>110000000</v>
      </c>
      <c r="AY145" s="512">
        <f>'[5]Metas Producto F-PLA-47'!$R$20+'[5]Metas Producto F-PLA-47'!$R$21</f>
        <v>58633332</v>
      </c>
      <c r="AZ145" s="512">
        <f>'[5]Metas Producto F-PLA-47'!$R$20+'[5]Metas Producto F-PLA-47'!$R$21</f>
        <v>58633332</v>
      </c>
      <c r="BA145" s="187"/>
      <c r="BB145" s="187"/>
      <c r="BC145" s="187"/>
      <c r="BD145" s="187"/>
      <c r="BE145" s="187"/>
      <c r="BF145" s="187"/>
      <c r="BG145" s="151">
        <f t="shared" si="48"/>
        <v>110000000</v>
      </c>
      <c r="BH145" s="151">
        <f t="shared" si="49"/>
        <v>58633332</v>
      </c>
      <c r="BI145" s="151">
        <f t="shared" si="50"/>
        <v>58633332</v>
      </c>
      <c r="BK145" s="608"/>
    </row>
    <row r="146" spans="1:63" ht="56.25" customHeight="1" x14ac:dyDescent="0.2">
      <c r="A146" s="377"/>
      <c r="B146" s="380"/>
      <c r="C146" s="322"/>
      <c r="D146" s="323"/>
      <c r="E146" s="305">
        <v>1702</v>
      </c>
      <c r="F146" s="306" t="s">
        <v>221</v>
      </c>
      <c r="G146" s="305" t="s">
        <v>532</v>
      </c>
      <c r="H146" s="175">
        <v>1702038</v>
      </c>
      <c r="I146" s="306" t="s">
        <v>533</v>
      </c>
      <c r="J146" s="305" t="s">
        <v>534</v>
      </c>
      <c r="K146" s="305" t="s">
        <v>535</v>
      </c>
      <c r="L146" s="306" t="s">
        <v>536</v>
      </c>
      <c r="M146" s="261" t="s">
        <v>89</v>
      </c>
      <c r="N146" s="261">
        <v>30</v>
      </c>
      <c r="O146" s="261">
        <v>30</v>
      </c>
      <c r="P146" s="289">
        <v>21</v>
      </c>
      <c r="Q146" s="611" t="s">
        <v>225</v>
      </c>
      <c r="R146" s="613" t="s">
        <v>537</v>
      </c>
      <c r="S146" s="611" t="s">
        <v>538</v>
      </c>
      <c r="T146" s="189"/>
      <c r="U146" s="189"/>
      <c r="V146" s="189"/>
      <c r="W146" s="189"/>
      <c r="X146" s="189"/>
      <c r="Y146" s="189"/>
      <c r="Z146" s="189"/>
      <c r="AA146" s="189"/>
      <c r="AB146" s="189"/>
      <c r="AC146" s="189"/>
      <c r="AD146" s="189"/>
      <c r="AE146" s="189"/>
      <c r="AF146" s="189"/>
      <c r="AG146" s="189"/>
      <c r="AH146" s="189"/>
      <c r="AI146" s="189"/>
      <c r="AJ146" s="189"/>
      <c r="AK146" s="189"/>
      <c r="AL146" s="189"/>
      <c r="AM146" s="189"/>
      <c r="AN146" s="189"/>
      <c r="AO146" s="189"/>
      <c r="AP146" s="189"/>
      <c r="AQ146" s="189"/>
      <c r="AR146" s="189"/>
      <c r="AS146" s="189"/>
      <c r="AT146" s="189"/>
      <c r="AU146" s="189"/>
      <c r="AV146" s="189"/>
      <c r="AW146" s="189"/>
      <c r="AX146" s="512">
        <f>71204155-49804155</f>
        <v>21400000</v>
      </c>
      <c r="AY146" s="512">
        <v>20400000</v>
      </c>
      <c r="AZ146" s="512">
        <v>20400000</v>
      </c>
      <c r="BA146" s="187"/>
      <c r="BB146" s="187"/>
      <c r="BC146" s="187"/>
      <c r="BD146" s="187"/>
      <c r="BE146" s="187"/>
      <c r="BF146" s="187"/>
      <c r="BG146" s="151">
        <f t="shared" si="48"/>
        <v>21400000</v>
      </c>
      <c r="BH146" s="151">
        <f t="shared" si="49"/>
        <v>20400000</v>
      </c>
      <c r="BI146" s="151">
        <f t="shared" si="50"/>
        <v>20400000</v>
      </c>
      <c r="BK146" s="608"/>
    </row>
    <row r="147" spans="1:63" ht="63.75" customHeight="1" x14ac:dyDescent="0.2">
      <c r="A147" s="377"/>
      <c r="B147" s="380"/>
      <c r="C147" s="322"/>
      <c r="D147" s="323"/>
      <c r="E147" s="305">
        <v>1702</v>
      </c>
      <c r="F147" s="306" t="s">
        <v>221</v>
      </c>
      <c r="G147" s="305" t="s">
        <v>532</v>
      </c>
      <c r="H147" s="175">
        <v>1702038</v>
      </c>
      <c r="I147" s="306" t="s">
        <v>533</v>
      </c>
      <c r="J147" s="305" t="s">
        <v>539</v>
      </c>
      <c r="K147" s="305" t="s">
        <v>540</v>
      </c>
      <c r="L147" s="306" t="s">
        <v>541</v>
      </c>
      <c r="M147" s="261" t="s">
        <v>179</v>
      </c>
      <c r="N147" s="261">
        <v>300</v>
      </c>
      <c r="O147" s="261">
        <v>60</v>
      </c>
      <c r="P147" s="289">
        <v>50</v>
      </c>
      <c r="Q147" s="611"/>
      <c r="R147" s="613"/>
      <c r="S147" s="611"/>
      <c r="T147" s="189"/>
      <c r="U147" s="189"/>
      <c r="V147" s="189"/>
      <c r="W147" s="189"/>
      <c r="X147" s="189"/>
      <c r="Y147" s="189"/>
      <c r="Z147" s="189"/>
      <c r="AA147" s="189"/>
      <c r="AB147" s="189"/>
      <c r="AC147" s="189"/>
      <c r="AD147" s="189"/>
      <c r="AE147" s="189"/>
      <c r="AF147" s="189"/>
      <c r="AG147" s="189"/>
      <c r="AH147" s="189"/>
      <c r="AI147" s="189"/>
      <c r="AJ147" s="189"/>
      <c r="AK147" s="189"/>
      <c r="AL147" s="189"/>
      <c r="AM147" s="189"/>
      <c r="AN147" s="189"/>
      <c r="AO147" s="189"/>
      <c r="AP147" s="189"/>
      <c r="AQ147" s="189"/>
      <c r="AR147" s="189"/>
      <c r="AS147" s="189"/>
      <c r="AT147" s="189"/>
      <c r="AU147" s="189"/>
      <c r="AV147" s="189"/>
      <c r="AW147" s="189"/>
      <c r="AX147" s="512">
        <v>40000000</v>
      </c>
      <c r="AY147" s="512">
        <v>39213333</v>
      </c>
      <c r="AZ147" s="512">
        <v>39213333</v>
      </c>
      <c r="BA147" s="187"/>
      <c r="BB147" s="187"/>
      <c r="BC147" s="187"/>
      <c r="BD147" s="187"/>
      <c r="BE147" s="187"/>
      <c r="BF147" s="187"/>
      <c r="BG147" s="151">
        <f t="shared" si="48"/>
        <v>40000000</v>
      </c>
      <c r="BH147" s="151">
        <f t="shared" si="49"/>
        <v>39213333</v>
      </c>
      <c r="BI147" s="151">
        <f t="shared" si="50"/>
        <v>39213333</v>
      </c>
      <c r="BK147" s="608"/>
    </row>
    <row r="148" spans="1:63" ht="74.25" customHeight="1" x14ac:dyDescent="0.2">
      <c r="A148" s="377"/>
      <c r="B148" s="380"/>
      <c r="C148" s="322"/>
      <c r="D148" s="323"/>
      <c r="E148" s="305">
        <v>1702</v>
      </c>
      <c r="F148" s="306" t="s">
        <v>221</v>
      </c>
      <c r="G148" s="305" t="s">
        <v>542</v>
      </c>
      <c r="H148" s="175">
        <v>1702023</v>
      </c>
      <c r="I148" s="306" t="s">
        <v>471</v>
      </c>
      <c r="J148" s="305" t="s">
        <v>543</v>
      </c>
      <c r="K148" s="305" t="s">
        <v>544</v>
      </c>
      <c r="L148" s="306" t="s">
        <v>545</v>
      </c>
      <c r="M148" s="314" t="s">
        <v>89</v>
      </c>
      <c r="N148" s="314">
        <v>1</v>
      </c>
      <c r="O148" s="261">
        <v>1</v>
      </c>
      <c r="P148" s="289">
        <v>1</v>
      </c>
      <c r="Q148" s="611" t="s">
        <v>529</v>
      </c>
      <c r="R148" s="613" t="s">
        <v>1396</v>
      </c>
      <c r="S148" s="612" t="s">
        <v>546</v>
      </c>
      <c r="T148" s="189"/>
      <c r="U148" s="189"/>
      <c r="V148" s="189"/>
      <c r="W148" s="189"/>
      <c r="X148" s="189"/>
      <c r="Y148" s="189"/>
      <c r="Z148" s="189"/>
      <c r="AA148" s="189"/>
      <c r="AB148" s="189"/>
      <c r="AC148" s="189"/>
      <c r="AD148" s="189"/>
      <c r="AE148" s="189"/>
      <c r="AF148" s="189"/>
      <c r="AG148" s="189"/>
      <c r="AH148" s="189"/>
      <c r="AI148" s="189"/>
      <c r="AJ148" s="189"/>
      <c r="AK148" s="189"/>
      <c r="AL148" s="189"/>
      <c r="AM148" s="189"/>
      <c r="AN148" s="189"/>
      <c r="AO148" s="189"/>
      <c r="AP148" s="189"/>
      <c r="AQ148" s="189"/>
      <c r="AR148" s="189"/>
      <c r="AS148" s="189"/>
      <c r="AT148" s="189"/>
      <c r="AU148" s="189"/>
      <c r="AV148" s="189"/>
      <c r="AW148" s="189"/>
      <c r="AX148" s="512">
        <f>50000000-35000000</f>
        <v>15000000</v>
      </c>
      <c r="AY148" s="512">
        <v>14933315</v>
      </c>
      <c r="AZ148" s="512">
        <v>14933315</v>
      </c>
      <c r="BA148" s="187"/>
      <c r="BB148" s="187"/>
      <c r="BC148" s="187"/>
      <c r="BD148" s="187"/>
      <c r="BE148" s="187"/>
      <c r="BF148" s="187"/>
      <c r="BG148" s="151">
        <f t="shared" si="48"/>
        <v>15000000</v>
      </c>
      <c r="BH148" s="151">
        <f t="shared" si="49"/>
        <v>14933315</v>
      </c>
      <c r="BI148" s="151">
        <f t="shared" si="50"/>
        <v>14933315</v>
      </c>
      <c r="BK148" s="608"/>
    </row>
    <row r="149" spans="1:63" ht="83.25" customHeight="1" x14ac:dyDescent="0.2">
      <c r="A149" s="377"/>
      <c r="B149" s="380"/>
      <c r="C149" s="322"/>
      <c r="D149" s="323"/>
      <c r="E149" s="305">
        <v>1702</v>
      </c>
      <c r="F149" s="306" t="s">
        <v>221</v>
      </c>
      <c r="G149" s="261" t="s">
        <v>547</v>
      </c>
      <c r="H149" s="175">
        <v>1702024</v>
      </c>
      <c r="I149" s="306" t="s">
        <v>548</v>
      </c>
      <c r="J149" s="261" t="s">
        <v>549</v>
      </c>
      <c r="K149" s="264" t="s">
        <v>550</v>
      </c>
      <c r="L149" s="267" t="s">
        <v>551</v>
      </c>
      <c r="M149" s="314" t="s">
        <v>89</v>
      </c>
      <c r="N149" s="314">
        <v>12</v>
      </c>
      <c r="O149" s="261">
        <v>12</v>
      </c>
      <c r="P149" s="289">
        <v>12</v>
      </c>
      <c r="Q149" s="611"/>
      <c r="R149" s="613"/>
      <c r="S149" s="612"/>
      <c r="T149" s="189"/>
      <c r="U149" s="189"/>
      <c r="V149" s="189"/>
      <c r="W149" s="189"/>
      <c r="X149" s="189"/>
      <c r="Y149" s="189"/>
      <c r="Z149" s="189"/>
      <c r="AA149" s="189"/>
      <c r="AB149" s="189"/>
      <c r="AC149" s="189"/>
      <c r="AD149" s="189"/>
      <c r="AE149" s="189"/>
      <c r="AF149" s="189"/>
      <c r="AG149" s="189"/>
      <c r="AH149" s="189"/>
      <c r="AI149" s="189"/>
      <c r="AJ149" s="189"/>
      <c r="AK149" s="189"/>
      <c r="AL149" s="189"/>
      <c r="AM149" s="189"/>
      <c r="AN149" s="189"/>
      <c r="AO149" s="189"/>
      <c r="AP149" s="189"/>
      <c r="AQ149" s="189"/>
      <c r="AR149" s="189"/>
      <c r="AS149" s="189"/>
      <c r="AT149" s="189"/>
      <c r="AU149" s="189"/>
      <c r="AV149" s="189"/>
      <c r="AW149" s="189"/>
      <c r="AX149" s="512">
        <f>50000000-15000000</f>
        <v>35000000</v>
      </c>
      <c r="AY149" s="512">
        <v>35000000</v>
      </c>
      <c r="AZ149" s="512">
        <v>35000000</v>
      </c>
      <c r="BA149" s="187"/>
      <c r="BB149" s="187"/>
      <c r="BC149" s="187"/>
      <c r="BD149" s="187"/>
      <c r="BE149" s="187"/>
      <c r="BF149" s="187"/>
      <c r="BG149" s="151">
        <f t="shared" si="48"/>
        <v>35000000</v>
      </c>
      <c r="BH149" s="151">
        <f t="shared" si="49"/>
        <v>35000000</v>
      </c>
      <c r="BI149" s="151">
        <f t="shared" si="50"/>
        <v>35000000</v>
      </c>
      <c r="BK149" s="608"/>
    </row>
    <row r="150" spans="1:63" ht="52.5" customHeight="1" x14ac:dyDescent="0.2">
      <c r="A150" s="377"/>
      <c r="B150" s="380"/>
      <c r="C150" s="322"/>
      <c r="D150" s="323"/>
      <c r="E150" s="305">
        <v>1702</v>
      </c>
      <c r="F150" s="306" t="s">
        <v>221</v>
      </c>
      <c r="G150" s="261" t="s">
        <v>552</v>
      </c>
      <c r="H150" s="175">
        <v>1702014</v>
      </c>
      <c r="I150" s="306" t="s">
        <v>553</v>
      </c>
      <c r="J150" s="261" t="s">
        <v>554</v>
      </c>
      <c r="K150" s="264" t="s">
        <v>555</v>
      </c>
      <c r="L150" s="267" t="s">
        <v>556</v>
      </c>
      <c r="M150" s="261" t="s">
        <v>179</v>
      </c>
      <c r="N150" s="261">
        <v>100</v>
      </c>
      <c r="O150" s="261">
        <v>25</v>
      </c>
      <c r="P150" s="266">
        <v>0</v>
      </c>
      <c r="Q150" s="611" t="s">
        <v>529</v>
      </c>
      <c r="R150" s="613" t="s">
        <v>557</v>
      </c>
      <c r="S150" s="612" t="s">
        <v>558</v>
      </c>
      <c r="T150" s="189"/>
      <c r="U150" s="189"/>
      <c r="V150" s="189"/>
      <c r="W150" s="189"/>
      <c r="X150" s="189"/>
      <c r="Y150" s="189"/>
      <c r="Z150" s="189"/>
      <c r="AA150" s="189"/>
      <c r="AB150" s="189"/>
      <c r="AC150" s="189"/>
      <c r="AD150" s="189"/>
      <c r="AE150" s="189"/>
      <c r="AF150" s="189"/>
      <c r="AG150" s="189"/>
      <c r="AH150" s="189"/>
      <c r="AI150" s="189"/>
      <c r="AJ150" s="189"/>
      <c r="AK150" s="189"/>
      <c r="AL150" s="189"/>
      <c r="AM150" s="189"/>
      <c r="AN150" s="189"/>
      <c r="AO150" s="189"/>
      <c r="AP150" s="189"/>
      <c r="AQ150" s="189"/>
      <c r="AR150" s="189"/>
      <c r="AS150" s="189"/>
      <c r="AT150" s="189"/>
      <c r="AU150" s="189"/>
      <c r="AV150" s="189"/>
      <c r="AW150" s="189"/>
      <c r="AX150" s="512">
        <f>50000000-40000000</f>
        <v>10000000</v>
      </c>
      <c r="AY150" s="512"/>
      <c r="AZ150" s="512"/>
      <c r="BA150" s="187"/>
      <c r="BB150" s="187"/>
      <c r="BC150" s="187"/>
      <c r="BD150" s="187"/>
      <c r="BE150" s="187"/>
      <c r="BF150" s="187"/>
      <c r="BG150" s="151">
        <f t="shared" si="48"/>
        <v>10000000</v>
      </c>
      <c r="BH150" s="151">
        <f t="shared" si="49"/>
        <v>0</v>
      </c>
      <c r="BI150" s="151">
        <f t="shared" si="50"/>
        <v>0</v>
      </c>
      <c r="BK150" s="608"/>
    </row>
    <row r="151" spans="1:63" ht="74.25" customHeight="1" x14ac:dyDescent="0.2">
      <c r="A151" s="377"/>
      <c r="B151" s="380"/>
      <c r="C151" s="322"/>
      <c r="D151" s="323"/>
      <c r="E151" s="305">
        <v>1702</v>
      </c>
      <c r="F151" s="306" t="s">
        <v>221</v>
      </c>
      <c r="G151" s="261" t="s">
        <v>524</v>
      </c>
      <c r="H151" s="175">
        <v>1702017</v>
      </c>
      <c r="I151" s="306" t="s">
        <v>559</v>
      </c>
      <c r="J151" s="602" t="s">
        <v>526</v>
      </c>
      <c r="K151" s="264" t="s">
        <v>527</v>
      </c>
      <c r="L151" s="267" t="s">
        <v>528</v>
      </c>
      <c r="M151" s="314" t="s">
        <v>179</v>
      </c>
      <c r="N151" s="314">
        <v>2500</v>
      </c>
      <c r="O151" s="305">
        <v>250</v>
      </c>
      <c r="P151" s="446">
        <v>0</v>
      </c>
      <c r="Q151" s="611"/>
      <c r="R151" s="613"/>
      <c r="S151" s="612"/>
      <c r="T151" s="189"/>
      <c r="U151" s="189"/>
      <c r="V151" s="189"/>
      <c r="W151" s="189"/>
      <c r="X151" s="189"/>
      <c r="Y151" s="189"/>
      <c r="Z151" s="189"/>
      <c r="AA151" s="189"/>
      <c r="AB151" s="189"/>
      <c r="AC151" s="189"/>
      <c r="AD151" s="189"/>
      <c r="AE151" s="189"/>
      <c r="AF151" s="189"/>
      <c r="AG151" s="189"/>
      <c r="AH151" s="189"/>
      <c r="AI151" s="189"/>
      <c r="AJ151" s="189"/>
      <c r="AK151" s="189"/>
      <c r="AL151" s="189"/>
      <c r="AM151" s="189"/>
      <c r="AN151" s="189"/>
      <c r="AO151" s="189"/>
      <c r="AP151" s="189"/>
      <c r="AQ151" s="189"/>
      <c r="AR151" s="189"/>
      <c r="AS151" s="189"/>
      <c r="AT151" s="189"/>
      <c r="AU151" s="189"/>
      <c r="AV151" s="189"/>
      <c r="AW151" s="189"/>
      <c r="AX151" s="512">
        <v>19000000</v>
      </c>
      <c r="AY151" s="512"/>
      <c r="AZ151" s="512"/>
      <c r="BA151" s="187"/>
      <c r="BB151" s="187"/>
      <c r="BC151" s="187"/>
      <c r="BD151" s="187"/>
      <c r="BE151" s="187"/>
      <c r="BF151" s="187"/>
      <c r="BG151" s="151">
        <f t="shared" si="48"/>
        <v>19000000</v>
      </c>
      <c r="BH151" s="151">
        <f t="shared" si="49"/>
        <v>0</v>
      </c>
      <c r="BI151" s="151">
        <f t="shared" si="50"/>
        <v>0</v>
      </c>
      <c r="BK151" s="608"/>
    </row>
    <row r="152" spans="1:63" ht="61.5" customHeight="1" x14ac:dyDescent="0.2">
      <c r="A152" s="377"/>
      <c r="B152" s="380"/>
      <c r="C152" s="322"/>
      <c r="D152" s="323"/>
      <c r="E152" s="305">
        <v>1702</v>
      </c>
      <c r="F152" s="306" t="s">
        <v>221</v>
      </c>
      <c r="G152" s="261" t="s">
        <v>560</v>
      </c>
      <c r="H152" s="175">
        <v>1702021</v>
      </c>
      <c r="I152" s="306" t="s">
        <v>561</v>
      </c>
      <c r="J152" s="261" t="s">
        <v>562</v>
      </c>
      <c r="K152" s="264" t="s">
        <v>563</v>
      </c>
      <c r="L152" s="267" t="s">
        <v>564</v>
      </c>
      <c r="M152" s="261" t="s">
        <v>179</v>
      </c>
      <c r="N152" s="261">
        <v>500</v>
      </c>
      <c r="O152" s="261">
        <v>50</v>
      </c>
      <c r="P152" s="266">
        <v>0</v>
      </c>
      <c r="Q152" s="611"/>
      <c r="R152" s="613"/>
      <c r="S152" s="612"/>
      <c r="T152" s="189"/>
      <c r="U152" s="189"/>
      <c r="V152" s="189"/>
      <c r="W152" s="189"/>
      <c r="X152" s="189"/>
      <c r="Y152" s="189"/>
      <c r="Z152" s="189"/>
      <c r="AA152" s="189"/>
      <c r="AB152" s="189"/>
      <c r="AC152" s="189"/>
      <c r="AD152" s="189"/>
      <c r="AE152" s="189"/>
      <c r="AF152" s="189"/>
      <c r="AG152" s="189"/>
      <c r="AH152" s="189"/>
      <c r="AI152" s="189"/>
      <c r="AJ152" s="189"/>
      <c r="AK152" s="189"/>
      <c r="AL152" s="189"/>
      <c r="AM152" s="189"/>
      <c r="AN152" s="189"/>
      <c r="AO152" s="189"/>
      <c r="AP152" s="189"/>
      <c r="AQ152" s="189"/>
      <c r="AR152" s="189"/>
      <c r="AS152" s="189"/>
      <c r="AT152" s="189"/>
      <c r="AU152" s="189"/>
      <c r="AV152" s="189"/>
      <c r="AW152" s="189"/>
      <c r="AX152" s="512">
        <v>10000000</v>
      </c>
      <c r="AY152" s="512"/>
      <c r="AZ152" s="512"/>
      <c r="BA152" s="187"/>
      <c r="BB152" s="187"/>
      <c r="BC152" s="187"/>
      <c r="BD152" s="187"/>
      <c r="BE152" s="187"/>
      <c r="BF152" s="187"/>
      <c r="BG152" s="151">
        <f t="shared" si="48"/>
        <v>10000000</v>
      </c>
      <c r="BH152" s="151">
        <f t="shared" si="49"/>
        <v>0</v>
      </c>
      <c r="BI152" s="151">
        <f t="shared" si="50"/>
        <v>0</v>
      </c>
      <c r="BK152" s="608"/>
    </row>
    <row r="153" spans="1:63" ht="67.5" customHeight="1" x14ac:dyDescent="0.2">
      <c r="A153" s="377"/>
      <c r="B153" s="380"/>
      <c r="C153" s="322"/>
      <c r="D153" s="323"/>
      <c r="E153" s="305">
        <v>1702</v>
      </c>
      <c r="F153" s="306" t="s">
        <v>221</v>
      </c>
      <c r="G153" s="261" t="s">
        <v>565</v>
      </c>
      <c r="H153" s="175">
        <v>1702025</v>
      </c>
      <c r="I153" s="306" t="s">
        <v>566</v>
      </c>
      <c r="J153" s="261" t="s">
        <v>567</v>
      </c>
      <c r="K153" s="264" t="s">
        <v>568</v>
      </c>
      <c r="L153" s="267" t="s">
        <v>569</v>
      </c>
      <c r="M153" s="314" t="s">
        <v>179</v>
      </c>
      <c r="N153" s="314">
        <v>100</v>
      </c>
      <c r="O153" s="261">
        <v>25</v>
      </c>
      <c r="P153" s="447">
        <v>25</v>
      </c>
      <c r="Q153" s="365" t="s">
        <v>225</v>
      </c>
      <c r="R153" s="305" t="s">
        <v>570</v>
      </c>
      <c r="S153" s="307" t="s">
        <v>571</v>
      </c>
      <c r="T153" s="189"/>
      <c r="U153" s="189"/>
      <c r="V153" s="189"/>
      <c r="W153" s="189"/>
      <c r="X153" s="189"/>
      <c r="Y153" s="189"/>
      <c r="Z153" s="189"/>
      <c r="AA153" s="189"/>
      <c r="AB153" s="189"/>
      <c r="AC153" s="189"/>
      <c r="AD153" s="189"/>
      <c r="AE153" s="189"/>
      <c r="AF153" s="189"/>
      <c r="AG153" s="189"/>
      <c r="AH153" s="189"/>
      <c r="AI153" s="189"/>
      <c r="AJ153" s="189"/>
      <c r="AK153" s="189"/>
      <c r="AL153" s="189"/>
      <c r="AM153" s="189"/>
      <c r="AN153" s="189"/>
      <c r="AO153" s="189"/>
      <c r="AP153" s="189"/>
      <c r="AQ153" s="189"/>
      <c r="AR153" s="189"/>
      <c r="AS153" s="189"/>
      <c r="AT153" s="189"/>
      <c r="AU153" s="189"/>
      <c r="AV153" s="189"/>
      <c r="AW153" s="189"/>
      <c r="AX153" s="512">
        <v>30000000</v>
      </c>
      <c r="AY153" s="512">
        <v>27341665</v>
      </c>
      <c r="AZ153" s="512">
        <v>27341665</v>
      </c>
      <c r="BA153" s="187"/>
      <c r="BB153" s="187"/>
      <c r="BC153" s="187"/>
      <c r="BD153" s="187"/>
      <c r="BE153" s="187"/>
      <c r="BF153" s="187"/>
      <c r="BG153" s="151">
        <f t="shared" si="48"/>
        <v>30000000</v>
      </c>
      <c r="BH153" s="151">
        <f t="shared" si="49"/>
        <v>27341665</v>
      </c>
      <c r="BI153" s="151">
        <f t="shared" si="50"/>
        <v>27341665</v>
      </c>
      <c r="BK153" s="608"/>
    </row>
    <row r="154" spans="1:63" ht="23.25" customHeight="1" x14ac:dyDescent="0.2">
      <c r="A154" s="377"/>
      <c r="B154" s="380"/>
      <c r="C154" s="171">
        <v>5</v>
      </c>
      <c r="D154" s="146">
        <v>1703</v>
      </c>
      <c r="E154" s="308" t="s">
        <v>572</v>
      </c>
      <c r="F154" s="145"/>
      <c r="G154" s="146"/>
      <c r="H154" s="147"/>
      <c r="I154" s="145"/>
      <c r="J154" s="146"/>
      <c r="K154" s="146"/>
      <c r="L154" s="145"/>
      <c r="M154" s="148"/>
      <c r="N154" s="148"/>
      <c r="O154" s="146"/>
      <c r="P154" s="146"/>
      <c r="Q154" s="368"/>
      <c r="R154" s="146"/>
      <c r="S154" s="145"/>
      <c r="T154" s="150">
        <f>SUM(T155)</f>
        <v>0</v>
      </c>
      <c r="U154" s="150"/>
      <c r="V154" s="150"/>
      <c r="W154" s="150">
        <f>SUM(W155)</f>
        <v>0</v>
      </c>
      <c r="X154" s="150"/>
      <c r="Y154" s="150"/>
      <c r="Z154" s="150">
        <f>SUM(Z155)</f>
        <v>0</v>
      </c>
      <c r="AA154" s="150"/>
      <c r="AB154" s="150"/>
      <c r="AC154" s="150">
        <f>SUM(AC155)</f>
        <v>0</v>
      </c>
      <c r="AD154" s="150"/>
      <c r="AE154" s="150"/>
      <c r="AF154" s="150">
        <f>SUM(AF155)</f>
        <v>0</v>
      </c>
      <c r="AG154" s="150"/>
      <c r="AH154" s="150"/>
      <c r="AI154" s="150">
        <f>SUM(AI155)</f>
        <v>0</v>
      </c>
      <c r="AJ154" s="150"/>
      <c r="AK154" s="150"/>
      <c r="AL154" s="150">
        <f>SUM(AL155)</f>
        <v>0</v>
      </c>
      <c r="AM154" s="150"/>
      <c r="AN154" s="150"/>
      <c r="AO154" s="150">
        <f>SUM(AO155)</f>
        <v>0</v>
      </c>
      <c r="AP154" s="150"/>
      <c r="AQ154" s="150"/>
      <c r="AR154" s="150">
        <f>SUM(AR155)</f>
        <v>0</v>
      </c>
      <c r="AS154" s="150"/>
      <c r="AT154" s="150"/>
      <c r="AU154" s="150">
        <f>SUM(AU155)</f>
        <v>0</v>
      </c>
      <c r="AV154" s="150"/>
      <c r="AW154" s="150"/>
      <c r="AX154" s="150">
        <f>SUM(AX155)</f>
        <v>40000000</v>
      </c>
      <c r="AY154" s="150">
        <f>SUM(AY155)</f>
        <v>15424999</v>
      </c>
      <c r="AZ154" s="150">
        <f>SUM(AZ155)</f>
        <v>15424999</v>
      </c>
      <c r="BA154" s="150">
        <f>SUM(BA155)</f>
        <v>0</v>
      </c>
      <c r="BB154" s="150"/>
      <c r="BC154" s="150"/>
      <c r="BD154" s="150">
        <f>SUM(BD155)</f>
        <v>0</v>
      </c>
      <c r="BE154" s="150"/>
      <c r="BF154" s="150"/>
      <c r="BG154" s="150">
        <f>SUM(BG155)</f>
        <v>40000000</v>
      </c>
      <c r="BH154" s="150">
        <f>SUM(BH155)</f>
        <v>15424999</v>
      </c>
      <c r="BI154" s="150">
        <f>SUM(BI155)</f>
        <v>15424999</v>
      </c>
      <c r="BK154" s="608"/>
    </row>
    <row r="155" spans="1:63" ht="126.75" customHeight="1" x14ac:dyDescent="0.2">
      <c r="A155" s="377"/>
      <c r="B155" s="380"/>
      <c r="C155" s="322"/>
      <c r="D155" s="323"/>
      <c r="E155" s="305">
        <v>1703</v>
      </c>
      <c r="F155" s="306" t="s">
        <v>221</v>
      </c>
      <c r="G155" s="261" t="s">
        <v>573</v>
      </c>
      <c r="H155" s="175">
        <v>1703013</v>
      </c>
      <c r="I155" s="306" t="s">
        <v>574</v>
      </c>
      <c r="J155" s="261" t="s">
        <v>575</v>
      </c>
      <c r="K155" s="264" t="s">
        <v>576</v>
      </c>
      <c r="L155" s="267" t="s">
        <v>577</v>
      </c>
      <c r="M155" s="314" t="s">
        <v>179</v>
      </c>
      <c r="N155" s="202">
        <v>300</v>
      </c>
      <c r="O155" s="266">
        <v>75</v>
      </c>
      <c r="P155" s="289">
        <v>75</v>
      </c>
      <c r="Q155" s="365" t="s">
        <v>529</v>
      </c>
      <c r="R155" s="305" t="s">
        <v>557</v>
      </c>
      <c r="S155" s="307" t="s">
        <v>4</v>
      </c>
      <c r="T155" s="189"/>
      <c r="U155" s="189"/>
      <c r="V155" s="189"/>
      <c r="W155" s="189"/>
      <c r="X155" s="189"/>
      <c r="Y155" s="189"/>
      <c r="Z155" s="189"/>
      <c r="AA155" s="189"/>
      <c r="AB155" s="189"/>
      <c r="AC155" s="189"/>
      <c r="AD155" s="189"/>
      <c r="AE155" s="189"/>
      <c r="AF155" s="189"/>
      <c r="AG155" s="189"/>
      <c r="AH155" s="189"/>
      <c r="AI155" s="189"/>
      <c r="AJ155" s="189"/>
      <c r="AK155" s="189"/>
      <c r="AL155" s="189"/>
      <c r="AM155" s="189"/>
      <c r="AN155" s="189"/>
      <c r="AO155" s="189"/>
      <c r="AP155" s="189"/>
      <c r="AQ155" s="189"/>
      <c r="AR155" s="189"/>
      <c r="AS155" s="189"/>
      <c r="AT155" s="189"/>
      <c r="AU155" s="189"/>
      <c r="AV155" s="189"/>
      <c r="AW155" s="189"/>
      <c r="AX155" s="512">
        <f>90000000-50000000</f>
        <v>40000000</v>
      </c>
      <c r="AY155" s="512">
        <v>15424999</v>
      </c>
      <c r="AZ155" s="512">
        <v>15424999</v>
      </c>
      <c r="BA155" s="187"/>
      <c r="BB155" s="187"/>
      <c r="BC155" s="187"/>
      <c r="BD155" s="187"/>
      <c r="BE155" s="187"/>
      <c r="BF155" s="187"/>
      <c r="BG155" s="151">
        <f>+T155+W155+Z155+AC155+AF155+AI155+AL155+AO155+AR155+AU155+AX155+BA155+BD155</f>
        <v>40000000</v>
      </c>
      <c r="BH155" s="151">
        <f>+U155+X155+AA155+AD155+AG155+AJ155+AM155+AP155+AS155+AV155+AY155+BB155+BE155</f>
        <v>15424999</v>
      </c>
      <c r="BI155" s="151">
        <f>+V155+Y155+AB155+AE155+AH155+AK155+AN155+AQ155+AT155+AW155+AZ155+BC155+BF155</f>
        <v>15424999</v>
      </c>
      <c r="BK155" s="608"/>
    </row>
    <row r="156" spans="1:63" ht="23.25" customHeight="1" x14ac:dyDescent="0.2">
      <c r="A156" s="377"/>
      <c r="B156" s="380"/>
      <c r="C156" s="171">
        <v>6</v>
      </c>
      <c r="D156" s="146">
        <v>1704</v>
      </c>
      <c r="E156" s="308" t="s">
        <v>578</v>
      </c>
      <c r="F156" s="190"/>
      <c r="G156" s="190"/>
      <c r="H156" s="190"/>
      <c r="I156" s="190"/>
      <c r="J156" s="190"/>
      <c r="K156" s="190"/>
      <c r="L156" s="190"/>
      <c r="M156" s="190"/>
      <c r="N156" s="190"/>
      <c r="O156" s="190"/>
      <c r="P156" s="190"/>
      <c r="Q156" s="145"/>
      <c r="R156" s="191"/>
      <c r="S156" s="192"/>
      <c r="T156" s="38">
        <f>SUM(T157:T158)</f>
        <v>0</v>
      </c>
      <c r="U156" s="38"/>
      <c r="V156" s="38"/>
      <c r="W156" s="38">
        <f>SUM(W157:W158)</f>
        <v>0</v>
      </c>
      <c r="X156" s="38"/>
      <c r="Y156" s="38"/>
      <c r="Z156" s="38">
        <f>SUM(Z157:Z158)</f>
        <v>0</v>
      </c>
      <c r="AA156" s="38"/>
      <c r="AB156" s="38"/>
      <c r="AC156" s="38">
        <f>SUM(AC157:AC158)</f>
        <v>0</v>
      </c>
      <c r="AD156" s="38"/>
      <c r="AE156" s="38"/>
      <c r="AF156" s="38">
        <f>SUM(AF157:AF158)</f>
        <v>0</v>
      </c>
      <c r="AG156" s="38"/>
      <c r="AH156" s="38"/>
      <c r="AI156" s="38">
        <f>SUM(AI157:AI158)</f>
        <v>0</v>
      </c>
      <c r="AJ156" s="38"/>
      <c r="AK156" s="38"/>
      <c r="AL156" s="38">
        <f>SUM(AL157:AL158)</f>
        <v>0</v>
      </c>
      <c r="AM156" s="38"/>
      <c r="AN156" s="38"/>
      <c r="AO156" s="38">
        <f>SUM(AO157:AO158)</f>
        <v>0</v>
      </c>
      <c r="AP156" s="38"/>
      <c r="AQ156" s="38"/>
      <c r="AR156" s="38">
        <f>SUM(AR157:AR158)</f>
        <v>0</v>
      </c>
      <c r="AS156" s="38"/>
      <c r="AT156" s="38"/>
      <c r="AU156" s="38">
        <f>SUM(AU157:AU158)</f>
        <v>0</v>
      </c>
      <c r="AV156" s="38"/>
      <c r="AW156" s="38"/>
      <c r="AX156" s="39">
        <f>SUM(AX157:AX158)</f>
        <v>40000000</v>
      </c>
      <c r="AY156" s="39">
        <f>SUM(AY157:AY158)</f>
        <v>39606648</v>
      </c>
      <c r="AZ156" s="39">
        <f>SUM(AZ157:AZ158)</f>
        <v>39606648</v>
      </c>
      <c r="BA156" s="39">
        <f>SUM(BA157:BA158)</f>
        <v>0</v>
      </c>
      <c r="BB156" s="39"/>
      <c r="BC156" s="39"/>
      <c r="BD156" s="39">
        <f>SUM(BD157:BD158)</f>
        <v>0</v>
      </c>
      <c r="BE156" s="39"/>
      <c r="BF156" s="39"/>
      <c r="BG156" s="39">
        <f>SUM(BG157:BG158)</f>
        <v>40000000</v>
      </c>
      <c r="BH156" s="39">
        <f>SUM(BH157:BH158)</f>
        <v>39606648</v>
      </c>
      <c r="BI156" s="39">
        <f>SUM(BI157:BI158)</f>
        <v>39606648</v>
      </c>
      <c r="BK156" s="608"/>
    </row>
    <row r="157" spans="1:63" ht="80.25" customHeight="1" x14ac:dyDescent="0.2">
      <c r="A157" s="377"/>
      <c r="B157" s="395"/>
      <c r="C157" s="330"/>
      <c r="D157" s="314"/>
      <c r="E157" s="314">
        <v>1704</v>
      </c>
      <c r="F157" s="306" t="s">
        <v>221</v>
      </c>
      <c r="G157" s="305" t="s">
        <v>579</v>
      </c>
      <c r="H157" s="175">
        <v>1704002</v>
      </c>
      <c r="I157" s="306" t="s">
        <v>580</v>
      </c>
      <c r="J157" s="305" t="s">
        <v>581</v>
      </c>
      <c r="K157" s="305" t="s">
        <v>582</v>
      </c>
      <c r="L157" s="306" t="s">
        <v>583</v>
      </c>
      <c r="M157" s="261" t="s">
        <v>89</v>
      </c>
      <c r="N157" s="261">
        <v>1</v>
      </c>
      <c r="O157" s="266">
        <v>1</v>
      </c>
      <c r="P157" s="289">
        <v>1</v>
      </c>
      <c r="Q157" s="611" t="s">
        <v>225</v>
      </c>
      <c r="R157" s="613" t="s">
        <v>584</v>
      </c>
      <c r="S157" s="611" t="s">
        <v>585</v>
      </c>
      <c r="T157" s="157"/>
      <c r="U157" s="157"/>
      <c r="V157" s="157"/>
      <c r="W157" s="157"/>
      <c r="X157" s="157"/>
      <c r="Y157" s="157"/>
      <c r="Z157" s="157"/>
      <c r="AA157" s="157"/>
      <c r="AB157" s="157"/>
      <c r="AC157" s="157"/>
      <c r="AD157" s="157"/>
      <c r="AE157" s="157"/>
      <c r="AF157" s="157"/>
      <c r="AG157" s="157"/>
      <c r="AH157" s="157"/>
      <c r="AI157" s="157"/>
      <c r="AJ157" s="157"/>
      <c r="AK157" s="157"/>
      <c r="AL157" s="157"/>
      <c r="AM157" s="157"/>
      <c r="AN157" s="157"/>
      <c r="AO157" s="157"/>
      <c r="AP157" s="157"/>
      <c r="AQ157" s="157"/>
      <c r="AR157" s="157"/>
      <c r="AS157" s="157"/>
      <c r="AT157" s="157"/>
      <c r="AU157" s="157"/>
      <c r="AV157" s="157"/>
      <c r="AW157" s="157"/>
      <c r="AX157" s="505">
        <f>50000000-40364849</f>
        <v>9635151</v>
      </c>
      <c r="AY157" s="505">
        <v>9333333</v>
      </c>
      <c r="AZ157" s="505">
        <v>9333333</v>
      </c>
      <c r="BA157" s="187"/>
      <c r="BB157" s="187"/>
      <c r="BC157" s="187"/>
      <c r="BD157" s="187"/>
      <c r="BE157" s="187"/>
      <c r="BF157" s="187"/>
      <c r="BG157" s="151">
        <f t="shared" ref="BG157:BI158" si="51">+T157+W157+Z157+AC157+AF157+AI157+AL157+AO157+AR157+AU157+AX157+BA157+BD157</f>
        <v>9635151</v>
      </c>
      <c r="BH157" s="151">
        <f t="shared" si="51"/>
        <v>9333333</v>
      </c>
      <c r="BI157" s="151">
        <f t="shared" si="51"/>
        <v>9333333</v>
      </c>
      <c r="BK157" s="608"/>
    </row>
    <row r="158" spans="1:63" ht="57.75" customHeight="1" x14ac:dyDescent="0.2">
      <c r="A158" s="377"/>
      <c r="B158" s="395"/>
      <c r="C158" s="330"/>
      <c r="D158" s="314"/>
      <c r="E158" s="314">
        <v>17041</v>
      </c>
      <c r="F158" s="306" t="s">
        <v>221</v>
      </c>
      <c r="G158" s="305" t="s">
        <v>586</v>
      </c>
      <c r="H158" s="175">
        <v>1704017</v>
      </c>
      <c r="I158" s="306" t="s">
        <v>587</v>
      </c>
      <c r="J158" s="305" t="s">
        <v>588</v>
      </c>
      <c r="K158" s="305" t="s">
        <v>589</v>
      </c>
      <c r="L158" s="306" t="s">
        <v>590</v>
      </c>
      <c r="M158" s="261" t="s">
        <v>179</v>
      </c>
      <c r="N158" s="261">
        <v>500</v>
      </c>
      <c r="O158" s="261">
        <v>50</v>
      </c>
      <c r="P158" s="289">
        <v>50</v>
      </c>
      <c r="Q158" s="611"/>
      <c r="R158" s="613"/>
      <c r="S158" s="611"/>
      <c r="T158" s="157"/>
      <c r="U158" s="157"/>
      <c r="V158" s="157"/>
      <c r="W158" s="157"/>
      <c r="X158" s="157"/>
      <c r="Y158" s="157"/>
      <c r="Z158" s="157"/>
      <c r="AA158" s="157"/>
      <c r="AB158" s="157"/>
      <c r="AC158" s="157"/>
      <c r="AD158" s="157"/>
      <c r="AE158" s="157"/>
      <c r="AF158" s="157"/>
      <c r="AG158" s="157"/>
      <c r="AH158" s="157"/>
      <c r="AI158" s="157"/>
      <c r="AJ158" s="157"/>
      <c r="AK158" s="157"/>
      <c r="AL158" s="157"/>
      <c r="AM158" s="157"/>
      <c r="AN158" s="157"/>
      <c r="AO158" s="157"/>
      <c r="AP158" s="157"/>
      <c r="AQ158" s="157"/>
      <c r="AR158" s="157"/>
      <c r="AS158" s="157"/>
      <c r="AT158" s="157"/>
      <c r="AU158" s="157"/>
      <c r="AV158" s="157"/>
      <c r="AW158" s="157"/>
      <c r="AX158" s="505">
        <v>30364849</v>
      </c>
      <c r="AY158" s="505">
        <v>30273315</v>
      </c>
      <c r="AZ158" s="505">
        <v>30273315</v>
      </c>
      <c r="BA158" s="187"/>
      <c r="BB158" s="187"/>
      <c r="BC158" s="187"/>
      <c r="BD158" s="187"/>
      <c r="BE158" s="187"/>
      <c r="BF158" s="187"/>
      <c r="BG158" s="151">
        <f t="shared" si="51"/>
        <v>30364849</v>
      </c>
      <c r="BH158" s="151">
        <f t="shared" si="51"/>
        <v>30273315</v>
      </c>
      <c r="BI158" s="151">
        <f t="shared" si="51"/>
        <v>30273315</v>
      </c>
      <c r="BK158" s="608"/>
    </row>
    <row r="159" spans="1:63" ht="24" customHeight="1" x14ac:dyDescent="0.2">
      <c r="A159" s="377"/>
      <c r="B159" s="380"/>
      <c r="C159" s="171">
        <v>7</v>
      </c>
      <c r="D159" s="146">
        <v>1706</v>
      </c>
      <c r="E159" s="308" t="s">
        <v>591</v>
      </c>
      <c r="F159" s="145"/>
      <c r="G159" s="146"/>
      <c r="H159" s="147"/>
      <c r="I159" s="145"/>
      <c r="J159" s="146"/>
      <c r="K159" s="146"/>
      <c r="L159" s="145"/>
      <c r="M159" s="148"/>
      <c r="N159" s="148"/>
      <c r="O159" s="146"/>
      <c r="P159" s="146"/>
      <c r="Q159" s="368"/>
      <c r="R159" s="146"/>
      <c r="S159" s="145"/>
      <c r="T159" s="150">
        <f>SUM(T160)</f>
        <v>0</v>
      </c>
      <c r="U159" s="150"/>
      <c r="V159" s="150"/>
      <c r="W159" s="150">
        <f>SUM(W160)</f>
        <v>0</v>
      </c>
      <c r="X159" s="150"/>
      <c r="Y159" s="150"/>
      <c r="Z159" s="150">
        <f>SUM(Z160)</f>
        <v>0</v>
      </c>
      <c r="AA159" s="150"/>
      <c r="AB159" s="150"/>
      <c r="AC159" s="150">
        <f>SUM(AC160)</f>
        <v>0</v>
      </c>
      <c r="AD159" s="150"/>
      <c r="AE159" s="150"/>
      <c r="AF159" s="150">
        <f>SUM(AF160)</f>
        <v>0</v>
      </c>
      <c r="AG159" s="150"/>
      <c r="AH159" s="150"/>
      <c r="AI159" s="150">
        <f>SUM(AI160)</f>
        <v>0</v>
      </c>
      <c r="AJ159" s="150"/>
      <c r="AK159" s="150"/>
      <c r="AL159" s="150">
        <f>SUM(AL160)</f>
        <v>0</v>
      </c>
      <c r="AM159" s="150"/>
      <c r="AN159" s="150"/>
      <c r="AO159" s="150">
        <f>SUM(AO160)</f>
        <v>0</v>
      </c>
      <c r="AP159" s="150"/>
      <c r="AQ159" s="150"/>
      <c r="AR159" s="150">
        <f>SUM(AR160)</f>
        <v>0</v>
      </c>
      <c r="AS159" s="150"/>
      <c r="AT159" s="150"/>
      <c r="AU159" s="150">
        <f>SUM(AU160)</f>
        <v>0</v>
      </c>
      <c r="AV159" s="150"/>
      <c r="AW159" s="150"/>
      <c r="AX159" s="150">
        <f>SUM(AX160)</f>
        <v>12800000</v>
      </c>
      <c r="AY159" s="150">
        <f>SUM(AY160)</f>
        <v>5000000</v>
      </c>
      <c r="AZ159" s="150">
        <f>SUM(AZ160)</f>
        <v>5000000</v>
      </c>
      <c r="BA159" s="150">
        <f>SUM(BA160)</f>
        <v>0</v>
      </c>
      <c r="BB159" s="150"/>
      <c r="BC159" s="150"/>
      <c r="BD159" s="150">
        <f>SUM(BD160)</f>
        <v>0</v>
      </c>
      <c r="BE159" s="150"/>
      <c r="BF159" s="150"/>
      <c r="BG159" s="150">
        <f>SUM(BG160)</f>
        <v>12800000</v>
      </c>
      <c r="BH159" s="150">
        <f>SUM(BH160)</f>
        <v>5000000</v>
      </c>
      <c r="BI159" s="150">
        <f>SUM(BI160)</f>
        <v>5000000</v>
      </c>
      <c r="BK159" s="608"/>
    </row>
    <row r="160" spans="1:63" ht="72.75" customHeight="1" x14ac:dyDescent="0.2">
      <c r="A160" s="377"/>
      <c r="B160" s="380"/>
      <c r="C160" s="322"/>
      <c r="D160" s="323"/>
      <c r="E160" s="314">
        <v>1706</v>
      </c>
      <c r="F160" s="306" t="s">
        <v>221</v>
      </c>
      <c r="G160" s="305" t="s">
        <v>592</v>
      </c>
      <c r="H160" s="175">
        <v>1706004</v>
      </c>
      <c r="I160" s="306" t="s">
        <v>593</v>
      </c>
      <c r="J160" s="305" t="s">
        <v>594</v>
      </c>
      <c r="K160" s="305" t="s">
        <v>595</v>
      </c>
      <c r="L160" s="306" t="s">
        <v>596</v>
      </c>
      <c r="M160" s="261" t="s">
        <v>89</v>
      </c>
      <c r="N160" s="261">
        <v>10</v>
      </c>
      <c r="O160" s="261">
        <v>10</v>
      </c>
      <c r="P160" s="289">
        <v>4</v>
      </c>
      <c r="Q160" s="365" t="s">
        <v>225</v>
      </c>
      <c r="R160" s="305" t="s">
        <v>537</v>
      </c>
      <c r="S160" s="306" t="s">
        <v>538</v>
      </c>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505">
        <f>12800000</f>
        <v>12800000</v>
      </c>
      <c r="AY160" s="505">
        <v>5000000</v>
      </c>
      <c r="AZ160" s="505">
        <v>5000000</v>
      </c>
      <c r="BA160" s="187"/>
      <c r="BB160" s="187"/>
      <c r="BC160" s="187"/>
      <c r="BD160" s="187"/>
      <c r="BE160" s="187"/>
      <c r="BF160" s="187"/>
      <c r="BG160" s="151">
        <f>+T160+W160+Z160+AC160+AF160+AI160+AL160+AO160+AR160+AU160+AX160+BA160+BD160</f>
        <v>12800000</v>
      </c>
      <c r="BH160" s="151">
        <f>+U160+X160+AA160+AD160+AG160+AJ160+AM160+AP160+AS160+AV160+AY160+BB160+BE160</f>
        <v>5000000</v>
      </c>
      <c r="BI160" s="151">
        <f>+V160+Y160+AB160+AE160+AH160+AK160+AN160+AQ160+AT160+AW160+AZ160+BC160+BF160</f>
        <v>5000000</v>
      </c>
      <c r="BK160" s="608"/>
    </row>
    <row r="161" spans="1:64" ht="25.5" customHeight="1" x14ac:dyDescent="0.2">
      <c r="A161" s="377"/>
      <c r="B161" s="380"/>
      <c r="C161" s="171">
        <v>8</v>
      </c>
      <c r="D161" s="146">
        <v>1707</v>
      </c>
      <c r="E161" s="308" t="s">
        <v>597</v>
      </c>
      <c r="F161" s="145"/>
      <c r="G161" s="146"/>
      <c r="H161" s="147"/>
      <c r="I161" s="145"/>
      <c r="J161" s="146"/>
      <c r="K161" s="146"/>
      <c r="L161" s="145"/>
      <c r="M161" s="148"/>
      <c r="N161" s="148"/>
      <c r="O161" s="146"/>
      <c r="P161" s="146"/>
      <c r="Q161" s="368"/>
      <c r="R161" s="146"/>
      <c r="S161" s="145"/>
      <c r="T161" s="150">
        <f>SUM(T162)</f>
        <v>0</v>
      </c>
      <c r="U161" s="150"/>
      <c r="V161" s="150"/>
      <c r="W161" s="150">
        <f>SUM(W162)</f>
        <v>0</v>
      </c>
      <c r="X161" s="150"/>
      <c r="Y161" s="150"/>
      <c r="Z161" s="150">
        <f>SUM(Z162)</f>
        <v>0</v>
      </c>
      <c r="AA161" s="150"/>
      <c r="AB161" s="150"/>
      <c r="AC161" s="150">
        <f>SUM(AC162)</f>
        <v>0</v>
      </c>
      <c r="AD161" s="150"/>
      <c r="AE161" s="150"/>
      <c r="AF161" s="150">
        <f>SUM(AF162)</f>
        <v>0</v>
      </c>
      <c r="AG161" s="150"/>
      <c r="AH161" s="150"/>
      <c r="AI161" s="150">
        <f>SUM(AI162)</f>
        <v>0</v>
      </c>
      <c r="AJ161" s="150"/>
      <c r="AK161" s="150"/>
      <c r="AL161" s="150">
        <f>SUM(AL162)</f>
        <v>0</v>
      </c>
      <c r="AM161" s="150"/>
      <c r="AN161" s="150"/>
      <c r="AO161" s="150">
        <f>SUM(AO162)</f>
        <v>0</v>
      </c>
      <c r="AP161" s="150"/>
      <c r="AQ161" s="150"/>
      <c r="AR161" s="150">
        <f>SUM(AR162)</f>
        <v>0</v>
      </c>
      <c r="AS161" s="150"/>
      <c r="AT161" s="150"/>
      <c r="AU161" s="150">
        <f>SUM(AU162)</f>
        <v>0</v>
      </c>
      <c r="AV161" s="150"/>
      <c r="AW161" s="150"/>
      <c r="AX161" s="150">
        <f>SUM(AX162)</f>
        <v>50000000</v>
      </c>
      <c r="AY161" s="150">
        <f>SUM(AY162)</f>
        <v>47223333</v>
      </c>
      <c r="AZ161" s="150">
        <f>SUM(AZ162)</f>
        <v>47223333</v>
      </c>
      <c r="BA161" s="150">
        <f>SUM(BA162)</f>
        <v>0</v>
      </c>
      <c r="BB161" s="150"/>
      <c r="BC161" s="150"/>
      <c r="BD161" s="150">
        <f>SUM(BD162)</f>
        <v>0</v>
      </c>
      <c r="BE161" s="150"/>
      <c r="BF161" s="150"/>
      <c r="BG161" s="150">
        <f>SUM(BG162)</f>
        <v>50000000</v>
      </c>
      <c r="BH161" s="150">
        <f>SUM(BH162)</f>
        <v>47223333</v>
      </c>
      <c r="BI161" s="150">
        <f>SUM(BI162)</f>
        <v>47223333</v>
      </c>
      <c r="BK161" s="608"/>
    </row>
    <row r="162" spans="1:64" ht="97.5" customHeight="1" x14ac:dyDescent="0.2">
      <c r="A162" s="377"/>
      <c r="B162" s="380"/>
      <c r="C162" s="322"/>
      <c r="D162" s="323"/>
      <c r="E162" s="305">
        <v>1707</v>
      </c>
      <c r="F162" s="306" t="s">
        <v>221</v>
      </c>
      <c r="G162" s="305" t="s">
        <v>598</v>
      </c>
      <c r="H162" s="175">
        <v>1707069</v>
      </c>
      <c r="I162" s="306" t="s">
        <v>599</v>
      </c>
      <c r="J162" s="305" t="s">
        <v>600</v>
      </c>
      <c r="K162" s="305" t="s">
        <v>601</v>
      </c>
      <c r="L162" s="306" t="s">
        <v>602</v>
      </c>
      <c r="M162" s="261" t="s">
        <v>179</v>
      </c>
      <c r="N162" s="261">
        <v>20</v>
      </c>
      <c r="O162" s="261">
        <v>5</v>
      </c>
      <c r="P162" s="289">
        <v>5</v>
      </c>
      <c r="Q162" s="365" t="s">
        <v>529</v>
      </c>
      <c r="R162" s="305" t="s">
        <v>1396</v>
      </c>
      <c r="S162" s="307" t="s">
        <v>5</v>
      </c>
      <c r="T162" s="189"/>
      <c r="U162" s="189"/>
      <c r="V162" s="189"/>
      <c r="W162" s="189"/>
      <c r="X162" s="189"/>
      <c r="Y162" s="189"/>
      <c r="Z162" s="189"/>
      <c r="AA162" s="189"/>
      <c r="AB162" s="189"/>
      <c r="AC162" s="189"/>
      <c r="AD162" s="189"/>
      <c r="AE162" s="189"/>
      <c r="AF162" s="189"/>
      <c r="AG162" s="189"/>
      <c r="AH162" s="189"/>
      <c r="AI162" s="189"/>
      <c r="AJ162" s="189"/>
      <c r="AK162" s="189"/>
      <c r="AL162" s="189"/>
      <c r="AM162" s="189"/>
      <c r="AN162" s="189"/>
      <c r="AO162" s="189"/>
      <c r="AP162" s="189"/>
      <c r="AQ162" s="189"/>
      <c r="AR162" s="189"/>
      <c r="AS162" s="189"/>
      <c r="AT162" s="189"/>
      <c r="AU162" s="189"/>
      <c r="AV162" s="189"/>
      <c r="AW162" s="189"/>
      <c r="AX162" s="512">
        <v>50000000</v>
      </c>
      <c r="AY162" s="512">
        <v>47223333</v>
      </c>
      <c r="AZ162" s="512">
        <v>47223333</v>
      </c>
      <c r="BA162" s="187"/>
      <c r="BB162" s="187"/>
      <c r="BC162" s="187"/>
      <c r="BD162" s="187"/>
      <c r="BE162" s="187"/>
      <c r="BF162" s="187"/>
      <c r="BG162" s="151">
        <f>+T162+W162+Z162+AC162+AF162+AI162+AL162+AO162+AR162+AU162+AX162+BA162+BD162</f>
        <v>50000000</v>
      </c>
      <c r="BH162" s="151">
        <f>+U162+X162+AA162+AD162+AG162+AJ162+AM162+AP162+AS162+AV162+AY162+BB162+BE162</f>
        <v>47223333</v>
      </c>
      <c r="BI162" s="151">
        <f>+V162+Y162+AB162+AE162+AH162+AK162+AN162+AQ162+AT162+AW162+AZ162+BC162+BF162</f>
        <v>47223333</v>
      </c>
      <c r="BK162" s="608"/>
    </row>
    <row r="163" spans="1:64" ht="24" customHeight="1" x14ac:dyDescent="0.2">
      <c r="A163" s="377"/>
      <c r="B163" s="380"/>
      <c r="C163" s="171">
        <v>9</v>
      </c>
      <c r="D163" s="146">
        <v>1708</v>
      </c>
      <c r="E163" s="308" t="s">
        <v>603</v>
      </c>
      <c r="F163" s="145"/>
      <c r="G163" s="146"/>
      <c r="H163" s="147"/>
      <c r="I163" s="145"/>
      <c r="J163" s="146"/>
      <c r="K163" s="146"/>
      <c r="L163" s="145"/>
      <c r="M163" s="148"/>
      <c r="N163" s="148"/>
      <c r="O163" s="146"/>
      <c r="P163" s="146"/>
      <c r="Q163" s="368"/>
      <c r="R163" s="146"/>
      <c r="S163" s="145"/>
      <c r="T163" s="150">
        <f>SUM(T164:T164)</f>
        <v>0</v>
      </c>
      <c r="U163" s="150"/>
      <c r="V163" s="150"/>
      <c r="W163" s="150">
        <f>SUM(W164:W164)</f>
        <v>0</v>
      </c>
      <c r="X163" s="150"/>
      <c r="Y163" s="150"/>
      <c r="Z163" s="150">
        <f>SUM(Z164:Z164)</f>
        <v>0</v>
      </c>
      <c r="AA163" s="150"/>
      <c r="AB163" s="150"/>
      <c r="AC163" s="150">
        <f>SUM(AC164:AC164)</f>
        <v>0</v>
      </c>
      <c r="AD163" s="150"/>
      <c r="AE163" s="150"/>
      <c r="AF163" s="150">
        <f>SUM(AF164:AF164)</f>
        <v>0</v>
      </c>
      <c r="AG163" s="150"/>
      <c r="AH163" s="150"/>
      <c r="AI163" s="150">
        <f>SUM(AI164:AI164)</f>
        <v>0</v>
      </c>
      <c r="AJ163" s="150"/>
      <c r="AK163" s="150"/>
      <c r="AL163" s="150">
        <f>SUM(AL164:AL164)</f>
        <v>0</v>
      </c>
      <c r="AM163" s="150"/>
      <c r="AN163" s="150"/>
      <c r="AO163" s="150">
        <f>SUM(AO164:AO164)</f>
        <v>0</v>
      </c>
      <c r="AP163" s="150"/>
      <c r="AQ163" s="150"/>
      <c r="AR163" s="150">
        <f>SUM(AR164:AR164)</f>
        <v>0</v>
      </c>
      <c r="AS163" s="150"/>
      <c r="AT163" s="150"/>
      <c r="AU163" s="150">
        <f>SUM(AU164:AU164)</f>
        <v>0</v>
      </c>
      <c r="AV163" s="150"/>
      <c r="AW163" s="150"/>
      <c r="AX163" s="150">
        <f>SUM(AX164:AX165)</f>
        <v>30519269</v>
      </c>
      <c r="AY163" s="150">
        <f>SUM(AY164:AY165)</f>
        <v>25366665</v>
      </c>
      <c r="AZ163" s="150">
        <f>SUM(AZ164:AZ165)</f>
        <v>25366665</v>
      </c>
      <c r="BA163" s="150">
        <f>SUM(BA164:BA164)</f>
        <v>0</v>
      </c>
      <c r="BB163" s="150"/>
      <c r="BC163" s="150"/>
      <c r="BD163" s="150">
        <f>SUM(BD164:BD164)</f>
        <v>0</v>
      </c>
      <c r="BE163" s="150"/>
      <c r="BF163" s="150"/>
      <c r="BG163" s="150">
        <f>SUM(BG164:BG165)</f>
        <v>30519269</v>
      </c>
      <c r="BH163" s="150">
        <f>SUM(BH164:BH165)</f>
        <v>25366665</v>
      </c>
      <c r="BI163" s="150">
        <f>SUM(BI164:BI165)</f>
        <v>25366665</v>
      </c>
      <c r="BK163" s="608"/>
    </row>
    <row r="164" spans="1:64" s="132" customFormat="1" ht="72.75" customHeight="1" x14ac:dyDescent="0.2">
      <c r="A164" s="392"/>
      <c r="B164" s="394"/>
      <c r="C164" s="339"/>
      <c r="D164" s="335"/>
      <c r="E164" s="297">
        <v>1708</v>
      </c>
      <c r="F164" s="196" t="s">
        <v>221</v>
      </c>
      <c r="G164" s="361" t="s">
        <v>604</v>
      </c>
      <c r="H164" s="288">
        <v>1708016</v>
      </c>
      <c r="I164" s="196" t="s">
        <v>580</v>
      </c>
      <c r="J164" s="361" t="s">
        <v>605</v>
      </c>
      <c r="K164" s="298" t="s">
        <v>606</v>
      </c>
      <c r="L164" s="299" t="s">
        <v>607</v>
      </c>
      <c r="M164" s="361" t="s">
        <v>89</v>
      </c>
      <c r="N164" s="361">
        <v>2</v>
      </c>
      <c r="O164" s="361">
        <v>2</v>
      </c>
      <c r="P164" s="361">
        <v>2</v>
      </c>
      <c r="Q164" s="196" t="s">
        <v>225</v>
      </c>
      <c r="R164" s="338" t="s">
        <v>608</v>
      </c>
      <c r="S164" s="196" t="s">
        <v>609</v>
      </c>
      <c r="T164" s="301"/>
      <c r="U164" s="301"/>
      <c r="V164" s="301"/>
      <c r="W164" s="301"/>
      <c r="X164" s="301"/>
      <c r="Y164" s="301"/>
      <c r="Z164" s="301"/>
      <c r="AA164" s="301"/>
      <c r="AB164" s="301"/>
      <c r="AC164" s="301"/>
      <c r="AD164" s="301"/>
      <c r="AE164" s="301"/>
      <c r="AF164" s="301"/>
      <c r="AG164" s="301"/>
      <c r="AH164" s="301"/>
      <c r="AI164" s="301"/>
      <c r="AJ164" s="301"/>
      <c r="AK164" s="301"/>
      <c r="AL164" s="301"/>
      <c r="AM164" s="301"/>
      <c r="AN164" s="301"/>
      <c r="AO164" s="301"/>
      <c r="AP164" s="301"/>
      <c r="AQ164" s="301"/>
      <c r="AR164" s="301"/>
      <c r="AS164" s="301"/>
      <c r="AT164" s="301"/>
      <c r="AU164" s="301"/>
      <c r="AV164" s="301"/>
      <c r="AW164" s="301"/>
      <c r="AX164" s="513">
        <f>50000000-34480731+15000000-15000000</f>
        <v>15519269</v>
      </c>
      <c r="AY164" s="514">
        <v>10366666</v>
      </c>
      <c r="AZ164" s="514">
        <v>10366666</v>
      </c>
      <c r="BA164" s="260"/>
      <c r="BB164" s="260"/>
      <c r="BC164" s="260"/>
      <c r="BD164" s="260"/>
      <c r="BE164" s="260"/>
      <c r="BF164" s="260"/>
      <c r="BG164" s="259">
        <f t="shared" ref="BG164:BI165" si="52">+T164+W164+Z164+AC164+AF164+AI164+AL164+AO164+AR164+AU164+AX164+BA164+BD164</f>
        <v>15519269</v>
      </c>
      <c r="BH164" s="259">
        <f t="shared" si="52"/>
        <v>10366666</v>
      </c>
      <c r="BI164" s="259">
        <f t="shared" si="52"/>
        <v>10366666</v>
      </c>
      <c r="BJ164" s="178"/>
      <c r="BK164" s="608"/>
      <c r="BL164" s="178"/>
    </row>
    <row r="165" spans="1:64" s="132" customFormat="1" ht="72.75" customHeight="1" x14ac:dyDescent="0.2">
      <c r="A165" s="392"/>
      <c r="B165" s="394"/>
      <c r="C165" s="339"/>
      <c r="D165" s="335"/>
      <c r="E165" s="297">
        <v>1708</v>
      </c>
      <c r="F165" s="196" t="s">
        <v>221</v>
      </c>
      <c r="G165" s="361" t="s">
        <v>1405</v>
      </c>
      <c r="H165" s="288">
        <v>1708051</v>
      </c>
      <c r="I165" s="196" t="s">
        <v>1406</v>
      </c>
      <c r="J165" s="361" t="s">
        <v>1407</v>
      </c>
      <c r="K165" s="298">
        <v>170805100</v>
      </c>
      <c r="L165" s="299" t="s">
        <v>1408</v>
      </c>
      <c r="M165" s="361" t="s">
        <v>89</v>
      </c>
      <c r="N165" s="361">
        <v>1</v>
      </c>
      <c r="O165" s="361">
        <v>1</v>
      </c>
      <c r="P165" s="361">
        <v>1</v>
      </c>
      <c r="Q165" s="196" t="s">
        <v>225</v>
      </c>
      <c r="R165" s="338" t="s">
        <v>608</v>
      </c>
      <c r="S165" s="196" t="s">
        <v>609</v>
      </c>
      <c r="T165" s="301"/>
      <c r="U165" s="301"/>
      <c r="V165" s="301"/>
      <c r="W165" s="301"/>
      <c r="X165" s="301"/>
      <c r="Y165" s="301"/>
      <c r="Z165" s="301"/>
      <c r="AA165" s="301"/>
      <c r="AB165" s="301"/>
      <c r="AC165" s="301"/>
      <c r="AD165" s="301"/>
      <c r="AE165" s="301"/>
      <c r="AF165" s="301"/>
      <c r="AG165" s="301"/>
      <c r="AH165" s="301"/>
      <c r="AI165" s="301"/>
      <c r="AJ165" s="301"/>
      <c r="AK165" s="301"/>
      <c r="AL165" s="301"/>
      <c r="AM165" s="301"/>
      <c r="AN165" s="301"/>
      <c r="AO165" s="301"/>
      <c r="AP165" s="301"/>
      <c r="AQ165" s="301"/>
      <c r="AR165" s="301"/>
      <c r="AS165" s="301"/>
      <c r="AT165" s="301"/>
      <c r="AU165" s="301"/>
      <c r="AV165" s="301"/>
      <c r="AW165" s="301"/>
      <c r="AX165" s="513">
        <v>15000000</v>
      </c>
      <c r="AY165" s="514">
        <v>14999999</v>
      </c>
      <c r="AZ165" s="514">
        <v>14999999</v>
      </c>
      <c r="BA165" s="260"/>
      <c r="BB165" s="260"/>
      <c r="BC165" s="260"/>
      <c r="BD165" s="260"/>
      <c r="BE165" s="260"/>
      <c r="BF165" s="260"/>
      <c r="BG165" s="259">
        <f t="shared" si="52"/>
        <v>15000000</v>
      </c>
      <c r="BH165" s="259">
        <f t="shared" si="52"/>
        <v>14999999</v>
      </c>
      <c r="BI165" s="259">
        <f t="shared" si="52"/>
        <v>14999999</v>
      </c>
      <c r="BJ165" s="178"/>
      <c r="BK165" s="608"/>
      <c r="BL165" s="178"/>
    </row>
    <row r="166" spans="1:64" ht="27.75" customHeight="1" x14ac:dyDescent="0.2">
      <c r="A166" s="377"/>
      <c r="B166" s="380"/>
      <c r="C166" s="171">
        <v>10</v>
      </c>
      <c r="D166" s="146">
        <v>1709</v>
      </c>
      <c r="E166" s="308" t="s">
        <v>220</v>
      </c>
      <c r="F166" s="190"/>
      <c r="G166" s="190"/>
      <c r="H166" s="190"/>
      <c r="I166" s="190"/>
      <c r="J166" s="190"/>
      <c r="K166" s="190"/>
      <c r="L166" s="190"/>
      <c r="M166" s="190"/>
      <c r="N166" s="190"/>
      <c r="O166" s="190"/>
      <c r="P166" s="190"/>
      <c r="Q166" s="145"/>
      <c r="R166" s="190"/>
      <c r="S166" s="192"/>
      <c r="T166" s="38">
        <f>SUM(T167:T168)</f>
        <v>0</v>
      </c>
      <c r="U166" s="38"/>
      <c r="V166" s="38"/>
      <c r="W166" s="38">
        <f>SUM(W167:W168)</f>
        <v>0</v>
      </c>
      <c r="X166" s="38"/>
      <c r="Y166" s="38"/>
      <c r="Z166" s="38">
        <f>SUM(Z167:Z168)</f>
        <v>0</v>
      </c>
      <c r="AA166" s="38"/>
      <c r="AB166" s="38"/>
      <c r="AC166" s="38">
        <f>SUM(AC167:AC168)</f>
        <v>0</v>
      </c>
      <c r="AD166" s="38"/>
      <c r="AE166" s="38"/>
      <c r="AF166" s="38">
        <f>SUM(AF167:AF168)</f>
        <v>0</v>
      </c>
      <c r="AG166" s="38"/>
      <c r="AH166" s="38"/>
      <c r="AI166" s="38">
        <f>SUM(AI167:AI168)</f>
        <v>0</v>
      </c>
      <c r="AJ166" s="38"/>
      <c r="AK166" s="38"/>
      <c r="AL166" s="38">
        <f>SUM(AL167:AL168)</f>
        <v>0</v>
      </c>
      <c r="AM166" s="38"/>
      <c r="AN166" s="38"/>
      <c r="AO166" s="38">
        <f>SUM(AO167:AO168)</f>
        <v>0</v>
      </c>
      <c r="AP166" s="38"/>
      <c r="AQ166" s="38"/>
      <c r="AR166" s="38">
        <f>SUM(AR167:AR168)</f>
        <v>0</v>
      </c>
      <c r="AS166" s="38"/>
      <c r="AT166" s="38"/>
      <c r="AU166" s="38">
        <f>SUM(AU167:AU168)</f>
        <v>0</v>
      </c>
      <c r="AV166" s="38"/>
      <c r="AW166" s="38"/>
      <c r="AX166" s="39">
        <f>SUM(AX167:AX168)</f>
        <v>75000000</v>
      </c>
      <c r="AY166" s="39">
        <f>SUM(AY167:AY168)</f>
        <v>67845000</v>
      </c>
      <c r="AZ166" s="39">
        <f>SUM(AZ167:AZ168)</f>
        <v>67845000</v>
      </c>
      <c r="BA166" s="39">
        <f>SUM(BA167:BA168)</f>
        <v>0</v>
      </c>
      <c r="BB166" s="39"/>
      <c r="BC166" s="39"/>
      <c r="BD166" s="39">
        <f>SUM(BD167:BD168)</f>
        <v>0</v>
      </c>
      <c r="BE166" s="39"/>
      <c r="BF166" s="39"/>
      <c r="BG166" s="39">
        <f>SUM(BG167:BG168)</f>
        <v>75000000</v>
      </c>
      <c r="BH166" s="39">
        <f>SUM(BH167:BH168)</f>
        <v>67845000</v>
      </c>
      <c r="BI166" s="39">
        <f>SUM(BI167:BI168)</f>
        <v>67845000</v>
      </c>
      <c r="BK166" s="608"/>
    </row>
    <row r="167" spans="1:64" s="178" customFormat="1" ht="94.5" customHeight="1" x14ac:dyDescent="0.2">
      <c r="A167" s="386"/>
      <c r="B167" s="396"/>
      <c r="C167" s="340"/>
      <c r="D167" s="202"/>
      <c r="E167" s="202">
        <v>1709</v>
      </c>
      <c r="F167" s="312" t="s">
        <v>221</v>
      </c>
      <c r="G167" s="266" t="s">
        <v>610</v>
      </c>
      <c r="H167" s="175">
        <v>1709019</v>
      </c>
      <c r="I167" s="312" t="s">
        <v>611</v>
      </c>
      <c r="J167" s="266" t="s">
        <v>612</v>
      </c>
      <c r="K167" s="264" t="s">
        <v>613</v>
      </c>
      <c r="L167" s="271" t="s">
        <v>611</v>
      </c>
      <c r="M167" s="266" t="s">
        <v>179</v>
      </c>
      <c r="N167" s="266">
        <v>15</v>
      </c>
      <c r="O167" s="266">
        <v>2</v>
      </c>
      <c r="P167" s="266">
        <v>0</v>
      </c>
      <c r="Q167" s="611" t="s">
        <v>225</v>
      </c>
      <c r="R167" s="613" t="s">
        <v>570</v>
      </c>
      <c r="S167" s="612" t="s">
        <v>614</v>
      </c>
      <c r="T167" s="193"/>
      <c r="U167" s="193"/>
      <c r="V167" s="193"/>
      <c r="W167" s="193"/>
      <c r="X167" s="193"/>
      <c r="Y167" s="193"/>
      <c r="Z167" s="193"/>
      <c r="AA167" s="193"/>
      <c r="AB167" s="193"/>
      <c r="AC167" s="193"/>
      <c r="AD167" s="193"/>
      <c r="AE167" s="193"/>
      <c r="AF167" s="193"/>
      <c r="AG167" s="193"/>
      <c r="AH167" s="193"/>
      <c r="AI167" s="193"/>
      <c r="AJ167" s="193"/>
      <c r="AK167" s="193"/>
      <c r="AL167" s="193"/>
      <c r="AM167" s="193"/>
      <c r="AN167" s="193"/>
      <c r="AO167" s="193"/>
      <c r="AP167" s="193"/>
      <c r="AQ167" s="193"/>
      <c r="AR167" s="193"/>
      <c r="AS167" s="193"/>
      <c r="AT167" s="193"/>
      <c r="AU167" s="193"/>
      <c r="AV167" s="193"/>
      <c r="AW167" s="193"/>
      <c r="AX167" s="505">
        <f>50000000-25000000+25000000</f>
        <v>50000000</v>
      </c>
      <c r="AY167" s="505">
        <v>43451176</v>
      </c>
      <c r="AZ167" s="505">
        <v>43451176</v>
      </c>
      <c r="BA167" s="187"/>
      <c r="BB167" s="187"/>
      <c r="BC167" s="187"/>
      <c r="BD167" s="187"/>
      <c r="BE167" s="187"/>
      <c r="BF167" s="187"/>
      <c r="BG167" s="151">
        <f t="shared" ref="BG167:BI168" si="53">+T167+W167+Z167+AC167+AF167+AI167+AL167+AO167+AR167+AU167+AX167+BA167+BD167</f>
        <v>50000000</v>
      </c>
      <c r="BH167" s="151">
        <f t="shared" si="53"/>
        <v>43451176</v>
      </c>
      <c r="BI167" s="151">
        <f t="shared" si="53"/>
        <v>43451176</v>
      </c>
      <c r="BK167" s="608"/>
    </row>
    <row r="168" spans="1:64" ht="48.75" customHeight="1" x14ac:dyDescent="0.2">
      <c r="A168" s="377"/>
      <c r="B168" s="395"/>
      <c r="C168" s="330"/>
      <c r="D168" s="314"/>
      <c r="E168" s="314">
        <v>1709</v>
      </c>
      <c r="F168" s="306" t="s">
        <v>221</v>
      </c>
      <c r="G168" s="261" t="s">
        <v>615</v>
      </c>
      <c r="H168" s="175">
        <v>1709034</v>
      </c>
      <c r="I168" s="306" t="s">
        <v>616</v>
      </c>
      <c r="J168" s="261" t="s">
        <v>617</v>
      </c>
      <c r="K168" s="264" t="s">
        <v>618</v>
      </c>
      <c r="L168" s="267" t="s">
        <v>616</v>
      </c>
      <c r="M168" s="261" t="s">
        <v>179</v>
      </c>
      <c r="N168" s="261">
        <v>10</v>
      </c>
      <c r="O168" s="261">
        <v>1</v>
      </c>
      <c r="P168" s="289">
        <v>1</v>
      </c>
      <c r="Q168" s="611"/>
      <c r="R168" s="613"/>
      <c r="S168" s="612"/>
      <c r="T168" s="157"/>
      <c r="U168" s="157"/>
      <c r="V168" s="157"/>
      <c r="W168" s="157"/>
      <c r="X168" s="157"/>
      <c r="Y168" s="157"/>
      <c r="Z168" s="157"/>
      <c r="AA168" s="157"/>
      <c r="AB168" s="157"/>
      <c r="AC168" s="157"/>
      <c r="AD168" s="157"/>
      <c r="AE168" s="157"/>
      <c r="AF168" s="157"/>
      <c r="AG168" s="157"/>
      <c r="AH168" s="157"/>
      <c r="AI168" s="157"/>
      <c r="AJ168" s="157"/>
      <c r="AK168" s="157"/>
      <c r="AL168" s="157"/>
      <c r="AM168" s="157"/>
      <c r="AN168" s="157"/>
      <c r="AO168" s="157"/>
      <c r="AP168" s="157"/>
      <c r="AQ168" s="157"/>
      <c r="AR168" s="157"/>
      <c r="AS168" s="157"/>
      <c r="AT168" s="157"/>
      <c r="AU168" s="157"/>
      <c r="AV168" s="157"/>
      <c r="AW168" s="157"/>
      <c r="AX168" s="505">
        <f>50000000-25000000</f>
        <v>25000000</v>
      </c>
      <c r="AY168" s="505">
        <v>24393824</v>
      </c>
      <c r="AZ168" s="505">
        <v>24393824</v>
      </c>
      <c r="BA168" s="187"/>
      <c r="BB168" s="187"/>
      <c r="BC168" s="187"/>
      <c r="BD168" s="187"/>
      <c r="BE168" s="187"/>
      <c r="BF168" s="187"/>
      <c r="BG168" s="151">
        <f t="shared" si="53"/>
        <v>25000000</v>
      </c>
      <c r="BH168" s="151">
        <f t="shared" si="53"/>
        <v>24393824</v>
      </c>
      <c r="BI168" s="151">
        <f t="shared" si="53"/>
        <v>24393824</v>
      </c>
      <c r="BK168" s="608"/>
    </row>
    <row r="169" spans="1:64" ht="23.25" customHeight="1" x14ac:dyDescent="0.2">
      <c r="A169" s="377"/>
      <c r="B169" s="380"/>
      <c r="C169" s="171">
        <v>27</v>
      </c>
      <c r="D169" s="146">
        <v>3502</v>
      </c>
      <c r="E169" s="308" t="s">
        <v>228</v>
      </c>
      <c r="F169" s="145"/>
      <c r="G169" s="146"/>
      <c r="H169" s="147"/>
      <c r="I169" s="145"/>
      <c r="J169" s="146"/>
      <c r="K169" s="146"/>
      <c r="L169" s="145"/>
      <c r="M169" s="148"/>
      <c r="N169" s="148"/>
      <c r="O169" s="146"/>
      <c r="P169" s="146"/>
      <c r="Q169" s="368"/>
      <c r="R169" s="146"/>
      <c r="S169" s="145"/>
      <c r="T169" s="150">
        <f>SUM(T170:T171)</f>
        <v>0</v>
      </c>
      <c r="U169" s="150"/>
      <c r="V169" s="150"/>
      <c r="W169" s="150">
        <f>SUM(W170:W171)</f>
        <v>0</v>
      </c>
      <c r="X169" s="150"/>
      <c r="Y169" s="150"/>
      <c r="Z169" s="150">
        <f>SUM(Z170:Z171)</f>
        <v>0</v>
      </c>
      <c r="AA169" s="150"/>
      <c r="AB169" s="150"/>
      <c r="AC169" s="150">
        <f>SUM(AC170:AC171)</f>
        <v>0</v>
      </c>
      <c r="AD169" s="150"/>
      <c r="AE169" s="150"/>
      <c r="AF169" s="150">
        <f>SUM(AF170:AF171)</f>
        <v>0</v>
      </c>
      <c r="AG169" s="150"/>
      <c r="AH169" s="150"/>
      <c r="AI169" s="150">
        <f>SUM(AI170:AI171)</f>
        <v>0</v>
      </c>
      <c r="AJ169" s="150"/>
      <c r="AK169" s="150"/>
      <c r="AL169" s="150">
        <f>SUM(AL170:AL171)</f>
        <v>0</v>
      </c>
      <c r="AM169" s="150"/>
      <c r="AN169" s="150"/>
      <c r="AO169" s="150">
        <f>SUM(AO170:AO171)</f>
        <v>0</v>
      </c>
      <c r="AP169" s="150"/>
      <c r="AQ169" s="150"/>
      <c r="AR169" s="150">
        <f>SUM(AR170:AR171)</f>
        <v>0</v>
      </c>
      <c r="AS169" s="150"/>
      <c r="AT169" s="150"/>
      <c r="AU169" s="150">
        <f>SUM(AU170:AU171)</f>
        <v>0</v>
      </c>
      <c r="AV169" s="150"/>
      <c r="AW169" s="150"/>
      <c r="AX169" s="150">
        <f>SUM(AX170:AX171)</f>
        <v>40000000</v>
      </c>
      <c r="AY169" s="150">
        <f>SUM(AY170:AY171)</f>
        <v>38933333</v>
      </c>
      <c r="AZ169" s="150">
        <f>SUM(AZ170:AZ171)</f>
        <v>38933333</v>
      </c>
      <c r="BA169" s="150">
        <f>SUM(BA170:BA171)</f>
        <v>0</v>
      </c>
      <c r="BB169" s="150"/>
      <c r="BC169" s="150"/>
      <c r="BD169" s="150">
        <f>SUM(BD170:BD171)</f>
        <v>0</v>
      </c>
      <c r="BE169" s="150"/>
      <c r="BF169" s="150"/>
      <c r="BG169" s="150">
        <f>SUM(BG170:BG171)</f>
        <v>40000000</v>
      </c>
      <c r="BH169" s="150">
        <f>SUM(BH170:BH171)</f>
        <v>38933333</v>
      </c>
      <c r="BI169" s="150">
        <f>SUM(BI170:BI171)</f>
        <v>38933333</v>
      </c>
      <c r="BK169" s="608"/>
    </row>
    <row r="170" spans="1:64" ht="81" customHeight="1" x14ac:dyDescent="0.2">
      <c r="A170" s="377"/>
      <c r="B170" s="380"/>
      <c r="C170" s="324"/>
      <c r="D170" s="305"/>
      <c r="E170" s="305">
        <v>3502</v>
      </c>
      <c r="F170" s="306" t="s">
        <v>619</v>
      </c>
      <c r="G170" s="261" t="s">
        <v>620</v>
      </c>
      <c r="H170" s="175">
        <v>3502017</v>
      </c>
      <c r="I170" s="306" t="s">
        <v>621</v>
      </c>
      <c r="J170" s="261" t="s">
        <v>622</v>
      </c>
      <c r="K170" s="264" t="s">
        <v>623</v>
      </c>
      <c r="L170" s="267" t="s">
        <v>624</v>
      </c>
      <c r="M170" s="261" t="s">
        <v>89</v>
      </c>
      <c r="N170" s="261">
        <v>6</v>
      </c>
      <c r="O170" s="261">
        <v>6</v>
      </c>
      <c r="P170" s="289">
        <v>2</v>
      </c>
      <c r="Q170" s="611" t="s">
        <v>225</v>
      </c>
      <c r="R170" s="613" t="s">
        <v>537</v>
      </c>
      <c r="S170" s="611" t="s">
        <v>538</v>
      </c>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505">
        <v>22138800</v>
      </c>
      <c r="AY170" s="505">
        <v>22138800</v>
      </c>
      <c r="AZ170" s="505">
        <v>22138800</v>
      </c>
      <c r="BA170" s="187"/>
      <c r="BB170" s="187"/>
      <c r="BC170" s="187"/>
      <c r="BD170" s="187"/>
      <c r="BE170" s="187"/>
      <c r="BF170" s="187"/>
      <c r="BG170" s="151">
        <f t="shared" ref="BG170:BI171" si="54">+T170+W170+Z170+AC170+AF170+AI170+AL170+AO170+AR170+AU170+AX170+BA170+BD170</f>
        <v>22138800</v>
      </c>
      <c r="BH170" s="151">
        <f t="shared" si="54"/>
        <v>22138800</v>
      </c>
      <c r="BI170" s="151">
        <f t="shared" si="54"/>
        <v>22138800</v>
      </c>
      <c r="BK170" s="608"/>
    </row>
    <row r="171" spans="1:64" s="137" customFormat="1" ht="54" customHeight="1" x14ac:dyDescent="0.25">
      <c r="A171" s="393"/>
      <c r="B171" s="388"/>
      <c r="C171" s="324"/>
      <c r="D171" s="305"/>
      <c r="E171" s="305">
        <v>3502</v>
      </c>
      <c r="F171" s="306" t="s">
        <v>619</v>
      </c>
      <c r="G171" s="305" t="s">
        <v>459</v>
      </c>
      <c r="H171" s="175">
        <v>3502007</v>
      </c>
      <c r="I171" s="306" t="s">
        <v>625</v>
      </c>
      <c r="J171" s="601" t="s">
        <v>460</v>
      </c>
      <c r="K171" s="305" t="s">
        <v>461</v>
      </c>
      <c r="L171" s="306" t="s">
        <v>462</v>
      </c>
      <c r="M171" s="305" t="s">
        <v>89</v>
      </c>
      <c r="N171" s="305">
        <v>5</v>
      </c>
      <c r="O171" s="305">
        <v>5</v>
      </c>
      <c r="P171" s="197">
        <v>3</v>
      </c>
      <c r="Q171" s="611"/>
      <c r="R171" s="613"/>
      <c r="S171" s="611"/>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505">
        <f>17861200</f>
        <v>17861200</v>
      </c>
      <c r="AY171" s="505">
        <v>16794533</v>
      </c>
      <c r="AZ171" s="505">
        <v>16794533</v>
      </c>
      <c r="BA171" s="187"/>
      <c r="BB171" s="187"/>
      <c r="BC171" s="187"/>
      <c r="BD171" s="187"/>
      <c r="BE171" s="187"/>
      <c r="BF171" s="187"/>
      <c r="BG171" s="151">
        <f t="shared" si="54"/>
        <v>17861200</v>
      </c>
      <c r="BH171" s="151">
        <f t="shared" si="54"/>
        <v>16794533</v>
      </c>
      <c r="BI171" s="151">
        <f t="shared" si="54"/>
        <v>16794533</v>
      </c>
      <c r="BJ171" s="609"/>
      <c r="BK171" s="608"/>
      <c r="BL171" s="609"/>
    </row>
    <row r="172" spans="1:64" ht="24.75" customHeight="1" x14ac:dyDescent="0.2">
      <c r="A172" s="377"/>
      <c r="B172" s="222">
        <v>3</v>
      </c>
      <c r="C172" s="138" t="s">
        <v>3</v>
      </c>
      <c r="D172" s="139"/>
      <c r="E172" s="139"/>
      <c r="F172" s="140"/>
      <c r="G172" s="141"/>
      <c r="H172" s="142"/>
      <c r="I172" s="140"/>
      <c r="J172" s="141"/>
      <c r="K172" s="141"/>
      <c r="L172" s="140"/>
      <c r="M172" s="143"/>
      <c r="N172" s="143"/>
      <c r="O172" s="141"/>
      <c r="P172" s="141"/>
      <c r="Q172" s="370"/>
      <c r="R172" s="141"/>
      <c r="S172" s="140"/>
      <c r="T172" s="144">
        <f>+T173+T175+T181+T183+T185</f>
        <v>0</v>
      </c>
      <c r="U172" s="144"/>
      <c r="V172" s="144"/>
      <c r="W172" s="144">
        <f>+W173+W175+W181+W183+W185</f>
        <v>0</v>
      </c>
      <c r="X172" s="144"/>
      <c r="Y172" s="144"/>
      <c r="Z172" s="144">
        <f>+Z173+Z175+Z181+Z183+Z185</f>
        <v>0</v>
      </c>
      <c r="AA172" s="144"/>
      <c r="AB172" s="144"/>
      <c r="AC172" s="144">
        <f>+AC173+AC175+AC181+AC183+AC185</f>
        <v>0</v>
      </c>
      <c r="AD172" s="144"/>
      <c r="AE172" s="144"/>
      <c r="AF172" s="144">
        <f>+AF173+AF175+AF181+AF183+AF185</f>
        <v>0</v>
      </c>
      <c r="AG172" s="144"/>
      <c r="AH172" s="144"/>
      <c r="AI172" s="144">
        <f>+AI173+AI175+AI181+AI183+AI185</f>
        <v>0</v>
      </c>
      <c r="AJ172" s="144"/>
      <c r="AK172" s="144"/>
      <c r="AL172" s="144">
        <f>+AL173+AL175+AL181+AL183+AL185</f>
        <v>0</v>
      </c>
      <c r="AM172" s="144"/>
      <c r="AN172" s="144"/>
      <c r="AO172" s="144">
        <f>+AO173+AO175+AO181+AO183+AO185</f>
        <v>0</v>
      </c>
      <c r="AP172" s="144"/>
      <c r="AQ172" s="144"/>
      <c r="AR172" s="144">
        <f>+AR173+AR175+AR181+AR183+AR185</f>
        <v>0</v>
      </c>
      <c r="AS172" s="144"/>
      <c r="AT172" s="144"/>
      <c r="AU172" s="144">
        <f>+AU173+AU175+AU181+AU183+AU185</f>
        <v>0</v>
      </c>
      <c r="AV172" s="144"/>
      <c r="AW172" s="144"/>
      <c r="AX172" s="144">
        <f>+AX173+AX175+AX181+AX183+AX185</f>
        <v>736049867</v>
      </c>
      <c r="AY172" s="144">
        <f>+AY173+AY175+AY181+AY183+AY185</f>
        <v>327968979</v>
      </c>
      <c r="AZ172" s="144">
        <f>+AZ173+AZ175+AZ181+AZ183+AZ185</f>
        <v>318168979</v>
      </c>
      <c r="BA172" s="144">
        <f>+BA173+BA175+BA181+BA183+BA185</f>
        <v>0</v>
      </c>
      <c r="BB172" s="144"/>
      <c r="BC172" s="144"/>
      <c r="BD172" s="144">
        <f>+BD173+BD175+BD181+BD183+BD185</f>
        <v>0</v>
      </c>
      <c r="BE172" s="144"/>
      <c r="BF172" s="144"/>
      <c r="BG172" s="144">
        <f>+BG173+BG175+BG181+BG183+BG185</f>
        <v>736049867</v>
      </c>
      <c r="BH172" s="144">
        <f>+BH173+BH175+BH181+BH183+BH185</f>
        <v>327968979</v>
      </c>
      <c r="BI172" s="144">
        <f>+BI173+BI175+BI181+BI183+BI185</f>
        <v>318168979</v>
      </c>
      <c r="BK172" s="608"/>
    </row>
    <row r="173" spans="1:64" ht="19.5" customHeight="1" x14ac:dyDescent="0.2">
      <c r="A173" s="377"/>
      <c r="B173" s="379"/>
      <c r="C173" s="171">
        <v>20</v>
      </c>
      <c r="D173" s="146" t="s">
        <v>626</v>
      </c>
      <c r="E173" s="308" t="s">
        <v>627</v>
      </c>
      <c r="F173" s="145"/>
      <c r="G173" s="146"/>
      <c r="H173" s="147"/>
      <c r="I173" s="145"/>
      <c r="J173" s="146"/>
      <c r="K173" s="146"/>
      <c r="L173" s="145"/>
      <c r="M173" s="148"/>
      <c r="N173" s="148"/>
      <c r="O173" s="146"/>
      <c r="P173" s="146"/>
      <c r="Q173" s="368"/>
      <c r="R173" s="146"/>
      <c r="S173" s="145"/>
      <c r="T173" s="150">
        <f>SUM(T174:T174)</f>
        <v>0</v>
      </c>
      <c r="U173" s="150"/>
      <c r="V173" s="150"/>
      <c r="W173" s="150">
        <f>SUM(W174:W174)</f>
        <v>0</v>
      </c>
      <c r="X173" s="150"/>
      <c r="Y173" s="150"/>
      <c r="Z173" s="150">
        <f>SUM(Z174:Z174)</f>
        <v>0</v>
      </c>
      <c r="AA173" s="150"/>
      <c r="AB173" s="150"/>
      <c r="AC173" s="150">
        <f>SUM(AC174:AC174)</f>
        <v>0</v>
      </c>
      <c r="AD173" s="150"/>
      <c r="AE173" s="150"/>
      <c r="AF173" s="150">
        <f>SUM(AF174:AF174)</f>
        <v>0</v>
      </c>
      <c r="AG173" s="150"/>
      <c r="AH173" s="150"/>
      <c r="AI173" s="150">
        <f>SUM(AI174:AI174)</f>
        <v>0</v>
      </c>
      <c r="AJ173" s="150"/>
      <c r="AK173" s="150"/>
      <c r="AL173" s="150">
        <f>SUM(AL174:AL174)</f>
        <v>0</v>
      </c>
      <c r="AM173" s="150"/>
      <c r="AN173" s="150"/>
      <c r="AO173" s="150">
        <f>SUM(AO174:AO174)</f>
        <v>0</v>
      </c>
      <c r="AP173" s="150"/>
      <c r="AQ173" s="150"/>
      <c r="AR173" s="150">
        <f>SUM(AR174:AR174)</f>
        <v>0</v>
      </c>
      <c r="AS173" s="150"/>
      <c r="AT173" s="150"/>
      <c r="AU173" s="150">
        <f>SUM(AU174:AU174)</f>
        <v>0</v>
      </c>
      <c r="AV173" s="150"/>
      <c r="AW173" s="150"/>
      <c r="AX173" s="150">
        <f>SUM(AX174:AX174)</f>
        <v>40000000</v>
      </c>
      <c r="AY173" s="150">
        <f>SUM(AY174:AY174)</f>
        <v>17400000</v>
      </c>
      <c r="AZ173" s="150">
        <f>SUM(AZ174:AZ174)</f>
        <v>17400000</v>
      </c>
      <c r="BA173" s="150">
        <f>SUM(BA174:BA174)</f>
        <v>0</v>
      </c>
      <c r="BB173" s="150"/>
      <c r="BC173" s="150"/>
      <c r="BD173" s="150">
        <f>SUM(BD174:BD174)</f>
        <v>0</v>
      </c>
      <c r="BE173" s="150"/>
      <c r="BF173" s="150"/>
      <c r="BG173" s="150">
        <f>SUM(BG174:BG174)</f>
        <v>40000000</v>
      </c>
      <c r="BH173" s="150">
        <f>SUM(BH174:BH174)</f>
        <v>17400000</v>
      </c>
      <c r="BI173" s="150">
        <f>SUM(BI174:BI174)</f>
        <v>17400000</v>
      </c>
      <c r="BK173" s="608"/>
    </row>
    <row r="174" spans="1:64" ht="86.25" customHeight="1" x14ac:dyDescent="0.2">
      <c r="A174" s="377"/>
      <c r="B174" s="380"/>
      <c r="C174" s="133"/>
      <c r="D174" s="341"/>
      <c r="E174" s="314">
        <v>3201</v>
      </c>
      <c r="F174" s="306" t="s">
        <v>242</v>
      </c>
      <c r="G174" s="261" t="s">
        <v>628</v>
      </c>
      <c r="H174" s="175">
        <v>3201013</v>
      </c>
      <c r="I174" s="306" t="s">
        <v>629</v>
      </c>
      <c r="J174" s="261" t="s">
        <v>630</v>
      </c>
      <c r="K174" s="264" t="s">
        <v>631</v>
      </c>
      <c r="L174" s="267" t="s">
        <v>1409</v>
      </c>
      <c r="M174" s="261" t="s">
        <v>179</v>
      </c>
      <c r="N174" s="261">
        <v>4</v>
      </c>
      <c r="O174" s="261">
        <v>1</v>
      </c>
      <c r="P174" s="289">
        <v>1</v>
      </c>
      <c r="Q174" s="365" t="s">
        <v>632</v>
      </c>
      <c r="R174" s="188" t="s">
        <v>633</v>
      </c>
      <c r="S174" s="306" t="s">
        <v>634</v>
      </c>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505">
        <v>40000000</v>
      </c>
      <c r="AY174" s="505">
        <v>17400000</v>
      </c>
      <c r="AZ174" s="505">
        <v>17400000</v>
      </c>
      <c r="BA174" s="187"/>
      <c r="BB174" s="187"/>
      <c r="BC174" s="187"/>
      <c r="BD174" s="187"/>
      <c r="BE174" s="187"/>
      <c r="BF174" s="187"/>
      <c r="BG174" s="151">
        <f>+T174+W174+Z174+AC174+AF174+AI174+AL174+AO174+AR174+AU174+AX174+BA174+BD174</f>
        <v>40000000</v>
      </c>
      <c r="BH174" s="151">
        <f>+U174+X174+AA174+AD174+AG174+AJ174+AM174+AP174+AS174+AV174+AY174+BB174+BE174</f>
        <v>17400000</v>
      </c>
      <c r="BI174" s="151">
        <f>+V174+Y174+AB174+AE174+AH174+AK174+AN174+AQ174+AT174+AW174+AZ174+BC174+BF174</f>
        <v>17400000</v>
      </c>
      <c r="BK174" s="608"/>
    </row>
    <row r="175" spans="1:64" ht="21.75" customHeight="1" x14ac:dyDescent="0.2">
      <c r="A175" s="377"/>
      <c r="B175" s="380"/>
      <c r="C175" s="171">
        <v>21</v>
      </c>
      <c r="D175" s="146" t="s">
        <v>240</v>
      </c>
      <c r="E175" s="308" t="s">
        <v>241</v>
      </c>
      <c r="F175" s="145"/>
      <c r="G175" s="146"/>
      <c r="H175" s="147"/>
      <c r="I175" s="145"/>
      <c r="J175" s="146"/>
      <c r="K175" s="146"/>
      <c r="L175" s="145"/>
      <c r="M175" s="148"/>
      <c r="N175" s="148"/>
      <c r="O175" s="146"/>
      <c r="P175" s="146"/>
      <c r="Q175" s="368"/>
      <c r="R175" s="146"/>
      <c r="S175" s="145"/>
      <c r="T175" s="150">
        <f>SUM(T176:T180)</f>
        <v>0</v>
      </c>
      <c r="U175" s="150"/>
      <c r="V175" s="150"/>
      <c r="W175" s="150">
        <f>SUM(W176:W180)</f>
        <v>0</v>
      </c>
      <c r="X175" s="150"/>
      <c r="Y175" s="150"/>
      <c r="Z175" s="150">
        <f>SUM(Z176:Z180)</f>
        <v>0</v>
      </c>
      <c r="AA175" s="150"/>
      <c r="AB175" s="150"/>
      <c r="AC175" s="150">
        <f>SUM(AC176:AC180)</f>
        <v>0</v>
      </c>
      <c r="AD175" s="150"/>
      <c r="AE175" s="150"/>
      <c r="AF175" s="150">
        <f>SUM(AF176:AF180)</f>
        <v>0</v>
      </c>
      <c r="AG175" s="150"/>
      <c r="AH175" s="150"/>
      <c r="AI175" s="150">
        <f>SUM(AI176:AI180)</f>
        <v>0</v>
      </c>
      <c r="AJ175" s="150"/>
      <c r="AK175" s="150"/>
      <c r="AL175" s="150">
        <f>SUM(AL176:AL180)</f>
        <v>0</v>
      </c>
      <c r="AM175" s="150"/>
      <c r="AN175" s="150"/>
      <c r="AO175" s="150">
        <f>SUM(AO176:AO180)</f>
        <v>0</v>
      </c>
      <c r="AP175" s="150"/>
      <c r="AQ175" s="150"/>
      <c r="AR175" s="150">
        <f>SUM(AR176:AR180)</f>
        <v>0</v>
      </c>
      <c r="AS175" s="150"/>
      <c r="AT175" s="150"/>
      <c r="AU175" s="150">
        <f>SUM(AU176:AU180)</f>
        <v>0</v>
      </c>
      <c r="AV175" s="150"/>
      <c r="AW175" s="150"/>
      <c r="AX175" s="150">
        <f>SUM(AX176:AX180)</f>
        <v>600049867</v>
      </c>
      <c r="AY175" s="150">
        <f>SUM(AY176:AY180)</f>
        <v>248918329</v>
      </c>
      <c r="AZ175" s="150">
        <f>SUM(AZ176:AZ180)</f>
        <v>239118329</v>
      </c>
      <c r="BA175" s="150">
        <f>SUM(BA176:BA180)</f>
        <v>0</v>
      </c>
      <c r="BB175" s="150"/>
      <c r="BC175" s="150"/>
      <c r="BD175" s="150">
        <f>SUM(BD176:BD180)</f>
        <v>0</v>
      </c>
      <c r="BE175" s="150"/>
      <c r="BF175" s="150"/>
      <c r="BG175" s="150">
        <f>SUM(BG176:BG180)</f>
        <v>600049867</v>
      </c>
      <c r="BH175" s="150">
        <f>SUM(BH176:BH180)</f>
        <v>248918329</v>
      </c>
      <c r="BI175" s="150">
        <f>SUM(BI176:BI180)</f>
        <v>239118329</v>
      </c>
      <c r="BK175" s="608"/>
    </row>
    <row r="176" spans="1:64" ht="98.25" customHeight="1" x14ac:dyDescent="0.2">
      <c r="A176" s="377"/>
      <c r="B176" s="380"/>
      <c r="C176" s="322"/>
      <c r="D176" s="323"/>
      <c r="E176" s="305">
        <v>3202</v>
      </c>
      <c r="F176" s="306" t="s">
        <v>242</v>
      </c>
      <c r="G176" s="261" t="s">
        <v>635</v>
      </c>
      <c r="H176" s="175">
        <v>3202017</v>
      </c>
      <c r="I176" s="306" t="s">
        <v>636</v>
      </c>
      <c r="J176" s="261" t="s">
        <v>637</v>
      </c>
      <c r="K176" s="264" t="s">
        <v>638</v>
      </c>
      <c r="L176" s="267" t="s">
        <v>1389</v>
      </c>
      <c r="M176" s="261" t="s">
        <v>89</v>
      </c>
      <c r="N176" s="272">
        <v>1</v>
      </c>
      <c r="O176" s="272">
        <v>1</v>
      </c>
      <c r="P176" s="290">
        <v>1</v>
      </c>
      <c r="Q176" s="372" t="s">
        <v>632</v>
      </c>
      <c r="R176" s="305" t="s">
        <v>639</v>
      </c>
      <c r="S176" s="306" t="s">
        <v>1410</v>
      </c>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505">
        <v>80000000</v>
      </c>
      <c r="AY176" s="505">
        <v>49132666</v>
      </c>
      <c r="AZ176" s="505">
        <v>49132666</v>
      </c>
      <c r="BA176" s="187"/>
      <c r="BB176" s="187"/>
      <c r="BC176" s="187"/>
      <c r="BD176" s="187"/>
      <c r="BE176" s="187"/>
      <c r="BF176" s="187"/>
      <c r="BG176" s="151">
        <f t="shared" ref="BG176:BI180" si="55">+T176+W176+Z176+AC176+AF176+AI176+AL176+AO176+AR176+AU176+AX176+BA176+BD176</f>
        <v>80000000</v>
      </c>
      <c r="BH176" s="151">
        <f t="shared" si="55"/>
        <v>49132666</v>
      </c>
      <c r="BI176" s="151">
        <f t="shared" si="55"/>
        <v>49132666</v>
      </c>
      <c r="BK176" s="608"/>
    </row>
    <row r="177" spans="1:64" ht="66" customHeight="1" x14ac:dyDescent="0.2">
      <c r="A177" s="377"/>
      <c r="B177" s="380"/>
      <c r="C177" s="322"/>
      <c r="D177" s="323"/>
      <c r="E177" s="305">
        <v>3202</v>
      </c>
      <c r="F177" s="306" t="s">
        <v>242</v>
      </c>
      <c r="G177" s="261" t="s">
        <v>641</v>
      </c>
      <c r="H177" s="175">
        <v>3202037</v>
      </c>
      <c r="I177" s="306" t="s">
        <v>642</v>
      </c>
      <c r="J177" s="261" t="s">
        <v>643</v>
      </c>
      <c r="K177" s="264" t="s">
        <v>644</v>
      </c>
      <c r="L177" s="267" t="s">
        <v>645</v>
      </c>
      <c r="M177" s="261" t="s">
        <v>179</v>
      </c>
      <c r="N177" s="272">
        <v>200</v>
      </c>
      <c r="O177" s="261">
        <v>30</v>
      </c>
      <c r="P177" s="289">
        <v>21</v>
      </c>
      <c r="Q177" s="611" t="s">
        <v>632</v>
      </c>
      <c r="R177" s="613" t="s">
        <v>646</v>
      </c>
      <c r="S177" s="611" t="s">
        <v>647</v>
      </c>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505">
        <f>128662000-27195334</f>
        <v>101466666</v>
      </c>
      <c r="AY177" s="505">
        <v>48666666</v>
      </c>
      <c r="AZ177" s="505">
        <v>48666666</v>
      </c>
      <c r="BA177" s="187"/>
      <c r="BB177" s="187"/>
      <c r="BC177" s="187"/>
      <c r="BD177" s="187"/>
      <c r="BE177" s="187"/>
      <c r="BF177" s="187"/>
      <c r="BG177" s="151">
        <f t="shared" si="55"/>
        <v>101466666</v>
      </c>
      <c r="BH177" s="151">
        <f t="shared" si="55"/>
        <v>48666666</v>
      </c>
      <c r="BI177" s="151">
        <f t="shared" si="55"/>
        <v>48666666</v>
      </c>
      <c r="BK177" s="608"/>
    </row>
    <row r="178" spans="1:64" ht="86.25" customHeight="1" x14ac:dyDescent="0.2">
      <c r="A178" s="377"/>
      <c r="B178" s="380"/>
      <c r="C178" s="322"/>
      <c r="D178" s="323"/>
      <c r="E178" s="305">
        <v>3202</v>
      </c>
      <c r="F178" s="306" t="s">
        <v>242</v>
      </c>
      <c r="G178" s="261" t="s">
        <v>648</v>
      </c>
      <c r="H178" s="314" t="s">
        <v>83</v>
      </c>
      <c r="I178" s="306" t="s">
        <v>1431</v>
      </c>
      <c r="J178" s="261" t="s">
        <v>649</v>
      </c>
      <c r="K178" s="261" t="s">
        <v>83</v>
      </c>
      <c r="L178" s="267" t="s">
        <v>650</v>
      </c>
      <c r="M178" s="261" t="s">
        <v>179</v>
      </c>
      <c r="N178" s="263">
        <v>200</v>
      </c>
      <c r="O178" s="261">
        <v>20</v>
      </c>
      <c r="P178" s="289">
        <v>20</v>
      </c>
      <c r="Q178" s="611"/>
      <c r="R178" s="613"/>
      <c r="S178" s="611"/>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505">
        <f>1114208927.55-0.3-87936734.91-677688991.34</f>
        <v>348583201</v>
      </c>
      <c r="AY178" s="505">
        <v>110999998</v>
      </c>
      <c r="AZ178" s="505">
        <v>101199998</v>
      </c>
      <c r="BA178" s="187"/>
      <c r="BB178" s="187"/>
      <c r="BC178" s="187"/>
      <c r="BD178" s="187"/>
      <c r="BE178" s="187"/>
      <c r="BF178" s="187"/>
      <c r="BG178" s="151">
        <f t="shared" si="55"/>
        <v>348583201</v>
      </c>
      <c r="BH178" s="151">
        <f t="shared" si="55"/>
        <v>110999998</v>
      </c>
      <c r="BI178" s="151">
        <f t="shared" si="55"/>
        <v>101199998</v>
      </c>
      <c r="BK178" s="608"/>
    </row>
    <row r="179" spans="1:64" ht="86.25" customHeight="1" x14ac:dyDescent="0.2">
      <c r="A179" s="377"/>
      <c r="B179" s="380"/>
      <c r="C179" s="322"/>
      <c r="D179" s="323"/>
      <c r="E179" s="305">
        <v>3202</v>
      </c>
      <c r="F179" s="306" t="s">
        <v>242</v>
      </c>
      <c r="G179" s="261" t="s">
        <v>651</v>
      </c>
      <c r="H179" s="305" t="s">
        <v>83</v>
      </c>
      <c r="I179" s="306" t="s">
        <v>652</v>
      </c>
      <c r="J179" s="261" t="s">
        <v>653</v>
      </c>
      <c r="K179" s="261" t="s">
        <v>83</v>
      </c>
      <c r="L179" s="267" t="s">
        <v>654</v>
      </c>
      <c r="M179" s="261" t="s">
        <v>89</v>
      </c>
      <c r="N179" s="263">
        <v>1</v>
      </c>
      <c r="O179" s="263">
        <v>1</v>
      </c>
      <c r="P179" s="287">
        <v>1</v>
      </c>
      <c r="Q179" s="372" t="s">
        <v>632</v>
      </c>
      <c r="R179" s="305" t="s">
        <v>655</v>
      </c>
      <c r="S179" s="306" t="s">
        <v>656</v>
      </c>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505">
        <v>30000000</v>
      </c>
      <c r="AY179" s="505">
        <v>18914999</v>
      </c>
      <c r="AZ179" s="505">
        <v>18914999</v>
      </c>
      <c r="BA179" s="187"/>
      <c r="BB179" s="187"/>
      <c r="BC179" s="187"/>
      <c r="BD179" s="187"/>
      <c r="BE179" s="187"/>
      <c r="BF179" s="187"/>
      <c r="BG179" s="151">
        <f t="shared" si="55"/>
        <v>30000000</v>
      </c>
      <c r="BH179" s="151">
        <f t="shared" si="55"/>
        <v>18914999</v>
      </c>
      <c r="BI179" s="151">
        <f t="shared" si="55"/>
        <v>18914999</v>
      </c>
      <c r="BK179" s="608"/>
    </row>
    <row r="180" spans="1:64" ht="86.25" customHeight="1" x14ac:dyDescent="0.2">
      <c r="A180" s="377"/>
      <c r="B180" s="380"/>
      <c r="C180" s="322"/>
      <c r="D180" s="323"/>
      <c r="E180" s="305">
        <v>3202</v>
      </c>
      <c r="F180" s="306" t="s">
        <v>242</v>
      </c>
      <c r="G180" s="261" t="s">
        <v>657</v>
      </c>
      <c r="H180" s="305" t="s">
        <v>83</v>
      </c>
      <c r="I180" s="306" t="s">
        <v>658</v>
      </c>
      <c r="J180" s="261" t="s">
        <v>659</v>
      </c>
      <c r="K180" s="261" t="s">
        <v>83</v>
      </c>
      <c r="L180" s="267" t="s">
        <v>660</v>
      </c>
      <c r="M180" s="261" t="s">
        <v>179</v>
      </c>
      <c r="N180" s="263">
        <v>4</v>
      </c>
      <c r="O180" s="263">
        <v>1</v>
      </c>
      <c r="P180" s="448">
        <v>1</v>
      </c>
      <c r="Q180" s="372" t="s">
        <v>632</v>
      </c>
      <c r="R180" s="305" t="s">
        <v>661</v>
      </c>
      <c r="S180" s="306" t="s">
        <v>1432</v>
      </c>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505">
        <v>40000000</v>
      </c>
      <c r="AY180" s="505">
        <v>21204000</v>
      </c>
      <c r="AZ180" s="505">
        <v>21204000</v>
      </c>
      <c r="BA180" s="187"/>
      <c r="BB180" s="187"/>
      <c r="BC180" s="187"/>
      <c r="BD180" s="187"/>
      <c r="BE180" s="187"/>
      <c r="BF180" s="187"/>
      <c r="BG180" s="151">
        <f t="shared" si="55"/>
        <v>40000000</v>
      </c>
      <c r="BH180" s="151">
        <f t="shared" si="55"/>
        <v>21204000</v>
      </c>
      <c r="BI180" s="151">
        <f t="shared" si="55"/>
        <v>21204000</v>
      </c>
      <c r="BK180" s="608"/>
    </row>
    <row r="181" spans="1:64" ht="21" customHeight="1" x14ac:dyDescent="0.2">
      <c r="A181" s="377"/>
      <c r="B181" s="380"/>
      <c r="C181" s="171">
        <v>22</v>
      </c>
      <c r="D181" s="146" t="s">
        <v>663</v>
      </c>
      <c r="E181" s="308" t="s">
        <v>664</v>
      </c>
      <c r="F181" s="145"/>
      <c r="G181" s="146"/>
      <c r="H181" s="147"/>
      <c r="I181" s="145"/>
      <c r="J181" s="146"/>
      <c r="K181" s="146"/>
      <c r="L181" s="145"/>
      <c r="M181" s="148"/>
      <c r="N181" s="148"/>
      <c r="O181" s="146"/>
      <c r="P181" s="146"/>
      <c r="Q181" s="368"/>
      <c r="R181" s="146"/>
      <c r="S181" s="145"/>
      <c r="T181" s="150">
        <f>SUM(T182:T182)</f>
        <v>0</v>
      </c>
      <c r="U181" s="150"/>
      <c r="V181" s="150"/>
      <c r="W181" s="150">
        <f>SUM(W182:W182)</f>
        <v>0</v>
      </c>
      <c r="X181" s="150"/>
      <c r="Y181" s="150"/>
      <c r="Z181" s="150">
        <f>SUM(Z182:Z182)</f>
        <v>0</v>
      </c>
      <c r="AA181" s="150"/>
      <c r="AB181" s="150"/>
      <c r="AC181" s="150">
        <f>SUM(AC182:AC182)</f>
        <v>0</v>
      </c>
      <c r="AD181" s="150"/>
      <c r="AE181" s="150"/>
      <c r="AF181" s="150">
        <f>SUM(AF182:AF182)</f>
        <v>0</v>
      </c>
      <c r="AG181" s="150"/>
      <c r="AH181" s="150"/>
      <c r="AI181" s="150">
        <f>SUM(AI182:AI182)</f>
        <v>0</v>
      </c>
      <c r="AJ181" s="150"/>
      <c r="AK181" s="150"/>
      <c r="AL181" s="150">
        <f>SUM(AL182:AL182)</f>
        <v>0</v>
      </c>
      <c r="AM181" s="150"/>
      <c r="AN181" s="150"/>
      <c r="AO181" s="150">
        <f>SUM(AO182:AO182)</f>
        <v>0</v>
      </c>
      <c r="AP181" s="150"/>
      <c r="AQ181" s="150"/>
      <c r="AR181" s="150">
        <f>SUM(AR182:AR182)</f>
        <v>0</v>
      </c>
      <c r="AS181" s="150"/>
      <c r="AT181" s="150"/>
      <c r="AU181" s="150">
        <f>SUM(AU182:AU182)</f>
        <v>0</v>
      </c>
      <c r="AV181" s="150"/>
      <c r="AW181" s="150"/>
      <c r="AX181" s="507">
        <f>SUM(AX182:AX182)</f>
        <v>26000000</v>
      </c>
      <c r="AY181" s="507">
        <f>SUM(AY182:AY182)</f>
        <v>14933333</v>
      </c>
      <c r="AZ181" s="507">
        <f>SUM(AZ182:AZ182)</f>
        <v>14933333</v>
      </c>
      <c r="BA181" s="150">
        <f>SUM(BA182:BA182)</f>
        <v>0</v>
      </c>
      <c r="BB181" s="150"/>
      <c r="BC181" s="150"/>
      <c r="BD181" s="150">
        <f>SUM(BD182:BD182)</f>
        <v>0</v>
      </c>
      <c r="BE181" s="150"/>
      <c r="BF181" s="150"/>
      <c r="BG181" s="150">
        <f>SUM(BG182:BG182)</f>
        <v>26000000</v>
      </c>
      <c r="BH181" s="150">
        <f>SUM(BH182:BH182)</f>
        <v>14933333</v>
      </c>
      <c r="BI181" s="150">
        <f>SUM(BI182:BI182)</f>
        <v>14933333</v>
      </c>
      <c r="BK181" s="608"/>
    </row>
    <row r="182" spans="1:64" ht="62.25" customHeight="1" x14ac:dyDescent="0.2">
      <c r="A182" s="377"/>
      <c r="B182" s="380"/>
      <c r="C182" s="322"/>
      <c r="D182" s="323"/>
      <c r="E182" s="305">
        <v>3204</v>
      </c>
      <c r="F182" s="306" t="s">
        <v>242</v>
      </c>
      <c r="G182" s="261" t="s">
        <v>665</v>
      </c>
      <c r="H182" s="175">
        <v>3204012</v>
      </c>
      <c r="I182" s="306" t="s">
        <v>666</v>
      </c>
      <c r="J182" s="289" t="s">
        <v>667</v>
      </c>
      <c r="K182" s="298" t="s">
        <v>668</v>
      </c>
      <c r="L182" s="299" t="s">
        <v>669</v>
      </c>
      <c r="M182" s="289" t="s">
        <v>179</v>
      </c>
      <c r="N182" s="290">
        <v>12</v>
      </c>
      <c r="O182" s="289">
        <v>1</v>
      </c>
      <c r="P182" s="266">
        <v>1</v>
      </c>
      <c r="Q182" s="365" t="s">
        <v>632</v>
      </c>
      <c r="R182" s="305" t="s">
        <v>670</v>
      </c>
      <c r="S182" s="306" t="s">
        <v>671</v>
      </c>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505">
        <v>26000000</v>
      </c>
      <c r="AY182" s="505">
        <v>14933333</v>
      </c>
      <c r="AZ182" s="505">
        <v>14933333</v>
      </c>
      <c r="BA182" s="187"/>
      <c r="BB182" s="187"/>
      <c r="BC182" s="187"/>
      <c r="BD182" s="187"/>
      <c r="BE182" s="187"/>
      <c r="BF182" s="187"/>
      <c r="BG182" s="151">
        <f>+T182+W182+Z182+AC182+AF182+AI182+AL182+AO182+AR182+AU182+AX182+BA182+BD182</f>
        <v>26000000</v>
      </c>
      <c r="BH182" s="151">
        <f>+U182+X182+AA182+AD182+AG182+AJ182+AM182+AP182+AS182+AV182+AY182+BB182+BE182</f>
        <v>14933333</v>
      </c>
      <c r="BI182" s="151">
        <f>+V182+Y182+AB182+AE182+AH182+AK182+AN182+AQ182+AT182+AW182+AZ182+BC182+BF182</f>
        <v>14933333</v>
      </c>
      <c r="BK182" s="608"/>
    </row>
    <row r="183" spans="1:64" ht="23.25" customHeight="1" x14ac:dyDescent="0.2">
      <c r="A183" s="377"/>
      <c r="B183" s="380"/>
      <c r="C183" s="171">
        <v>23</v>
      </c>
      <c r="D183" s="146">
        <v>3205</v>
      </c>
      <c r="E183" s="308" t="s">
        <v>246</v>
      </c>
      <c r="F183" s="145"/>
      <c r="G183" s="146"/>
      <c r="H183" s="147"/>
      <c r="I183" s="145"/>
      <c r="J183" s="146"/>
      <c r="K183" s="146"/>
      <c r="L183" s="145"/>
      <c r="M183" s="148"/>
      <c r="N183" s="148"/>
      <c r="O183" s="146"/>
      <c r="P183" s="146"/>
      <c r="Q183" s="368"/>
      <c r="R183" s="146"/>
      <c r="S183" s="145"/>
      <c r="T183" s="150">
        <f>SUM(T184:T184)</f>
        <v>0</v>
      </c>
      <c r="U183" s="150"/>
      <c r="V183" s="150"/>
      <c r="W183" s="150">
        <f>SUM(W184:W184)</f>
        <v>0</v>
      </c>
      <c r="X183" s="150"/>
      <c r="Y183" s="150"/>
      <c r="Z183" s="150">
        <f>SUM(Z184:Z184)</f>
        <v>0</v>
      </c>
      <c r="AA183" s="150"/>
      <c r="AB183" s="150"/>
      <c r="AC183" s="150">
        <f>SUM(AC184:AC184)</f>
        <v>0</v>
      </c>
      <c r="AD183" s="150"/>
      <c r="AE183" s="150"/>
      <c r="AF183" s="150">
        <f>SUM(AF184:AF184)</f>
        <v>0</v>
      </c>
      <c r="AG183" s="150"/>
      <c r="AH183" s="150"/>
      <c r="AI183" s="150">
        <f>SUM(AI184:AI184)</f>
        <v>0</v>
      </c>
      <c r="AJ183" s="150"/>
      <c r="AK183" s="150"/>
      <c r="AL183" s="150">
        <f>SUM(AL184:AL184)</f>
        <v>0</v>
      </c>
      <c r="AM183" s="150"/>
      <c r="AN183" s="150"/>
      <c r="AO183" s="150">
        <f>SUM(AO184:AO184)</f>
        <v>0</v>
      </c>
      <c r="AP183" s="150"/>
      <c r="AQ183" s="150"/>
      <c r="AR183" s="150">
        <f>SUM(AR184:AR184)</f>
        <v>0</v>
      </c>
      <c r="AS183" s="150"/>
      <c r="AT183" s="150"/>
      <c r="AU183" s="150">
        <f>SUM(AU184:AU184)</f>
        <v>0</v>
      </c>
      <c r="AV183" s="150"/>
      <c r="AW183" s="150"/>
      <c r="AX183" s="507">
        <f>SUM(AX184:AX184)</f>
        <v>50000000</v>
      </c>
      <c r="AY183" s="507">
        <f>SUM(AY184:AY184)</f>
        <v>26717317</v>
      </c>
      <c r="AZ183" s="507">
        <f>SUM(AZ184:AZ184)</f>
        <v>26717317</v>
      </c>
      <c r="BA183" s="150">
        <f>SUM(BA184:BA184)</f>
        <v>0</v>
      </c>
      <c r="BB183" s="150"/>
      <c r="BC183" s="150"/>
      <c r="BD183" s="150">
        <f>SUM(BD184:BD184)</f>
        <v>0</v>
      </c>
      <c r="BE183" s="150"/>
      <c r="BF183" s="150"/>
      <c r="BG183" s="150">
        <f>SUM(BG184:BG184)</f>
        <v>50000000</v>
      </c>
      <c r="BH183" s="150">
        <f>SUM(BH184:BH184)</f>
        <v>26717317</v>
      </c>
      <c r="BI183" s="150">
        <f>SUM(BI184:BI184)</f>
        <v>26717317</v>
      </c>
      <c r="BK183" s="608"/>
    </row>
    <row r="184" spans="1:64" ht="63" customHeight="1" x14ac:dyDescent="0.2">
      <c r="A184" s="377"/>
      <c r="B184" s="380"/>
      <c r="C184" s="322"/>
      <c r="D184" s="323"/>
      <c r="E184" s="305">
        <v>3205</v>
      </c>
      <c r="F184" s="306" t="s">
        <v>242</v>
      </c>
      <c r="G184" s="305" t="s">
        <v>673</v>
      </c>
      <c r="H184" s="175">
        <v>3205010</v>
      </c>
      <c r="I184" s="306" t="s">
        <v>672</v>
      </c>
      <c r="J184" s="305" t="s">
        <v>673</v>
      </c>
      <c r="K184" s="305" t="s">
        <v>674</v>
      </c>
      <c r="L184" s="306" t="s">
        <v>675</v>
      </c>
      <c r="M184" s="305" t="s">
        <v>179</v>
      </c>
      <c r="N184" s="305">
        <v>4</v>
      </c>
      <c r="O184" s="305">
        <v>1</v>
      </c>
      <c r="P184" s="197">
        <v>1</v>
      </c>
      <c r="Q184" s="365" t="s">
        <v>632</v>
      </c>
      <c r="R184" s="305" t="s">
        <v>661</v>
      </c>
      <c r="S184" s="306" t="s">
        <v>1432</v>
      </c>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c r="AW184" s="27"/>
      <c r="AX184" s="505">
        <v>50000000</v>
      </c>
      <c r="AY184" s="505">
        <v>26717317</v>
      </c>
      <c r="AZ184" s="505">
        <v>26717317</v>
      </c>
      <c r="BA184" s="187"/>
      <c r="BB184" s="187"/>
      <c r="BC184" s="187"/>
      <c r="BD184" s="187"/>
      <c r="BE184" s="187"/>
      <c r="BF184" s="187"/>
      <c r="BG184" s="151">
        <f>+T184+W184+Z184+AC184+AF184+AI184+AL184+AO184+AR184+AU184+AX184+BA184+BD184</f>
        <v>50000000</v>
      </c>
      <c r="BH184" s="151">
        <f>+U184+X184+AA184+AD184+AG184+AJ184+AM184+AP184+AS184+AV184+AY184+BB184+BE184</f>
        <v>26717317</v>
      </c>
      <c r="BI184" s="151">
        <f>+V184+Y184+AB184+AE184+AH184+AK184+AN184+AQ184+AT184+AW184+AZ184+BC184+BF184</f>
        <v>26717317</v>
      </c>
      <c r="BK184" s="608"/>
    </row>
    <row r="185" spans="1:64" ht="21" customHeight="1" x14ac:dyDescent="0.2">
      <c r="A185" s="377"/>
      <c r="B185" s="380"/>
      <c r="C185" s="171">
        <v>24</v>
      </c>
      <c r="D185" s="146" t="s">
        <v>676</v>
      </c>
      <c r="E185" s="308" t="s">
        <v>677</v>
      </c>
      <c r="F185" s="145"/>
      <c r="G185" s="146"/>
      <c r="H185" s="147"/>
      <c r="I185" s="145"/>
      <c r="J185" s="146"/>
      <c r="K185" s="146"/>
      <c r="L185" s="145"/>
      <c r="M185" s="148"/>
      <c r="N185" s="148"/>
      <c r="O185" s="146"/>
      <c r="P185" s="146"/>
      <c r="Q185" s="368"/>
      <c r="R185" s="146"/>
      <c r="S185" s="145"/>
      <c r="T185" s="150">
        <f>SUM(T186:T186)</f>
        <v>0</v>
      </c>
      <c r="U185" s="150"/>
      <c r="V185" s="150"/>
      <c r="W185" s="150">
        <f>SUM(W186:W186)</f>
        <v>0</v>
      </c>
      <c r="X185" s="150"/>
      <c r="Y185" s="150"/>
      <c r="Z185" s="150">
        <f>SUM(Z186:Z186)</f>
        <v>0</v>
      </c>
      <c r="AA185" s="150"/>
      <c r="AB185" s="150"/>
      <c r="AC185" s="150">
        <f>SUM(AC186:AC186)</f>
        <v>0</v>
      </c>
      <c r="AD185" s="150"/>
      <c r="AE185" s="150"/>
      <c r="AF185" s="150">
        <f>SUM(AF186:AF186)</f>
        <v>0</v>
      </c>
      <c r="AG185" s="150"/>
      <c r="AH185" s="150"/>
      <c r="AI185" s="150">
        <f>SUM(AI186:AI186)</f>
        <v>0</v>
      </c>
      <c r="AJ185" s="150"/>
      <c r="AK185" s="150"/>
      <c r="AL185" s="150">
        <f>SUM(AL186:AL186)</f>
        <v>0</v>
      </c>
      <c r="AM185" s="150"/>
      <c r="AN185" s="150"/>
      <c r="AO185" s="150">
        <f>SUM(AO186:AO186)</f>
        <v>0</v>
      </c>
      <c r="AP185" s="150"/>
      <c r="AQ185" s="150"/>
      <c r="AR185" s="150">
        <f>SUM(AR186:AR186)</f>
        <v>0</v>
      </c>
      <c r="AS185" s="150"/>
      <c r="AT185" s="150"/>
      <c r="AU185" s="150">
        <f>SUM(AU186:AU186)</f>
        <v>0</v>
      </c>
      <c r="AV185" s="150"/>
      <c r="AW185" s="150"/>
      <c r="AX185" s="507">
        <f>SUM(AX186:AX186)</f>
        <v>20000000</v>
      </c>
      <c r="AY185" s="507">
        <f>SUM(AY186:AY186)</f>
        <v>20000000</v>
      </c>
      <c r="AZ185" s="507">
        <f>SUM(AZ186:AZ186)</f>
        <v>20000000</v>
      </c>
      <c r="BA185" s="150">
        <f>SUM(BA186:BA186)</f>
        <v>0</v>
      </c>
      <c r="BB185" s="150"/>
      <c r="BC185" s="150"/>
      <c r="BD185" s="150">
        <f>SUM(BD186:BD186)</f>
        <v>0</v>
      </c>
      <c r="BE185" s="150"/>
      <c r="BF185" s="150"/>
      <c r="BG185" s="150">
        <f>SUM(BG186:BG186)</f>
        <v>20000000</v>
      </c>
      <c r="BH185" s="150">
        <f>SUM(BH186:BH186)</f>
        <v>20000000</v>
      </c>
      <c r="BI185" s="150">
        <f>SUM(BI186:BI186)</f>
        <v>20000000</v>
      </c>
      <c r="BK185" s="608"/>
    </row>
    <row r="186" spans="1:64" ht="78" customHeight="1" x14ac:dyDescent="0.2">
      <c r="A186" s="378"/>
      <c r="B186" s="381"/>
      <c r="C186" s="322"/>
      <c r="D186" s="323"/>
      <c r="E186" s="305">
        <v>3206</v>
      </c>
      <c r="F186" s="306" t="s">
        <v>242</v>
      </c>
      <c r="G186" s="261" t="s">
        <v>678</v>
      </c>
      <c r="H186" s="175">
        <v>3206014</v>
      </c>
      <c r="I186" s="306" t="s">
        <v>679</v>
      </c>
      <c r="J186" s="261" t="s">
        <v>680</v>
      </c>
      <c r="K186" s="264" t="s">
        <v>681</v>
      </c>
      <c r="L186" s="267" t="s">
        <v>682</v>
      </c>
      <c r="M186" s="261" t="s">
        <v>179</v>
      </c>
      <c r="N186" s="272">
        <v>6000</v>
      </c>
      <c r="O186" s="261">
        <v>50</v>
      </c>
      <c r="P186" s="289">
        <v>50</v>
      </c>
      <c r="Q186" s="365" t="s">
        <v>632</v>
      </c>
      <c r="R186" s="305" t="s">
        <v>683</v>
      </c>
      <c r="S186" s="306" t="s">
        <v>1433</v>
      </c>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505">
        <v>20000000</v>
      </c>
      <c r="AY186" s="505">
        <v>20000000</v>
      </c>
      <c r="AZ186" s="505">
        <v>20000000</v>
      </c>
      <c r="BA186" s="187"/>
      <c r="BB186" s="187"/>
      <c r="BC186" s="187"/>
      <c r="BD186" s="187"/>
      <c r="BE186" s="187"/>
      <c r="BF186" s="187"/>
      <c r="BG186" s="151">
        <f>+T186+W186+Z186+AC186+AF186+AI186+AL186+AO186+AR186+AU186+AX186+BA186+BD186</f>
        <v>20000000</v>
      </c>
      <c r="BH186" s="151">
        <f>+U186+X186+AA186+AD186+AG186+AJ186+AM186+AP186+AS186+AV186+AY186+BB186+BE186</f>
        <v>20000000</v>
      </c>
      <c r="BI186" s="151">
        <f>+V186+Y186+AB186+AE186+AH186+AK186+AN186+AQ186+AT186+AW186+AZ186+BC186+BF186</f>
        <v>20000000</v>
      </c>
      <c r="BK186" s="608"/>
    </row>
    <row r="187" spans="1:64" ht="22.5" customHeight="1" x14ac:dyDescent="0.2">
      <c r="A187" s="183" t="s">
        <v>684</v>
      </c>
      <c r="B187" s="183"/>
      <c r="C187" s="183"/>
      <c r="D187" s="184"/>
      <c r="E187" s="184"/>
      <c r="F187" s="185"/>
      <c r="G187" s="186"/>
      <c r="H187" s="135"/>
      <c r="I187" s="185"/>
      <c r="J187" s="186"/>
      <c r="K187" s="186"/>
      <c r="L187" s="185"/>
      <c r="M187" s="135"/>
      <c r="N187" s="135"/>
      <c r="O187" s="186"/>
      <c r="P187" s="186"/>
      <c r="Q187" s="369"/>
      <c r="R187" s="186"/>
      <c r="S187" s="185"/>
      <c r="T187" s="164">
        <f>T188</f>
        <v>0</v>
      </c>
      <c r="U187" s="164"/>
      <c r="V187" s="164"/>
      <c r="W187" s="164">
        <f>W188</f>
        <v>0</v>
      </c>
      <c r="X187" s="164"/>
      <c r="Y187" s="164"/>
      <c r="Z187" s="164">
        <f>Z188</f>
        <v>0</v>
      </c>
      <c r="AA187" s="164"/>
      <c r="AB187" s="164"/>
      <c r="AC187" s="164">
        <f>AC188</f>
        <v>0</v>
      </c>
      <c r="AD187" s="164"/>
      <c r="AE187" s="164"/>
      <c r="AF187" s="164">
        <f>AF188</f>
        <v>0</v>
      </c>
      <c r="AG187" s="164"/>
      <c r="AH187" s="164"/>
      <c r="AI187" s="164">
        <f>AI188</f>
        <v>0</v>
      </c>
      <c r="AJ187" s="164"/>
      <c r="AK187" s="164"/>
      <c r="AL187" s="164">
        <f>AL188</f>
        <v>0</v>
      </c>
      <c r="AM187" s="164"/>
      <c r="AN187" s="164"/>
      <c r="AO187" s="164">
        <f>AO188</f>
        <v>0</v>
      </c>
      <c r="AP187" s="164"/>
      <c r="AQ187" s="164"/>
      <c r="AR187" s="164">
        <f>AR188</f>
        <v>0</v>
      </c>
      <c r="AS187" s="164"/>
      <c r="AT187" s="164"/>
      <c r="AU187" s="164">
        <f>AU188</f>
        <v>0</v>
      </c>
      <c r="AV187" s="164"/>
      <c r="AW187" s="164"/>
      <c r="AX187" s="515">
        <f>AX188</f>
        <v>1101267429</v>
      </c>
      <c r="AY187" s="515">
        <f>AY188</f>
        <v>993737924.32999992</v>
      </c>
      <c r="AZ187" s="515">
        <f>AZ188</f>
        <v>993737924.32999992</v>
      </c>
      <c r="BA187" s="164">
        <f>BA188</f>
        <v>0</v>
      </c>
      <c r="BB187" s="164"/>
      <c r="BC187" s="164"/>
      <c r="BD187" s="164">
        <f>BD188</f>
        <v>0</v>
      </c>
      <c r="BE187" s="164"/>
      <c r="BF187" s="164"/>
      <c r="BG187" s="164">
        <f>BG188</f>
        <v>1101267429</v>
      </c>
      <c r="BH187" s="164">
        <f>BH188</f>
        <v>993737924.32999992</v>
      </c>
      <c r="BI187" s="164">
        <f>BI188</f>
        <v>993737924.32999992</v>
      </c>
      <c r="BJ187" s="608"/>
      <c r="BK187" s="608"/>
      <c r="BL187" s="608"/>
    </row>
    <row r="188" spans="1:64" ht="24" customHeight="1" x14ac:dyDescent="0.2">
      <c r="A188" s="382"/>
      <c r="B188" s="222">
        <v>4</v>
      </c>
      <c r="C188" s="138" t="s">
        <v>82</v>
      </c>
      <c r="D188" s="139"/>
      <c r="E188" s="139"/>
      <c r="F188" s="140"/>
      <c r="G188" s="141"/>
      <c r="H188" s="142"/>
      <c r="I188" s="140"/>
      <c r="J188" s="141"/>
      <c r="K188" s="141"/>
      <c r="L188" s="140"/>
      <c r="M188" s="143"/>
      <c r="N188" s="143"/>
      <c r="O188" s="141"/>
      <c r="P188" s="141"/>
      <c r="Q188" s="370"/>
      <c r="R188" s="141"/>
      <c r="S188" s="140"/>
      <c r="T188" s="144">
        <f>T189+T192</f>
        <v>0</v>
      </c>
      <c r="U188" s="144"/>
      <c r="V188" s="144"/>
      <c r="W188" s="144">
        <f>W189+W192</f>
        <v>0</v>
      </c>
      <c r="X188" s="144"/>
      <c r="Y188" s="144"/>
      <c r="Z188" s="144">
        <f>Z189+Z192</f>
        <v>0</v>
      </c>
      <c r="AA188" s="144"/>
      <c r="AB188" s="144"/>
      <c r="AC188" s="144">
        <f>AC189+AC192</f>
        <v>0</v>
      </c>
      <c r="AD188" s="144"/>
      <c r="AE188" s="144"/>
      <c r="AF188" s="144">
        <f>AF189+AF192</f>
        <v>0</v>
      </c>
      <c r="AG188" s="144"/>
      <c r="AH188" s="144"/>
      <c r="AI188" s="144">
        <f>AI189+AI192</f>
        <v>0</v>
      </c>
      <c r="AJ188" s="144"/>
      <c r="AK188" s="144"/>
      <c r="AL188" s="144">
        <f>AL189+AL192</f>
        <v>0</v>
      </c>
      <c r="AM188" s="144"/>
      <c r="AN188" s="144"/>
      <c r="AO188" s="144">
        <f>AO189+AO192</f>
        <v>0</v>
      </c>
      <c r="AP188" s="144"/>
      <c r="AQ188" s="144"/>
      <c r="AR188" s="144">
        <f>AR189+AR192</f>
        <v>0</v>
      </c>
      <c r="AS188" s="144"/>
      <c r="AT188" s="144"/>
      <c r="AU188" s="144">
        <f>AU189+AU192</f>
        <v>0</v>
      </c>
      <c r="AV188" s="144"/>
      <c r="AW188" s="144"/>
      <c r="AX188" s="516">
        <f>AX189+AX192</f>
        <v>1101267429</v>
      </c>
      <c r="AY188" s="516">
        <f>AY189+AY192</f>
        <v>993737924.32999992</v>
      </c>
      <c r="AZ188" s="516">
        <f>AZ189+AZ192</f>
        <v>993737924.32999992</v>
      </c>
      <c r="BA188" s="144">
        <f>BA189+BA192</f>
        <v>0</v>
      </c>
      <c r="BB188" s="144"/>
      <c r="BC188" s="144"/>
      <c r="BD188" s="144">
        <f>BD189+BD192</f>
        <v>0</v>
      </c>
      <c r="BE188" s="144"/>
      <c r="BF188" s="144"/>
      <c r="BG188" s="144">
        <f>BG189+BG192</f>
        <v>1101267429</v>
      </c>
      <c r="BH188" s="144">
        <f>BH189+BH192</f>
        <v>993737924.32999992</v>
      </c>
      <c r="BI188" s="144">
        <f>BI189+BI192</f>
        <v>993737924.32999992</v>
      </c>
      <c r="BK188" s="608"/>
    </row>
    <row r="189" spans="1:64" s="137" customFormat="1" ht="21.75" customHeight="1" x14ac:dyDescent="0.25">
      <c r="A189" s="393"/>
      <c r="B189" s="379"/>
      <c r="C189" s="171">
        <v>45</v>
      </c>
      <c r="D189" s="146" t="s">
        <v>83</v>
      </c>
      <c r="E189" s="629" t="s">
        <v>685</v>
      </c>
      <c r="F189" s="629"/>
      <c r="G189" s="629"/>
      <c r="H189" s="629"/>
      <c r="I189" s="629"/>
      <c r="J189" s="149"/>
      <c r="K189" s="149"/>
      <c r="L189" s="308"/>
      <c r="M189" s="148"/>
      <c r="N189" s="148"/>
      <c r="O189" s="149"/>
      <c r="P189" s="149"/>
      <c r="Q189" s="368"/>
      <c r="R189" s="146"/>
      <c r="S189" s="145"/>
      <c r="T189" s="150">
        <f>SUM(T190:T191)</f>
        <v>0</v>
      </c>
      <c r="U189" s="150"/>
      <c r="V189" s="150"/>
      <c r="W189" s="150">
        <f>SUM(W190:W191)</f>
        <v>0</v>
      </c>
      <c r="X189" s="150"/>
      <c r="Y189" s="150"/>
      <c r="Z189" s="150">
        <f>SUM(Z190:Z191)</f>
        <v>0</v>
      </c>
      <c r="AA189" s="150"/>
      <c r="AB189" s="150"/>
      <c r="AC189" s="150">
        <f>SUM(AC190:AC191)</f>
        <v>0</v>
      </c>
      <c r="AD189" s="150"/>
      <c r="AE189" s="150"/>
      <c r="AF189" s="150">
        <f>SUM(AF190:AF191)</f>
        <v>0</v>
      </c>
      <c r="AG189" s="150"/>
      <c r="AH189" s="150"/>
      <c r="AI189" s="150">
        <f>SUM(AI190:AI191)</f>
        <v>0</v>
      </c>
      <c r="AJ189" s="150"/>
      <c r="AK189" s="150"/>
      <c r="AL189" s="150">
        <f>SUM(AL190:AL191)</f>
        <v>0</v>
      </c>
      <c r="AM189" s="150"/>
      <c r="AN189" s="150"/>
      <c r="AO189" s="150">
        <f>SUM(AO190:AO191)</f>
        <v>0</v>
      </c>
      <c r="AP189" s="150"/>
      <c r="AQ189" s="150"/>
      <c r="AR189" s="150">
        <f>SUM(AR190:AR191)</f>
        <v>0</v>
      </c>
      <c r="AS189" s="150"/>
      <c r="AT189" s="150"/>
      <c r="AU189" s="150">
        <f>SUM(AU190:AU191)</f>
        <v>0</v>
      </c>
      <c r="AV189" s="150"/>
      <c r="AW189" s="150"/>
      <c r="AX189" s="507">
        <f>SUM(AX190:AX191)</f>
        <v>1041267429</v>
      </c>
      <c r="AY189" s="507">
        <f>SUM(AY190:AY191)</f>
        <v>954521261.32999992</v>
      </c>
      <c r="AZ189" s="507">
        <f>SUM(AZ190:AZ191)</f>
        <v>954521261.32999992</v>
      </c>
      <c r="BA189" s="150">
        <f>SUM(BA190:BA191)</f>
        <v>0</v>
      </c>
      <c r="BB189" s="150"/>
      <c r="BC189" s="150"/>
      <c r="BD189" s="150">
        <f>SUM(BD190:BD191)</f>
        <v>0</v>
      </c>
      <c r="BE189" s="150"/>
      <c r="BF189" s="150"/>
      <c r="BG189" s="150">
        <f>SUM(BG190:BG191)</f>
        <v>1041267429</v>
      </c>
      <c r="BH189" s="150">
        <f>SUM(BH190:BH191)</f>
        <v>954521261.32999992</v>
      </c>
      <c r="BI189" s="150">
        <f>SUM(BI190:BI191)</f>
        <v>954521261.32999992</v>
      </c>
      <c r="BJ189" s="609"/>
      <c r="BK189" s="608"/>
      <c r="BL189" s="609"/>
    </row>
    <row r="190" spans="1:64" ht="113.25" customHeight="1" x14ac:dyDescent="0.2">
      <c r="A190" s="377"/>
      <c r="B190" s="380"/>
      <c r="C190" s="322"/>
      <c r="D190" s="323"/>
      <c r="E190" s="305" t="s">
        <v>83</v>
      </c>
      <c r="F190" s="307" t="s">
        <v>85</v>
      </c>
      <c r="G190" s="263" t="s">
        <v>686</v>
      </c>
      <c r="H190" s="305" t="s">
        <v>83</v>
      </c>
      <c r="I190" s="306" t="s">
        <v>687</v>
      </c>
      <c r="J190" s="263" t="s">
        <v>688</v>
      </c>
      <c r="K190" s="261" t="s">
        <v>83</v>
      </c>
      <c r="L190" s="262" t="s">
        <v>1460</v>
      </c>
      <c r="M190" s="272" t="s">
        <v>89</v>
      </c>
      <c r="N190" s="261">
        <v>1</v>
      </c>
      <c r="O190" s="263">
        <v>1</v>
      </c>
      <c r="P190" s="287">
        <v>1</v>
      </c>
      <c r="Q190" s="365" t="s">
        <v>90</v>
      </c>
      <c r="R190" s="305" t="s">
        <v>689</v>
      </c>
      <c r="S190" s="306" t="s">
        <v>690</v>
      </c>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517">
        <v>255021326</v>
      </c>
      <c r="AY190" s="517">
        <v>209417831.32999998</v>
      </c>
      <c r="AZ190" s="517">
        <v>209417831.32999998</v>
      </c>
      <c r="BA190" s="27"/>
      <c r="BB190" s="27"/>
      <c r="BC190" s="27"/>
      <c r="BD190" s="27"/>
      <c r="BE190" s="27"/>
      <c r="BF190" s="27"/>
      <c r="BG190" s="151">
        <f t="shared" ref="BG190:BI191" si="56">+T190+W190+Z190+AC190+AF190+AI190+AL190+AO190+AR190+AU190+AX190+BA190+BD190</f>
        <v>255021326</v>
      </c>
      <c r="BH190" s="151">
        <f t="shared" si="56"/>
        <v>209417831.32999998</v>
      </c>
      <c r="BI190" s="151">
        <f t="shared" si="56"/>
        <v>209417831.32999998</v>
      </c>
      <c r="BK190" s="608"/>
    </row>
    <row r="191" spans="1:64" ht="71.25" customHeight="1" x14ac:dyDescent="0.2">
      <c r="A191" s="377"/>
      <c r="B191" s="380"/>
      <c r="C191" s="322"/>
      <c r="D191" s="323"/>
      <c r="E191" s="314" t="s">
        <v>83</v>
      </c>
      <c r="F191" s="307" t="s">
        <v>85</v>
      </c>
      <c r="G191" s="263" t="s">
        <v>691</v>
      </c>
      <c r="H191" s="305" t="s">
        <v>83</v>
      </c>
      <c r="I191" s="306" t="s">
        <v>692</v>
      </c>
      <c r="J191" s="263" t="s">
        <v>693</v>
      </c>
      <c r="K191" s="261" t="s">
        <v>83</v>
      </c>
      <c r="L191" s="262" t="s">
        <v>694</v>
      </c>
      <c r="M191" s="272" t="s">
        <v>89</v>
      </c>
      <c r="N191" s="261">
        <v>1</v>
      </c>
      <c r="O191" s="263">
        <v>1</v>
      </c>
      <c r="P191" s="287">
        <v>1</v>
      </c>
      <c r="Q191" s="365" t="s">
        <v>90</v>
      </c>
      <c r="R191" s="305" t="s">
        <v>695</v>
      </c>
      <c r="S191" s="306" t="s">
        <v>696</v>
      </c>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517">
        <f>486246103+300000000</f>
        <v>786246103</v>
      </c>
      <c r="AY191" s="517">
        <v>745103430</v>
      </c>
      <c r="AZ191" s="517">
        <v>745103430</v>
      </c>
      <c r="BA191" s="27"/>
      <c r="BB191" s="27"/>
      <c r="BC191" s="27"/>
      <c r="BD191" s="27"/>
      <c r="BE191" s="27"/>
      <c r="BF191" s="27"/>
      <c r="BG191" s="151">
        <f t="shared" si="56"/>
        <v>786246103</v>
      </c>
      <c r="BH191" s="151">
        <f t="shared" si="56"/>
        <v>745103430</v>
      </c>
      <c r="BI191" s="151">
        <f t="shared" si="56"/>
        <v>745103430</v>
      </c>
      <c r="BK191" s="608"/>
    </row>
    <row r="192" spans="1:64" ht="21" customHeight="1" x14ac:dyDescent="0.2">
      <c r="A192" s="377"/>
      <c r="B192" s="380"/>
      <c r="C192" s="171">
        <v>42</v>
      </c>
      <c r="D192" s="146">
        <v>4502</v>
      </c>
      <c r="E192" s="195" t="s">
        <v>99</v>
      </c>
      <c r="F192" s="145"/>
      <c r="G192" s="146"/>
      <c r="H192" s="147"/>
      <c r="I192" s="145"/>
      <c r="J192" s="146"/>
      <c r="K192" s="146"/>
      <c r="L192" s="145"/>
      <c r="M192" s="148"/>
      <c r="N192" s="148"/>
      <c r="O192" s="146"/>
      <c r="P192" s="146"/>
      <c r="Q192" s="368"/>
      <c r="R192" s="146"/>
      <c r="S192" s="145"/>
      <c r="T192" s="150">
        <f>SUM(T193)</f>
        <v>0</v>
      </c>
      <c r="U192" s="150"/>
      <c r="V192" s="150"/>
      <c r="W192" s="150">
        <f>SUM(W193)</f>
        <v>0</v>
      </c>
      <c r="X192" s="150"/>
      <c r="Y192" s="150"/>
      <c r="Z192" s="150">
        <f>SUM(Z193)</f>
        <v>0</v>
      </c>
      <c r="AA192" s="150"/>
      <c r="AB192" s="150"/>
      <c r="AC192" s="150">
        <f>SUM(AC193)</f>
        <v>0</v>
      </c>
      <c r="AD192" s="150"/>
      <c r="AE192" s="150"/>
      <c r="AF192" s="150">
        <f>SUM(AF193)</f>
        <v>0</v>
      </c>
      <c r="AG192" s="150"/>
      <c r="AH192" s="150"/>
      <c r="AI192" s="150">
        <f>SUM(AI193)</f>
        <v>0</v>
      </c>
      <c r="AJ192" s="150"/>
      <c r="AK192" s="150"/>
      <c r="AL192" s="150">
        <f>SUM(AL193)</f>
        <v>0</v>
      </c>
      <c r="AM192" s="150"/>
      <c r="AN192" s="150"/>
      <c r="AO192" s="150">
        <f>SUM(AO193)</f>
        <v>0</v>
      </c>
      <c r="AP192" s="150"/>
      <c r="AQ192" s="150"/>
      <c r="AR192" s="150">
        <f>SUM(AR193)</f>
        <v>0</v>
      </c>
      <c r="AS192" s="150"/>
      <c r="AT192" s="150"/>
      <c r="AU192" s="150">
        <f>SUM(AU193)</f>
        <v>0</v>
      </c>
      <c r="AV192" s="150"/>
      <c r="AW192" s="150"/>
      <c r="AX192" s="507">
        <f>SUM(AX193)</f>
        <v>60000000</v>
      </c>
      <c r="AY192" s="507">
        <f>SUM(AY193)</f>
        <v>39216663</v>
      </c>
      <c r="AZ192" s="507">
        <f>SUM(AZ193)</f>
        <v>39216663</v>
      </c>
      <c r="BA192" s="150">
        <f>SUM(BA193)</f>
        <v>0</v>
      </c>
      <c r="BB192" s="150"/>
      <c r="BC192" s="150"/>
      <c r="BD192" s="150">
        <f>SUM(BD193)</f>
        <v>0</v>
      </c>
      <c r="BE192" s="150"/>
      <c r="BF192" s="150"/>
      <c r="BG192" s="150">
        <f>SUM(BG193)</f>
        <v>60000000</v>
      </c>
      <c r="BH192" s="150">
        <f>SUM(BH193)</f>
        <v>39216663</v>
      </c>
      <c r="BI192" s="150">
        <f>SUM(BI193)</f>
        <v>39216663</v>
      </c>
      <c r="BK192" s="608"/>
    </row>
    <row r="193" spans="1:64" s="132" customFormat="1" ht="125.25" customHeight="1" x14ac:dyDescent="0.2">
      <c r="A193" s="397"/>
      <c r="B193" s="398"/>
      <c r="C193" s="339"/>
      <c r="D193" s="335"/>
      <c r="E193" s="297">
        <v>4502</v>
      </c>
      <c r="F193" s="196" t="s">
        <v>100</v>
      </c>
      <c r="G193" s="261" t="s">
        <v>697</v>
      </c>
      <c r="H193" s="305" t="s">
        <v>83</v>
      </c>
      <c r="I193" s="307" t="s">
        <v>1434</v>
      </c>
      <c r="J193" s="261" t="s">
        <v>698</v>
      </c>
      <c r="K193" s="261" t="s">
        <v>1402</v>
      </c>
      <c r="L193" s="262" t="s">
        <v>699</v>
      </c>
      <c r="M193" s="273" t="s">
        <v>89</v>
      </c>
      <c r="N193" s="266">
        <v>30</v>
      </c>
      <c r="O193" s="266">
        <v>30</v>
      </c>
      <c r="P193" s="289">
        <v>33</v>
      </c>
      <c r="Q193" s="211" t="s">
        <v>105</v>
      </c>
      <c r="R193" s="197" t="s">
        <v>700</v>
      </c>
      <c r="S193" s="307" t="s">
        <v>701</v>
      </c>
      <c r="T193" s="198"/>
      <c r="U193" s="198"/>
      <c r="V193" s="198"/>
      <c r="W193" s="198"/>
      <c r="X193" s="198"/>
      <c r="Y193" s="198"/>
      <c r="Z193" s="198"/>
      <c r="AA193" s="198"/>
      <c r="AB193" s="198"/>
      <c r="AC193" s="198"/>
      <c r="AD193" s="198"/>
      <c r="AE193" s="198"/>
      <c r="AF193" s="198"/>
      <c r="AG193" s="198"/>
      <c r="AH193" s="198"/>
      <c r="AI193" s="198"/>
      <c r="AJ193" s="198"/>
      <c r="AK193" s="198"/>
      <c r="AL193" s="198"/>
      <c r="AM193" s="198"/>
      <c r="AN193" s="198"/>
      <c r="AO193" s="198"/>
      <c r="AP193" s="198"/>
      <c r="AQ193" s="198"/>
      <c r="AR193" s="198"/>
      <c r="AS193" s="198"/>
      <c r="AT193" s="198"/>
      <c r="AU193" s="198"/>
      <c r="AV193" s="198"/>
      <c r="AW193" s="198"/>
      <c r="AX193" s="518">
        <v>60000000</v>
      </c>
      <c r="AY193" s="518">
        <v>39216663</v>
      </c>
      <c r="AZ193" s="518">
        <v>39216663</v>
      </c>
      <c r="BA193" s="198"/>
      <c r="BB193" s="198"/>
      <c r="BC193" s="198"/>
      <c r="BD193" s="154"/>
      <c r="BE193" s="154"/>
      <c r="BF193" s="154"/>
      <c r="BG193" s="151">
        <f>+T193+W193+Z193+AC193+AF193+AI193+AL193+AO193+AR193+AU193+AX193+BA193+BD193</f>
        <v>60000000</v>
      </c>
      <c r="BH193" s="151">
        <f>+U193+X193+AA193+AD193+AG193+AJ193+AM193+AP193+AS193+AV193+AY193+BB193+BE193</f>
        <v>39216663</v>
      </c>
      <c r="BI193" s="151">
        <f>+V193+Y193+AB193+AE193+AH193+AK193+AN193+AQ193+AT193+AW193+AZ193+BC193+BF193</f>
        <v>39216663</v>
      </c>
      <c r="BJ193" s="178"/>
      <c r="BK193" s="608"/>
      <c r="BL193" s="178"/>
    </row>
    <row r="194" spans="1:64" ht="15.75" x14ac:dyDescent="0.2">
      <c r="A194" s="183" t="s">
        <v>702</v>
      </c>
      <c r="B194" s="183"/>
      <c r="C194" s="183"/>
      <c r="D194" s="184"/>
      <c r="E194" s="184"/>
      <c r="F194" s="185"/>
      <c r="G194" s="186"/>
      <c r="H194" s="135"/>
      <c r="I194" s="185"/>
      <c r="J194" s="186"/>
      <c r="K194" s="186"/>
      <c r="L194" s="185"/>
      <c r="M194" s="135"/>
      <c r="N194" s="135"/>
      <c r="O194" s="186"/>
      <c r="P194" s="186"/>
      <c r="Q194" s="184"/>
      <c r="R194" s="186"/>
      <c r="S194" s="185"/>
      <c r="T194" s="164">
        <f t="shared" ref="T194:BF194" si="57">T195</f>
        <v>0</v>
      </c>
      <c r="U194" s="164">
        <f t="shared" si="57"/>
        <v>0</v>
      </c>
      <c r="V194" s="164">
        <f t="shared" si="57"/>
        <v>0</v>
      </c>
      <c r="W194" s="164">
        <f t="shared" si="57"/>
        <v>0</v>
      </c>
      <c r="X194" s="164">
        <f t="shared" si="57"/>
        <v>0</v>
      </c>
      <c r="Y194" s="164">
        <f t="shared" si="57"/>
        <v>0</v>
      </c>
      <c r="Z194" s="164">
        <f t="shared" si="57"/>
        <v>0</v>
      </c>
      <c r="AA194" s="164">
        <f t="shared" si="57"/>
        <v>0</v>
      </c>
      <c r="AB194" s="164">
        <f t="shared" si="57"/>
        <v>0</v>
      </c>
      <c r="AC194" s="164">
        <f t="shared" si="57"/>
        <v>2449173512.6999998</v>
      </c>
      <c r="AD194" s="164">
        <f t="shared" si="57"/>
        <v>1814157545.8199999</v>
      </c>
      <c r="AE194" s="164">
        <f t="shared" si="57"/>
        <v>1703056117.5999999</v>
      </c>
      <c r="AF194" s="164">
        <f t="shared" si="57"/>
        <v>0</v>
      </c>
      <c r="AG194" s="164">
        <f t="shared" si="57"/>
        <v>0</v>
      </c>
      <c r="AH194" s="164">
        <f t="shared" si="57"/>
        <v>0</v>
      </c>
      <c r="AI194" s="164">
        <f t="shared" si="57"/>
        <v>0</v>
      </c>
      <c r="AJ194" s="164">
        <f t="shared" si="57"/>
        <v>0</v>
      </c>
      <c r="AK194" s="164">
        <f t="shared" si="57"/>
        <v>0</v>
      </c>
      <c r="AL194" s="164">
        <f t="shared" si="57"/>
        <v>132182386450.42001</v>
      </c>
      <c r="AM194" s="164">
        <f t="shared" si="57"/>
        <v>131992978403</v>
      </c>
      <c r="AN194" s="164">
        <f t="shared" si="57"/>
        <v>131989858403</v>
      </c>
      <c r="AO194" s="164">
        <f t="shared" si="57"/>
        <v>23036771417</v>
      </c>
      <c r="AP194" s="164">
        <f t="shared" si="57"/>
        <v>23036771417</v>
      </c>
      <c r="AQ194" s="164">
        <f t="shared" si="57"/>
        <v>23036771417</v>
      </c>
      <c r="AR194" s="164">
        <f t="shared" si="57"/>
        <v>14695615717.32</v>
      </c>
      <c r="AS194" s="164">
        <f t="shared" si="57"/>
        <v>13284269528</v>
      </c>
      <c r="AT194" s="164">
        <f t="shared" si="57"/>
        <v>13280387641.4</v>
      </c>
      <c r="AU194" s="164">
        <f t="shared" si="57"/>
        <v>0</v>
      </c>
      <c r="AV194" s="164">
        <f t="shared" si="57"/>
        <v>0</v>
      </c>
      <c r="AW194" s="164">
        <f t="shared" si="57"/>
        <v>0</v>
      </c>
      <c r="AX194" s="164">
        <f t="shared" si="57"/>
        <v>4168668016.3100004</v>
      </c>
      <c r="AY194" s="164">
        <f t="shared" si="57"/>
        <v>4141120055.0900002</v>
      </c>
      <c r="AZ194" s="164">
        <f t="shared" si="57"/>
        <v>3929523849.8699999</v>
      </c>
      <c r="BA194" s="164">
        <f t="shared" si="57"/>
        <v>83149.960000000006</v>
      </c>
      <c r="BB194" s="164">
        <f t="shared" si="57"/>
        <v>83149.960000000006</v>
      </c>
      <c r="BC194" s="164">
        <f t="shared" si="57"/>
        <v>0</v>
      </c>
      <c r="BD194" s="164">
        <f t="shared" si="57"/>
        <v>1791506530</v>
      </c>
      <c r="BE194" s="164">
        <f t="shared" si="57"/>
        <v>0</v>
      </c>
      <c r="BF194" s="164">
        <f t="shared" si="57"/>
        <v>0</v>
      </c>
      <c r="BG194" s="164">
        <f>BG195</f>
        <v>178324204793.70999</v>
      </c>
      <c r="BH194" s="164">
        <f>BH195</f>
        <v>174269380098.87</v>
      </c>
      <c r="BI194" s="164">
        <f>BI195</f>
        <v>173939597428.87</v>
      </c>
      <c r="BJ194" s="608"/>
      <c r="BK194" s="608"/>
      <c r="BL194" s="608"/>
    </row>
    <row r="195" spans="1:64" ht="15.75" x14ac:dyDescent="0.2">
      <c r="A195" s="382"/>
      <c r="B195" s="222">
        <v>1</v>
      </c>
      <c r="C195" s="138" t="s">
        <v>1</v>
      </c>
      <c r="D195" s="139"/>
      <c r="E195" s="139"/>
      <c r="F195" s="140"/>
      <c r="G195" s="141"/>
      <c r="H195" s="142"/>
      <c r="I195" s="140"/>
      <c r="J195" s="141"/>
      <c r="K195" s="141"/>
      <c r="L195" s="140"/>
      <c r="M195" s="143"/>
      <c r="N195" s="143"/>
      <c r="O195" s="141"/>
      <c r="P195" s="141"/>
      <c r="Q195" s="139"/>
      <c r="R195" s="141"/>
      <c r="S195" s="140"/>
      <c r="T195" s="144">
        <f t="shared" ref="T195:BF195" si="58">T196+T218</f>
        <v>0</v>
      </c>
      <c r="U195" s="144">
        <f t="shared" si="58"/>
        <v>0</v>
      </c>
      <c r="V195" s="144">
        <f t="shared" si="58"/>
        <v>0</v>
      </c>
      <c r="W195" s="144">
        <f t="shared" si="58"/>
        <v>0</v>
      </c>
      <c r="X195" s="144">
        <f t="shared" si="58"/>
        <v>0</v>
      </c>
      <c r="Y195" s="144">
        <f t="shared" si="58"/>
        <v>0</v>
      </c>
      <c r="Z195" s="144">
        <f t="shared" si="58"/>
        <v>0</v>
      </c>
      <c r="AA195" s="144">
        <f t="shared" si="58"/>
        <v>0</v>
      </c>
      <c r="AB195" s="144">
        <f t="shared" si="58"/>
        <v>0</v>
      </c>
      <c r="AC195" s="144">
        <f t="shared" si="58"/>
        <v>2449173512.6999998</v>
      </c>
      <c r="AD195" s="144">
        <f t="shared" si="58"/>
        <v>1814157545.8199999</v>
      </c>
      <c r="AE195" s="144">
        <f t="shared" si="58"/>
        <v>1703056117.5999999</v>
      </c>
      <c r="AF195" s="144">
        <f t="shared" si="58"/>
        <v>0</v>
      </c>
      <c r="AG195" s="144">
        <f t="shared" si="58"/>
        <v>0</v>
      </c>
      <c r="AH195" s="144">
        <f t="shared" si="58"/>
        <v>0</v>
      </c>
      <c r="AI195" s="144">
        <f t="shared" si="58"/>
        <v>0</v>
      </c>
      <c r="AJ195" s="144">
        <f t="shared" si="58"/>
        <v>0</v>
      </c>
      <c r="AK195" s="144">
        <f t="shared" si="58"/>
        <v>0</v>
      </c>
      <c r="AL195" s="144">
        <f t="shared" si="58"/>
        <v>132182386450.42001</v>
      </c>
      <c r="AM195" s="144">
        <f t="shared" si="58"/>
        <v>131992978403</v>
      </c>
      <c r="AN195" s="144">
        <f t="shared" si="58"/>
        <v>131989858403</v>
      </c>
      <c r="AO195" s="144">
        <f t="shared" si="58"/>
        <v>23036771417</v>
      </c>
      <c r="AP195" s="144">
        <f t="shared" si="58"/>
        <v>23036771417</v>
      </c>
      <c r="AQ195" s="144">
        <f t="shared" si="58"/>
        <v>23036771417</v>
      </c>
      <c r="AR195" s="144">
        <f t="shared" si="58"/>
        <v>14695615717.32</v>
      </c>
      <c r="AS195" s="144">
        <f t="shared" si="58"/>
        <v>13284269528</v>
      </c>
      <c r="AT195" s="144">
        <f t="shared" si="58"/>
        <v>13280387641.4</v>
      </c>
      <c r="AU195" s="144">
        <f t="shared" si="58"/>
        <v>0</v>
      </c>
      <c r="AV195" s="144">
        <f t="shared" si="58"/>
        <v>0</v>
      </c>
      <c r="AW195" s="144">
        <f t="shared" si="58"/>
        <v>0</v>
      </c>
      <c r="AX195" s="144">
        <f t="shared" si="58"/>
        <v>4168668016.3100004</v>
      </c>
      <c r="AY195" s="144">
        <f t="shared" si="58"/>
        <v>4141120055.0900002</v>
      </c>
      <c r="AZ195" s="144">
        <f t="shared" si="58"/>
        <v>3929523849.8699999</v>
      </c>
      <c r="BA195" s="144">
        <f t="shared" si="58"/>
        <v>83149.960000000006</v>
      </c>
      <c r="BB195" s="144">
        <f t="shared" si="58"/>
        <v>83149.960000000006</v>
      </c>
      <c r="BC195" s="144">
        <f t="shared" si="58"/>
        <v>0</v>
      </c>
      <c r="BD195" s="144">
        <f t="shared" si="58"/>
        <v>1791506530</v>
      </c>
      <c r="BE195" s="144">
        <f t="shared" si="58"/>
        <v>0</v>
      </c>
      <c r="BF195" s="144">
        <f t="shared" si="58"/>
        <v>0</v>
      </c>
      <c r="BG195" s="144">
        <f>BG196+BG218</f>
        <v>178324204793.70999</v>
      </c>
      <c r="BH195" s="144">
        <f>BH196+BH218</f>
        <v>174269380098.87</v>
      </c>
      <c r="BI195" s="144">
        <f>BI196+BI218</f>
        <v>173939597428.87</v>
      </c>
      <c r="BK195" s="608"/>
    </row>
    <row r="196" spans="1:64" ht="15.75" x14ac:dyDescent="0.2">
      <c r="A196" s="377"/>
      <c r="B196" s="379"/>
      <c r="C196" s="308">
        <v>15</v>
      </c>
      <c r="D196" s="149">
        <v>2201</v>
      </c>
      <c r="E196" s="195" t="s">
        <v>191</v>
      </c>
      <c r="F196" s="145"/>
      <c r="G196" s="146"/>
      <c r="H196" s="147"/>
      <c r="I196" s="145"/>
      <c r="J196" s="146"/>
      <c r="K196" s="146"/>
      <c r="L196" s="145"/>
      <c r="M196" s="148"/>
      <c r="N196" s="148"/>
      <c r="O196" s="146"/>
      <c r="P196" s="146"/>
      <c r="Q196" s="149"/>
      <c r="R196" s="146"/>
      <c r="S196" s="145"/>
      <c r="T196" s="150">
        <f t="shared" ref="T196:BF196" si="59">SUM(T197:T217)</f>
        <v>0</v>
      </c>
      <c r="U196" s="150">
        <f t="shared" si="59"/>
        <v>0</v>
      </c>
      <c r="V196" s="150">
        <f t="shared" si="59"/>
        <v>0</v>
      </c>
      <c r="W196" s="150">
        <f t="shared" si="59"/>
        <v>0</v>
      </c>
      <c r="X196" s="150">
        <f t="shared" si="59"/>
        <v>0</v>
      </c>
      <c r="Y196" s="150">
        <f t="shared" si="59"/>
        <v>0</v>
      </c>
      <c r="Z196" s="150">
        <f t="shared" si="59"/>
        <v>0</v>
      </c>
      <c r="AA196" s="150">
        <f t="shared" si="59"/>
        <v>0</v>
      </c>
      <c r="AB196" s="150">
        <f t="shared" si="59"/>
        <v>0</v>
      </c>
      <c r="AC196" s="150">
        <f t="shared" si="59"/>
        <v>2359173512.6999998</v>
      </c>
      <c r="AD196" s="150">
        <f t="shared" si="59"/>
        <v>1753307900.8199999</v>
      </c>
      <c r="AE196" s="150">
        <f t="shared" si="59"/>
        <v>1642206472.5999999</v>
      </c>
      <c r="AF196" s="150">
        <f t="shared" si="59"/>
        <v>0</v>
      </c>
      <c r="AG196" s="150">
        <f t="shared" si="59"/>
        <v>0</v>
      </c>
      <c r="AH196" s="150">
        <f t="shared" si="59"/>
        <v>0</v>
      </c>
      <c r="AI196" s="150">
        <f t="shared" si="59"/>
        <v>0</v>
      </c>
      <c r="AJ196" s="150">
        <f t="shared" si="59"/>
        <v>0</v>
      </c>
      <c r="AK196" s="150">
        <f t="shared" si="59"/>
        <v>0</v>
      </c>
      <c r="AL196" s="150">
        <f t="shared" si="59"/>
        <v>132182386450.42001</v>
      </c>
      <c r="AM196" s="150">
        <f t="shared" si="59"/>
        <v>131992978403</v>
      </c>
      <c r="AN196" s="150">
        <f t="shared" si="59"/>
        <v>131989858403</v>
      </c>
      <c r="AO196" s="150">
        <f t="shared" si="59"/>
        <v>23036771417</v>
      </c>
      <c r="AP196" s="150">
        <f t="shared" si="59"/>
        <v>23036771417</v>
      </c>
      <c r="AQ196" s="150">
        <f t="shared" si="59"/>
        <v>23036771417</v>
      </c>
      <c r="AR196" s="150">
        <f t="shared" si="59"/>
        <v>14695615717.32</v>
      </c>
      <c r="AS196" s="150">
        <f t="shared" si="59"/>
        <v>13284269528</v>
      </c>
      <c r="AT196" s="150">
        <f t="shared" si="59"/>
        <v>13280387641.4</v>
      </c>
      <c r="AU196" s="150">
        <f t="shared" si="59"/>
        <v>0</v>
      </c>
      <c r="AV196" s="150">
        <f t="shared" si="59"/>
        <v>0</v>
      </c>
      <c r="AW196" s="150">
        <f t="shared" si="59"/>
        <v>0</v>
      </c>
      <c r="AX196" s="150">
        <f t="shared" si="59"/>
        <v>4014829516.3100004</v>
      </c>
      <c r="AY196" s="150">
        <f t="shared" si="59"/>
        <v>3987281555.0900002</v>
      </c>
      <c r="AZ196" s="150">
        <f t="shared" si="59"/>
        <v>3775685349.8699999</v>
      </c>
      <c r="BA196" s="150">
        <f t="shared" si="59"/>
        <v>83149.960000000006</v>
      </c>
      <c r="BB196" s="150">
        <f t="shared" si="59"/>
        <v>83149.960000000006</v>
      </c>
      <c r="BC196" s="150">
        <f t="shared" si="59"/>
        <v>0</v>
      </c>
      <c r="BD196" s="150">
        <f t="shared" si="59"/>
        <v>1791506530</v>
      </c>
      <c r="BE196" s="150">
        <f t="shared" si="59"/>
        <v>0</v>
      </c>
      <c r="BF196" s="150">
        <f t="shared" si="59"/>
        <v>0</v>
      </c>
      <c r="BG196" s="150">
        <f>SUM(BG197:BG217)</f>
        <v>178080366293.70999</v>
      </c>
      <c r="BH196" s="150">
        <f>SUM(BH197:BH217)</f>
        <v>174054691953.87</v>
      </c>
      <c r="BI196" s="150">
        <f>SUM(BI197:BI217)</f>
        <v>173724909283.87</v>
      </c>
      <c r="BK196" s="608"/>
    </row>
    <row r="197" spans="1:64" ht="80.25" customHeight="1" x14ac:dyDescent="0.2">
      <c r="A197" s="377"/>
      <c r="B197" s="380"/>
      <c r="C197" s="322"/>
      <c r="D197" s="323"/>
      <c r="E197" s="305">
        <v>2201</v>
      </c>
      <c r="F197" s="306" t="s">
        <v>703</v>
      </c>
      <c r="G197" s="501" t="s">
        <v>704</v>
      </c>
      <c r="H197" s="305">
        <v>2201033</v>
      </c>
      <c r="I197" s="306" t="s">
        <v>705</v>
      </c>
      <c r="J197" s="600" t="s">
        <v>706</v>
      </c>
      <c r="K197" s="274">
        <v>220103300</v>
      </c>
      <c r="L197" s="267" t="s">
        <v>707</v>
      </c>
      <c r="M197" s="261" t="s">
        <v>179</v>
      </c>
      <c r="N197" s="261">
        <v>36000</v>
      </c>
      <c r="O197" s="261">
        <v>9000</v>
      </c>
      <c r="P197" s="261">
        <v>9000</v>
      </c>
      <c r="Q197" s="630" t="s">
        <v>198</v>
      </c>
      <c r="R197" s="613" t="s">
        <v>708</v>
      </c>
      <c r="S197" s="611" t="s">
        <v>709</v>
      </c>
      <c r="T197" s="27"/>
      <c r="U197" s="27"/>
      <c r="V197" s="27"/>
      <c r="W197" s="27"/>
      <c r="X197" s="27"/>
      <c r="Y197" s="27"/>
      <c r="Z197" s="27"/>
      <c r="AA197" s="27"/>
      <c r="AB197" s="27"/>
      <c r="AC197" s="27">
        <f>2349543380-59954338+259954557.96-113255682+7331915-400000000</f>
        <v>2043619832.96</v>
      </c>
      <c r="AD197" s="27">
        <v>1544646622.78</v>
      </c>
      <c r="AE197" s="27">
        <v>1433545194.5599999</v>
      </c>
      <c r="AF197" s="27"/>
      <c r="AG197" s="27"/>
      <c r="AH197" s="27"/>
      <c r="AI197" s="27"/>
      <c r="AJ197" s="27"/>
      <c r="AK197" s="27"/>
      <c r="AL197" s="27"/>
      <c r="AM197" s="27"/>
      <c r="AN197" s="27"/>
      <c r="AO197" s="27"/>
      <c r="AP197" s="27"/>
      <c r="AQ197" s="27"/>
      <c r="AR197" s="27"/>
      <c r="AS197" s="27"/>
      <c r="AT197" s="27"/>
      <c r="AU197" s="27"/>
      <c r="AV197" s="27"/>
      <c r="AW197" s="27"/>
      <c r="AX197" s="594">
        <f>1140000000+130863000+400000000+182906493.22+1283000000+209120523+5450533+37500000</f>
        <v>3388840549.2200003</v>
      </c>
      <c r="AY197" s="45">
        <v>3387934568.2200003</v>
      </c>
      <c r="AZ197" s="45">
        <v>3176338363</v>
      </c>
      <c r="BA197" s="27"/>
      <c r="BB197" s="27"/>
      <c r="BC197" s="27"/>
      <c r="BD197" s="27"/>
      <c r="BE197" s="27"/>
      <c r="BF197" s="27"/>
      <c r="BG197" s="151">
        <f t="shared" ref="BG197:BI213" si="60">+T197+W197+Z197+AC197+AF197+AI197+AL197+AO197+AR197+AU197+AX197+BA197+BD197</f>
        <v>5432460382.1800003</v>
      </c>
      <c r="BH197" s="151">
        <f t="shared" si="60"/>
        <v>4932581191</v>
      </c>
      <c r="BI197" s="151">
        <f t="shared" si="60"/>
        <v>4609883557.5599995</v>
      </c>
      <c r="BK197" s="608"/>
    </row>
    <row r="198" spans="1:64" s="178" customFormat="1" ht="97.5" customHeight="1" x14ac:dyDescent="0.2">
      <c r="A198" s="386"/>
      <c r="B198" s="417"/>
      <c r="C198" s="418"/>
      <c r="D198" s="304"/>
      <c r="E198" s="420">
        <v>2201</v>
      </c>
      <c r="F198" s="419" t="s">
        <v>710</v>
      </c>
      <c r="G198" s="502" t="s">
        <v>711</v>
      </c>
      <c r="H198" s="420">
        <v>2201028</v>
      </c>
      <c r="I198" s="419" t="s">
        <v>712</v>
      </c>
      <c r="J198" s="601" t="s">
        <v>713</v>
      </c>
      <c r="K198" s="274">
        <v>220102801</v>
      </c>
      <c r="L198" s="419" t="s">
        <v>714</v>
      </c>
      <c r="M198" s="266" t="s">
        <v>89</v>
      </c>
      <c r="N198" s="266">
        <v>36000</v>
      </c>
      <c r="O198" s="266">
        <v>36000</v>
      </c>
      <c r="P198" s="266">
        <v>28368</v>
      </c>
      <c r="Q198" s="630"/>
      <c r="R198" s="613"/>
      <c r="S198" s="611"/>
      <c r="T198" s="27"/>
      <c r="U198" s="27"/>
      <c r="V198" s="27"/>
      <c r="W198" s="27"/>
      <c r="X198" s="27"/>
      <c r="Y198" s="27"/>
      <c r="Z198" s="27"/>
      <c r="AA198" s="27"/>
      <c r="AB198" s="27"/>
      <c r="AC198" s="327">
        <f>0+35173966.04+113255682-7331915</f>
        <v>141097733.03999999</v>
      </c>
      <c r="AD198" s="327">
        <v>34205332.039999999</v>
      </c>
      <c r="AE198" s="327">
        <v>34205332.039999999</v>
      </c>
      <c r="AF198" s="27"/>
      <c r="AG198" s="27"/>
      <c r="AH198" s="27"/>
      <c r="AI198" s="27"/>
      <c r="AJ198" s="27"/>
      <c r="AK198" s="27"/>
      <c r="AL198" s="27">
        <v>394351422</v>
      </c>
      <c r="AM198" s="27">
        <v>394351422</v>
      </c>
      <c r="AN198" s="27">
        <v>394351422</v>
      </c>
      <c r="AO198" s="421"/>
      <c r="AP198" s="421"/>
      <c r="AQ198" s="421"/>
      <c r="AR198" s="595">
        <f>12150000000-50000000+73030541.87+9572546.01+1577223665.57+1059742151+63598466.8-187551653.93</f>
        <v>14695615717.32</v>
      </c>
      <c r="AS198" s="44">
        <f>'[6]F-PLA-47 MP EDUCACION DIC'!$R$23+'[6]F-PLA-47 MP EDUCACION DIC'!$R$24+'[6]F-PLA-47 MP EDUCACION DIC'!$R$26+'[6]F-PLA-47 MP EDUCACION DIC'!$R$28+'[6]F-PLA-47 MP EDUCACION DIC'!$R$29+'[6]F-PLA-47 MP EDUCACION DIC'!$R$30+'[6]F-PLA-47 MP EDUCACION DIC'!$R$32</f>
        <v>13284269528</v>
      </c>
      <c r="AT198" s="44">
        <f>'[6]F-PLA-47 MP EDUCACION DIC'!$S$23+'[6]F-PLA-47 MP EDUCACION DIC'!$S$24+'[6]F-PLA-47 MP EDUCACION DIC'!$S$26+'[6]F-PLA-47 MP EDUCACION DIC'!$S$28+'[6]F-PLA-47 MP EDUCACION DIC'!$S$29+'[6]F-PLA-47 MP EDUCACION DIC'!$S$30+'[6]F-PLA-47 MP EDUCACION DIC'!$S$32</f>
        <v>13280387641.4</v>
      </c>
      <c r="AU198" s="27"/>
      <c r="AV198" s="27"/>
      <c r="AW198" s="27"/>
      <c r="AX198" s="44">
        <v>286000000</v>
      </c>
      <c r="AY198" s="44">
        <v>286000000</v>
      </c>
      <c r="AZ198" s="44">
        <v>286000000</v>
      </c>
      <c r="BA198" s="44">
        <v>83149.960000000006</v>
      </c>
      <c r="BB198" s="44">
        <v>83149.960000000006</v>
      </c>
      <c r="BC198" s="44"/>
      <c r="BD198" s="27"/>
      <c r="BE198" s="27"/>
      <c r="BF198" s="27"/>
      <c r="BG198" s="177">
        <f t="shared" si="60"/>
        <v>15517148022.32</v>
      </c>
      <c r="BH198" s="177">
        <f t="shared" si="60"/>
        <v>13998909432</v>
      </c>
      <c r="BI198" s="177">
        <f t="shared" si="60"/>
        <v>13994944395.440001</v>
      </c>
      <c r="BK198" s="608"/>
    </row>
    <row r="199" spans="1:64" ht="133.5" customHeight="1" x14ac:dyDescent="0.2">
      <c r="A199" s="377"/>
      <c r="B199" s="380"/>
      <c r="C199" s="322"/>
      <c r="D199" s="323"/>
      <c r="E199" s="305">
        <v>2201</v>
      </c>
      <c r="F199" s="306" t="s">
        <v>715</v>
      </c>
      <c r="G199" s="501" t="s">
        <v>716</v>
      </c>
      <c r="H199" s="305">
        <v>2201055</v>
      </c>
      <c r="I199" s="306" t="s">
        <v>717</v>
      </c>
      <c r="J199" s="600" t="s">
        <v>718</v>
      </c>
      <c r="K199" s="274">
        <v>220105500</v>
      </c>
      <c r="L199" s="267" t="s">
        <v>719</v>
      </c>
      <c r="M199" s="261" t="s">
        <v>89</v>
      </c>
      <c r="N199" s="261">
        <v>1</v>
      </c>
      <c r="O199" s="261">
        <v>1</v>
      </c>
      <c r="P199" s="289">
        <v>1</v>
      </c>
      <c r="Q199" s="630" t="s">
        <v>198</v>
      </c>
      <c r="R199" s="613" t="s">
        <v>720</v>
      </c>
      <c r="S199" s="611" t="s">
        <v>721</v>
      </c>
      <c r="T199" s="27"/>
      <c r="U199" s="27"/>
      <c r="V199" s="27"/>
      <c r="W199" s="27"/>
      <c r="X199" s="27"/>
      <c r="Y199" s="27"/>
      <c r="Z199" s="27"/>
      <c r="AA199" s="27"/>
      <c r="AB199" s="27"/>
      <c r="AC199" s="27"/>
      <c r="AD199" s="27"/>
      <c r="AE199" s="27"/>
      <c r="AF199" s="27"/>
      <c r="AG199" s="27"/>
      <c r="AH199" s="27"/>
      <c r="AI199" s="27"/>
      <c r="AJ199" s="27"/>
      <c r="AK199" s="27"/>
      <c r="AL199" s="424">
        <f>52000000+10388620</f>
        <v>62388620</v>
      </c>
      <c r="AM199" s="27">
        <v>62388620</v>
      </c>
      <c r="AN199" s="27">
        <v>62388620</v>
      </c>
      <c r="AO199" s="27"/>
      <c r="AP199" s="27"/>
      <c r="AQ199" s="27"/>
      <c r="AR199" s="27"/>
      <c r="AS199" s="27"/>
      <c r="AT199" s="27"/>
      <c r="AU199" s="27"/>
      <c r="AV199" s="27"/>
      <c r="AW199" s="27"/>
      <c r="AX199" s="33">
        <v>0</v>
      </c>
      <c r="AY199" s="33"/>
      <c r="AZ199" s="33"/>
      <c r="BA199" s="27"/>
      <c r="BB199" s="27"/>
      <c r="BC199" s="27"/>
      <c r="BD199" s="27"/>
      <c r="BE199" s="27"/>
      <c r="BF199" s="27"/>
      <c r="BG199" s="151">
        <f t="shared" si="60"/>
        <v>62388620</v>
      </c>
      <c r="BH199" s="151">
        <f t="shared" si="60"/>
        <v>62388620</v>
      </c>
      <c r="BI199" s="151">
        <f t="shared" si="60"/>
        <v>62388620</v>
      </c>
      <c r="BK199" s="608"/>
    </row>
    <row r="200" spans="1:64" s="132" customFormat="1" ht="95.25" customHeight="1" x14ac:dyDescent="0.2">
      <c r="A200" s="392"/>
      <c r="B200" s="394"/>
      <c r="C200" s="339"/>
      <c r="D200" s="335"/>
      <c r="E200" s="197">
        <v>2201</v>
      </c>
      <c r="F200" s="196" t="s">
        <v>722</v>
      </c>
      <c r="G200" s="501" t="s">
        <v>723</v>
      </c>
      <c r="H200" s="197">
        <v>2201030</v>
      </c>
      <c r="I200" s="196" t="s">
        <v>724</v>
      </c>
      <c r="J200" s="601" t="s">
        <v>725</v>
      </c>
      <c r="K200" s="319">
        <v>220103000</v>
      </c>
      <c r="L200" s="299" t="s">
        <v>726</v>
      </c>
      <c r="M200" s="289" t="s">
        <v>89</v>
      </c>
      <c r="N200" s="289">
        <v>2500</v>
      </c>
      <c r="O200" s="289">
        <v>2500</v>
      </c>
      <c r="P200" s="289">
        <v>2540</v>
      </c>
      <c r="Q200" s="630"/>
      <c r="R200" s="613"/>
      <c r="S200" s="611"/>
      <c r="T200" s="301"/>
      <c r="U200" s="301"/>
      <c r="V200" s="301"/>
      <c r="W200" s="301"/>
      <c r="X200" s="301"/>
      <c r="Y200" s="301"/>
      <c r="Z200" s="301"/>
      <c r="AA200" s="301"/>
      <c r="AB200" s="301"/>
      <c r="AC200" s="301"/>
      <c r="AD200" s="301"/>
      <c r="AE200" s="301"/>
      <c r="AF200" s="301"/>
      <c r="AG200" s="301"/>
      <c r="AH200" s="301"/>
      <c r="AI200" s="301"/>
      <c r="AJ200" s="301"/>
      <c r="AK200" s="301"/>
      <c r="AL200" s="327">
        <f>1580000000-10388620-294130134-59380384-33506070</f>
        <v>1182594792</v>
      </c>
      <c r="AM200" s="327">
        <f>'[6]F-PLA-47 MP EDUCACION DIC'!$R$35+'[6]F-PLA-47 MP EDUCACION DIC'!$R$36</f>
        <v>1171273594</v>
      </c>
      <c r="AN200" s="327">
        <f>'[6]F-PLA-47 MP EDUCACION DIC'!$S$35+'[6]F-PLA-47 MP EDUCACION DIC'!$S$36</f>
        <v>1171273594</v>
      </c>
      <c r="AO200" s="301"/>
      <c r="AP200" s="301"/>
      <c r="AQ200" s="301"/>
      <c r="AR200" s="301"/>
      <c r="AS200" s="301"/>
      <c r="AT200" s="301"/>
      <c r="AU200" s="301"/>
      <c r="AV200" s="301"/>
      <c r="AW200" s="301"/>
      <c r="AX200" s="315"/>
      <c r="AY200" s="315"/>
      <c r="AZ200" s="315"/>
      <c r="BA200" s="301"/>
      <c r="BB200" s="301"/>
      <c r="BC200" s="301"/>
      <c r="BD200" s="301"/>
      <c r="BE200" s="301"/>
      <c r="BF200" s="301"/>
      <c r="BG200" s="259">
        <f t="shared" si="60"/>
        <v>1182594792</v>
      </c>
      <c r="BH200" s="259">
        <f t="shared" si="60"/>
        <v>1171273594</v>
      </c>
      <c r="BI200" s="259">
        <f t="shared" si="60"/>
        <v>1171273594</v>
      </c>
      <c r="BJ200" s="178"/>
      <c r="BK200" s="608"/>
      <c r="BL200" s="178"/>
    </row>
    <row r="201" spans="1:64" ht="74.25" customHeight="1" x14ac:dyDescent="0.2">
      <c r="A201" s="377"/>
      <c r="B201" s="380"/>
      <c r="C201" s="322"/>
      <c r="D201" s="323"/>
      <c r="E201" s="305">
        <v>2201</v>
      </c>
      <c r="F201" s="307" t="s">
        <v>1463</v>
      </c>
      <c r="G201" s="502" t="s">
        <v>728</v>
      </c>
      <c r="H201" s="305">
        <v>2201071</v>
      </c>
      <c r="I201" s="306" t="s">
        <v>729</v>
      </c>
      <c r="J201" s="601" t="s">
        <v>730</v>
      </c>
      <c r="K201" s="274">
        <v>220107100</v>
      </c>
      <c r="L201" s="306" t="s">
        <v>731</v>
      </c>
      <c r="M201" s="261" t="s">
        <v>89</v>
      </c>
      <c r="N201" s="261">
        <v>54</v>
      </c>
      <c r="O201" s="261">
        <v>54</v>
      </c>
      <c r="P201" s="261">
        <v>54</v>
      </c>
      <c r="Q201" s="354" t="s">
        <v>198</v>
      </c>
      <c r="R201" s="305" t="s">
        <v>732</v>
      </c>
      <c r="S201" s="306" t="s">
        <v>8</v>
      </c>
      <c r="T201" s="27"/>
      <c r="U201" s="27"/>
      <c r="V201" s="27"/>
      <c r="W201" s="27"/>
      <c r="X201" s="27"/>
      <c r="Y201" s="27"/>
      <c r="Z201" s="27"/>
      <c r="AA201" s="27"/>
      <c r="AB201" s="27"/>
      <c r="AC201" s="27"/>
      <c r="AD201" s="27"/>
      <c r="AE201" s="27"/>
      <c r="AF201" s="27"/>
      <c r="AG201" s="27"/>
      <c r="AH201" s="27"/>
      <c r="AI201" s="27"/>
      <c r="AJ201" s="27"/>
      <c r="AK201" s="27"/>
      <c r="AL201" s="27">
        <v>127652115466.94</v>
      </c>
      <c r="AM201" s="27">
        <v>127487874363</v>
      </c>
      <c r="AN201" s="27">
        <v>127487874363</v>
      </c>
      <c r="AO201" s="44">
        <v>23036771417</v>
      </c>
      <c r="AP201" s="44">
        <v>23036771417</v>
      </c>
      <c r="AQ201" s="44">
        <v>23036771417</v>
      </c>
      <c r="AR201" s="27"/>
      <c r="AS201" s="27"/>
      <c r="AT201" s="27"/>
      <c r="AU201" s="27"/>
      <c r="AV201" s="27"/>
      <c r="AW201" s="27"/>
      <c r="AX201" s="33"/>
      <c r="AY201" s="33"/>
      <c r="AZ201" s="33"/>
      <c r="BA201" s="27"/>
      <c r="BB201" s="27"/>
      <c r="BC201" s="27"/>
      <c r="BD201" s="27"/>
      <c r="BE201" s="27"/>
      <c r="BF201" s="27"/>
      <c r="BG201" s="177">
        <f t="shared" si="60"/>
        <v>150688886883.94</v>
      </c>
      <c r="BH201" s="151">
        <f t="shared" si="60"/>
        <v>150524645780</v>
      </c>
      <c r="BI201" s="151">
        <f t="shared" si="60"/>
        <v>150524645780</v>
      </c>
      <c r="BK201" s="608"/>
    </row>
    <row r="202" spans="1:64" ht="80.25" customHeight="1" x14ac:dyDescent="0.2">
      <c r="A202" s="377"/>
      <c r="B202" s="380"/>
      <c r="C202" s="322"/>
      <c r="D202" s="323"/>
      <c r="E202" s="305">
        <v>2201</v>
      </c>
      <c r="F202" s="307" t="s">
        <v>727</v>
      </c>
      <c r="G202" s="502" t="s">
        <v>728</v>
      </c>
      <c r="H202" s="305">
        <v>2201071</v>
      </c>
      <c r="I202" s="41" t="s">
        <v>729</v>
      </c>
      <c r="J202" s="601" t="s">
        <v>730</v>
      </c>
      <c r="K202" s="274">
        <v>220107100</v>
      </c>
      <c r="L202" s="306" t="s">
        <v>731</v>
      </c>
      <c r="M202" s="261" t="s">
        <v>89</v>
      </c>
      <c r="N202" s="261">
        <v>54</v>
      </c>
      <c r="O202" s="261">
        <v>54</v>
      </c>
      <c r="P202" s="261">
        <v>54</v>
      </c>
      <c r="Q202" s="354" t="s">
        <v>198</v>
      </c>
      <c r="R202" s="305" t="s">
        <v>733</v>
      </c>
      <c r="S202" s="306" t="s">
        <v>734</v>
      </c>
      <c r="T202" s="199"/>
      <c r="U202" s="199"/>
      <c r="V202" s="199"/>
      <c r="W202" s="199"/>
      <c r="X202" s="199"/>
      <c r="Y202" s="199"/>
      <c r="Z202" s="199"/>
      <c r="AA202" s="199"/>
      <c r="AB202" s="199"/>
      <c r="AC202" s="199"/>
      <c r="AD202" s="199"/>
      <c r="AE202" s="199"/>
      <c r="AF202" s="199"/>
      <c r="AG202" s="199"/>
      <c r="AH202" s="199"/>
      <c r="AI202" s="199"/>
      <c r="AJ202" s="199"/>
      <c r="AK202" s="199"/>
      <c r="AL202" s="42">
        <f>3762000000-1470154798</f>
        <v>2291845202</v>
      </c>
      <c r="AM202" s="42">
        <v>2291845202</v>
      </c>
      <c r="AN202" s="42">
        <v>2288725202</v>
      </c>
      <c r="AO202" s="606"/>
      <c r="AP202" s="606"/>
      <c r="AQ202" s="200"/>
      <c r="AR202" s="199"/>
      <c r="AS202" s="199"/>
      <c r="AT202" s="199"/>
      <c r="AU202" s="199"/>
      <c r="AV202" s="199"/>
      <c r="AW202" s="199"/>
      <c r="AX202" s="33"/>
      <c r="AY202" s="33"/>
      <c r="AZ202" s="33"/>
      <c r="BA202" s="199"/>
      <c r="BB202" s="199"/>
      <c r="BC202" s="199"/>
      <c r="BD202" s="199"/>
      <c r="BE202" s="199"/>
      <c r="BF202" s="199"/>
      <c r="BG202" s="151">
        <f t="shared" si="60"/>
        <v>2291845202</v>
      </c>
      <c r="BH202" s="151">
        <f>+U202+X202+AA202+AD202+AG202+AJ202+AM202+AP202+AS202+AV202+AY202+BB202+BE202</f>
        <v>2291845202</v>
      </c>
      <c r="BI202" s="151">
        <f>+V202+Y202+AB202+AE202+AH202+AK202+AN202+AQ202+AT202+AW202+AZ202+BC202+BF202</f>
        <v>2288725202</v>
      </c>
      <c r="BK202" s="608"/>
    </row>
    <row r="203" spans="1:64" ht="101.25" customHeight="1" x14ac:dyDescent="0.2">
      <c r="A203" s="377"/>
      <c r="B203" s="380"/>
      <c r="C203" s="322"/>
      <c r="D203" s="323"/>
      <c r="E203" s="305">
        <v>2201</v>
      </c>
      <c r="F203" s="307" t="s">
        <v>735</v>
      </c>
      <c r="G203" s="266" t="s">
        <v>736</v>
      </c>
      <c r="H203" s="305">
        <v>2201006</v>
      </c>
      <c r="I203" s="306" t="s">
        <v>737</v>
      </c>
      <c r="J203" s="602" t="s">
        <v>738</v>
      </c>
      <c r="K203" s="274">
        <v>220100600</v>
      </c>
      <c r="L203" s="267" t="s">
        <v>739</v>
      </c>
      <c r="M203" s="261" t="s">
        <v>89</v>
      </c>
      <c r="N203" s="261">
        <v>54</v>
      </c>
      <c r="O203" s="261">
        <v>54</v>
      </c>
      <c r="P203" s="261">
        <v>54</v>
      </c>
      <c r="Q203" s="631" t="s">
        <v>198</v>
      </c>
      <c r="R203" s="613" t="s">
        <v>740</v>
      </c>
      <c r="S203" s="611" t="s">
        <v>741</v>
      </c>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596">
        <f>20000000+10000000+31600000+26960000-756135-5333335-5450533</f>
        <v>77019997</v>
      </c>
      <c r="AY203" s="33">
        <f>'[6]F-PLA-47 MP EDUCACION DIC'!$R$51+'[6]F-PLA-47 MP EDUCACION DIC'!$R$52</f>
        <v>70613332</v>
      </c>
      <c r="AZ203" s="33">
        <f>'[6]F-PLA-47 MP EDUCACION DIC'!$S$51+'[6]F-PLA-47 MP EDUCACION DIC'!$S$52</f>
        <v>70613332</v>
      </c>
      <c r="BA203" s="27"/>
      <c r="BB203" s="27"/>
      <c r="BC203" s="27"/>
      <c r="BD203" s="27"/>
      <c r="BE203" s="27"/>
      <c r="BF203" s="27"/>
      <c r="BG203" s="259">
        <f t="shared" si="60"/>
        <v>77019997</v>
      </c>
      <c r="BH203" s="151">
        <f>+U203+X203+AA203+AD203+AG203+AJ203+AM203+AP203+AS203+AV203+AY203+BB203+BE203</f>
        <v>70613332</v>
      </c>
      <c r="BI203" s="151">
        <f>+V203+Y203+AB203+AE203+AH203+AK203+AN203+AQ203+AT203+AW203+AZ203+BC203+BF203</f>
        <v>70613332</v>
      </c>
      <c r="BK203" s="608"/>
    </row>
    <row r="204" spans="1:64" ht="64.5" customHeight="1" x14ac:dyDescent="0.2">
      <c r="A204" s="377"/>
      <c r="B204" s="380"/>
      <c r="C204" s="322"/>
      <c r="D204" s="323"/>
      <c r="E204" s="305">
        <v>2201</v>
      </c>
      <c r="F204" s="307" t="s">
        <v>703</v>
      </c>
      <c r="G204" s="502" t="s">
        <v>704</v>
      </c>
      <c r="H204" s="305">
        <v>2201033</v>
      </c>
      <c r="I204" s="306" t="s">
        <v>705</v>
      </c>
      <c r="J204" s="601" t="s">
        <v>706</v>
      </c>
      <c r="K204" s="305">
        <v>220103300</v>
      </c>
      <c r="L204" s="306" t="s">
        <v>707</v>
      </c>
      <c r="M204" s="261" t="s">
        <v>179</v>
      </c>
      <c r="N204" s="261">
        <v>36000</v>
      </c>
      <c r="O204" s="261">
        <v>9000</v>
      </c>
      <c r="P204" s="261">
        <v>9000</v>
      </c>
      <c r="Q204" s="631"/>
      <c r="R204" s="613"/>
      <c r="S204" s="611"/>
      <c r="T204" s="27"/>
      <c r="U204" s="27"/>
      <c r="V204" s="27"/>
      <c r="W204" s="27"/>
      <c r="X204" s="27"/>
      <c r="Y204" s="27"/>
      <c r="Z204" s="27"/>
      <c r="AA204" s="27"/>
      <c r="AB204" s="27"/>
      <c r="AC204" s="27"/>
      <c r="AD204" s="27"/>
      <c r="AE204" s="27"/>
      <c r="AF204" s="27"/>
      <c r="AG204" s="27"/>
      <c r="AH204" s="27"/>
      <c r="AI204" s="27"/>
      <c r="AJ204" s="27"/>
      <c r="AK204" s="27"/>
      <c r="AL204" s="27">
        <f>25000000-15683109</f>
        <v>9316891</v>
      </c>
      <c r="AM204" s="27">
        <v>9316891</v>
      </c>
      <c r="AN204" s="27">
        <v>9316891</v>
      </c>
      <c r="AO204" s="27"/>
      <c r="AP204" s="27"/>
      <c r="AQ204" s="27"/>
      <c r="AR204" s="27"/>
      <c r="AS204" s="27"/>
      <c r="AT204" s="27"/>
      <c r="AU204" s="27"/>
      <c r="AV204" s="27"/>
      <c r="AW204" s="27"/>
      <c r="AX204" s="33"/>
      <c r="AY204" s="33"/>
      <c r="AZ204" s="33"/>
      <c r="BA204" s="27"/>
      <c r="BB204" s="27"/>
      <c r="BC204" s="27"/>
      <c r="BD204" s="27"/>
      <c r="BE204" s="27"/>
      <c r="BF204" s="27"/>
      <c r="BG204" s="151">
        <f t="shared" si="60"/>
        <v>9316891</v>
      </c>
      <c r="BH204" s="151">
        <f t="shared" si="60"/>
        <v>9316891</v>
      </c>
      <c r="BI204" s="151">
        <f t="shared" si="60"/>
        <v>9316891</v>
      </c>
      <c r="BK204" s="608"/>
    </row>
    <row r="205" spans="1:64" s="132" customFormat="1" ht="139.5" customHeight="1" x14ac:dyDescent="0.2">
      <c r="A205" s="392"/>
      <c r="B205" s="394"/>
      <c r="C205" s="339"/>
      <c r="D205" s="335"/>
      <c r="E205" s="197">
        <v>2201</v>
      </c>
      <c r="F205" s="292" t="s">
        <v>1401</v>
      </c>
      <c r="G205" s="501" t="s">
        <v>307</v>
      </c>
      <c r="H205" s="197">
        <v>2201068</v>
      </c>
      <c r="I205" s="196" t="s">
        <v>308</v>
      </c>
      <c r="J205" s="600" t="s">
        <v>309</v>
      </c>
      <c r="K205" s="319">
        <v>220106800</v>
      </c>
      <c r="L205" s="299" t="s">
        <v>310</v>
      </c>
      <c r="M205" s="197" t="s">
        <v>179</v>
      </c>
      <c r="N205" s="197">
        <v>266</v>
      </c>
      <c r="O205" s="197">
        <v>48</v>
      </c>
      <c r="P205" s="197">
        <v>48</v>
      </c>
      <c r="Q205" s="631"/>
      <c r="R205" s="613"/>
      <c r="S205" s="611"/>
      <c r="T205" s="301"/>
      <c r="U205" s="301"/>
      <c r="V205" s="301"/>
      <c r="W205" s="301"/>
      <c r="X205" s="301"/>
      <c r="Y205" s="301"/>
      <c r="Z205" s="301"/>
      <c r="AA205" s="301"/>
      <c r="AB205" s="301"/>
      <c r="AC205" s="301"/>
      <c r="AD205" s="301"/>
      <c r="AE205" s="301"/>
      <c r="AF205" s="301"/>
      <c r="AG205" s="301"/>
      <c r="AH205" s="301"/>
      <c r="AI205" s="301"/>
      <c r="AJ205" s="301"/>
      <c r="AK205" s="301"/>
      <c r="AL205" s="301"/>
      <c r="AM205" s="301"/>
      <c r="AN205" s="301"/>
      <c r="AO205" s="301"/>
      <c r="AP205" s="301"/>
      <c r="AQ205" s="301"/>
      <c r="AR205" s="301"/>
      <c r="AS205" s="301"/>
      <c r="AT205" s="301"/>
      <c r="AU205" s="301"/>
      <c r="AV205" s="301"/>
      <c r="AW205" s="301"/>
      <c r="AX205" s="596">
        <f>35000000-8222000+8000000-5243865-2176687</f>
        <v>27357448</v>
      </c>
      <c r="AY205" s="33">
        <v>18756135</v>
      </c>
      <c r="AZ205" s="33">
        <v>18756135</v>
      </c>
      <c r="BA205" s="301"/>
      <c r="BB205" s="301"/>
      <c r="BC205" s="301"/>
      <c r="BD205" s="301"/>
      <c r="BE205" s="301"/>
      <c r="BF205" s="301"/>
      <c r="BG205" s="259">
        <f t="shared" si="60"/>
        <v>27357448</v>
      </c>
      <c r="BH205" s="151">
        <f t="shared" ref="BH205" si="61">+U205+X205+AA205+AD205+AG205+AJ205+AM205+AP205+AS205+AV205+AY205+BB205+BE205</f>
        <v>18756135</v>
      </c>
      <c r="BI205" s="151">
        <f>+V205+Y205+AB205+AE205+AH205+AK205+AN205+AQ205+AT205+AW205+AZ205+BC205+BF205</f>
        <v>18756135</v>
      </c>
      <c r="BJ205" s="178"/>
      <c r="BK205" s="608"/>
      <c r="BL205" s="178"/>
    </row>
    <row r="206" spans="1:64" ht="102" customHeight="1" x14ac:dyDescent="0.2">
      <c r="A206" s="377"/>
      <c r="B206" s="380"/>
      <c r="C206" s="322"/>
      <c r="D206" s="323"/>
      <c r="E206" s="305">
        <v>2201</v>
      </c>
      <c r="F206" s="307" t="s">
        <v>710</v>
      </c>
      <c r="G206" s="502" t="s">
        <v>742</v>
      </c>
      <c r="H206" s="305">
        <v>2201046</v>
      </c>
      <c r="I206" s="306" t="s">
        <v>743</v>
      </c>
      <c r="J206" s="601" t="s">
        <v>744</v>
      </c>
      <c r="K206" s="274">
        <v>220104602</v>
      </c>
      <c r="L206" s="306" t="s">
        <v>745</v>
      </c>
      <c r="M206" s="261" t="s">
        <v>179</v>
      </c>
      <c r="N206" s="261">
        <v>54</v>
      </c>
      <c r="O206" s="261">
        <v>5</v>
      </c>
      <c r="P206" s="261">
        <v>5</v>
      </c>
      <c r="Q206" s="631"/>
      <c r="R206" s="613"/>
      <c r="S206" s="611"/>
      <c r="T206" s="27"/>
      <c r="U206" s="27"/>
      <c r="V206" s="27"/>
      <c r="W206" s="27"/>
      <c r="X206" s="27"/>
      <c r="Y206" s="27"/>
      <c r="Z206" s="27"/>
      <c r="AA206" s="27"/>
      <c r="AB206" s="27"/>
      <c r="AC206" s="201"/>
      <c r="AD206" s="201"/>
      <c r="AE206" s="201"/>
      <c r="AF206" s="27"/>
      <c r="AG206" s="27"/>
      <c r="AH206" s="27"/>
      <c r="AI206" s="27"/>
      <c r="AJ206" s="27"/>
      <c r="AK206" s="27"/>
      <c r="AL206" s="27"/>
      <c r="AM206" s="27"/>
      <c r="AN206" s="27"/>
      <c r="AO206" s="27"/>
      <c r="AP206" s="27"/>
      <c r="AQ206" s="27"/>
      <c r="AR206" s="27"/>
      <c r="AS206" s="27"/>
      <c r="AT206" s="27"/>
      <c r="AU206" s="27"/>
      <c r="AV206" s="27"/>
      <c r="AW206" s="27"/>
      <c r="AX206" s="33">
        <f>10000000+5000000-9600000</f>
        <v>5400000</v>
      </c>
      <c r="AY206" s="33">
        <v>5400000</v>
      </c>
      <c r="AZ206" s="33">
        <v>5400000</v>
      </c>
      <c r="BA206" s="27"/>
      <c r="BB206" s="27"/>
      <c r="BC206" s="27"/>
      <c r="BD206" s="27"/>
      <c r="BE206" s="27"/>
      <c r="BF206" s="27"/>
      <c r="BG206" s="151">
        <f t="shared" si="60"/>
        <v>5400000</v>
      </c>
      <c r="BH206" s="151">
        <f t="shared" si="60"/>
        <v>5400000</v>
      </c>
      <c r="BI206" s="151">
        <f t="shared" si="60"/>
        <v>5400000</v>
      </c>
      <c r="BK206" s="608"/>
    </row>
    <row r="207" spans="1:64" ht="92.25" customHeight="1" x14ac:dyDescent="0.2">
      <c r="A207" s="377"/>
      <c r="B207" s="380"/>
      <c r="C207" s="322"/>
      <c r="D207" s="323"/>
      <c r="E207" s="305">
        <v>2201</v>
      </c>
      <c r="F207" s="306" t="s">
        <v>193</v>
      </c>
      <c r="G207" s="502" t="s">
        <v>194</v>
      </c>
      <c r="H207" s="305" t="s">
        <v>83</v>
      </c>
      <c r="I207" s="306" t="s">
        <v>195</v>
      </c>
      <c r="J207" s="601" t="s">
        <v>196</v>
      </c>
      <c r="K207" s="305" t="s">
        <v>1402</v>
      </c>
      <c r="L207" s="306" t="s">
        <v>197</v>
      </c>
      <c r="M207" s="305" t="s">
        <v>179</v>
      </c>
      <c r="N207" s="305">
        <v>54</v>
      </c>
      <c r="O207" s="305">
        <v>9</v>
      </c>
      <c r="P207" s="305">
        <v>4</v>
      </c>
      <c r="Q207" s="631"/>
      <c r="R207" s="613"/>
      <c r="S207" s="611"/>
      <c r="T207" s="27"/>
      <c r="U207" s="27"/>
      <c r="V207" s="27"/>
      <c r="W207" s="27"/>
      <c r="X207" s="27"/>
      <c r="Y207" s="27"/>
      <c r="Z207" s="27"/>
      <c r="AA207" s="27"/>
      <c r="AB207" s="27"/>
      <c r="AC207" s="43"/>
      <c r="AD207" s="43"/>
      <c r="AE207" s="43"/>
      <c r="AF207" s="27"/>
      <c r="AG207" s="27"/>
      <c r="AH207" s="27"/>
      <c r="AI207" s="27"/>
      <c r="AJ207" s="27"/>
      <c r="AK207" s="27"/>
      <c r="AL207" s="27">
        <v>12426628.52</v>
      </c>
      <c r="AM207" s="27">
        <v>0</v>
      </c>
      <c r="AN207" s="27">
        <v>0</v>
      </c>
      <c r="AO207" s="27"/>
      <c r="AP207" s="27"/>
      <c r="AQ207" s="27"/>
      <c r="AR207" s="27"/>
      <c r="AS207" s="27"/>
      <c r="AT207" s="27"/>
      <c r="AU207" s="27"/>
      <c r="AV207" s="27"/>
      <c r="AW207" s="27"/>
      <c r="AX207" s="33">
        <v>25000000</v>
      </c>
      <c r="AY207" s="33">
        <v>25000000</v>
      </c>
      <c r="AZ207" s="33">
        <v>25000000</v>
      </c>
      <c r="BA207" s="27"/>
      <c r="BB207" s="27"/>
      <c r="BC207" s="27"/>
      <c r="BD207" s="597">
        <f>0+513456000+1278050530</f>
        <v>1791506530</v>
      </c>
      <c r="BE207" s="27"/>
      <c r="BF207" s="27"/>
      <c r="BG207" s="151">
        <f t="shared" si="60"/>
        <v>1828933158.52</v>
      </c>
      <c r="BH207" s="151">
        <f t="shared" si="60"/>
        <v>25000000</v>
      </c>
      <c r="BI207" s="151">
        <f t="shared" si="60"/>
        <v>25000000</v>
      </c>
      <c r="BK207" s="608"/>
    </row>
    <row r="208" spans="1:64" ht="112.5" customHeight="1" x14ac:dyDescent="0.2">
      <c r="A208" s="377"/>
      <c r="B208" s="380"/>
      <c r="C208" s="322"/>
      <c r="D208" s="323"/>
      <c r="E208" s="305">
        <v>2201</v>
      </c>
      <c r="F208" s="307" t="s">
        <v>746</v>
      </c>
      <c r="G208" s="502">
        <v>15.8</v>
      </c>
      <c r="H208" s="305">
        <v>2201026</v>
      </c>
      <c r="I208" s="306" t="s">
        <v>747</v>
      </c>
      <c r="J208" s="601" t="s">
        <v>748</v>
      </c>
      <c r="K208" s="274">
        <v>220102600</v>
      </c>
      <c r="L208" s="306" t="s">
        <v>749</v>
      </c>
      <c r="M208" s="261" t="s">
        <v>179</v>
      </c>
      <c r="N208" s="261">
        <v>54</v>
      </c>
      <c r="O208" s="261">
        <v>5</v>
      </c>
      <c r="P208" s="605">
        <v>5</v>
      </c>
      <c r="Q208" s="631"/>
      <c r="R208" s="613"/>
      <c r="S208" s="611"/>
      <c r="T208" s="27"/>
      <c r="U208" s="27"/>
      <c r="V208" s="27"/>
      <c r="W208" s="27"/>
      <c r="X208" s="27"/>
      <c r="Y208" s="27"/>
      <c r="Z208" s="27"/>
      <c r="AA208" s="27"/>
      <c r="AB208" s="27"/>
      <c r="AC208" s="27">
        <v>174455946.69999999</v>
      </c>
      <c r="AD208" s="27">
        <v>174455946</v>
      </c>
      <c r="AE208" s="27">
        <v>174455946</v>
      </c>
      <c r="AF208" s="27"/>
      <c r="AG208" s="27"/>
      <c r="AH208" s="27"/>
      <c r="AI208" s="27"/>
      <c r="AJ208" s="27"/>
      <c r="AK208" s="27"/>
      <c r="AL208" s="27">
        <f>43000000-14271081.04-654407</f>
        <v>28074511.960000001</v>
      </c>
      <c r="AM208" s="27">
        <v>26655395</v>
      </c>
      <c r="AN208" s="27">
        <v>26655395</v>
      </c>
      <c r="AO208" s="27"/>
      <c r="AP208" s="27"/>
      <c r="AQ208" s="27"/>
      <c r="AR208" s="27"/>
      <c r="AS208" s="27"/>
      <c r="AT208" s="27"/>
      <c r="AU208" s="27"/>
      <c r="AV208" s="27"/>
      <c r="AW208" s="27"/>
      <c r="AX208" s="33">
        <f>90161500.09-26960000+5243865+756135+5333335+2176687</f>
        <v>76711522.090000004</v>
      </c>
      <c r="AY208" s="33">
        <v>75878187</v>
      </c>
      <c r="AZ208" s="33">
        <v>75878187</v>
      </c>
      <c r="BA208" s="27"/>
      <c r="BB208" s="27"/>
      <c r="BC208" s="27"/>
      <c r="BD208" s="27"/>
      <c r="BE208" s="27"/>
      <c r="BF208" s="27"/>
      <c r="BG208" s="259">
        <f t="shared" si="60"/>
        <v>279241980.75</v>
      </c>
      <c r="BH208" s="151">
        <f>+U208+X208+AA208+AD208+AG208+AJ208+AM208+AP208+AS208+AV208+AY208+BB208+BE208</f>
        <v>276989528</v>
      </c>
      <c r="BI208" s="151">
        <f>+V208+Y208+AB208+AE208+AH208+AK208+AN208+AQ208+AT208+AW208+AZ208+BC208+BF208</f>
        <v>276989528</v>
      </c>
      <c r="BK208" s="608"/>
    </row>
    <row r="209" spans="1:64" ht="100.5" customHeight="1" x14ac:dyDescent="0.2">
      <c r="A209" s="377"/>
      <c r="B209" s="380"/>
      <c r="C209" s="322"/>
      <c r="D209" s="323"/>
      <c r="E209" s="305">
        <v>2201</v>
      </c>
      <c r="F209" s="307" t="s">
        <v>735</v>
      </c>
      <c r="G209" s="266" t="s">
        <v>736</v>
      </c>
      <c r="H209" s="305">
        <v>2201006</v>
      </c>
      <c r="I209" s="306" t="s">
        <v>737</v>
      </c>
      <c r="J209" s="602" t="s">
        <v>738</v>
      </c>
      <c r="K209" s="274">
        <v>220100600</v>
      </c>
      <c r="L209" s="267" t="s">
        <v>739</v>
      </c>
      <c r="M209" s="261" t="s">
        <v>89</v>
      </c>
      <c r="N209" s="261">
        <v>54</v>
      </c>
      <c r="O209" s="261">
        <v>54</v>
      </c>
      <c r="P209" s="261">
        <v>54</v>
      </c>
      <c r="Q209" s="354" t="s">
        <v>198</v>
      </c>
      <c r="R209" s="305" t="s">
        <v>750</v>
      </c>
      <c r="S209" s="306" t="s">
        <v>751</v>
      </c>
      <c r="T209" s="27"/>
      <c r="U209" s="27"/>
      <c r="V209" s="27"/>
      <c r="W209" s="27"/>
      <c r="X209" s="27"/>
      <c r="Y209" s="27"/>
      <c r="Z209" s="27"/>
      <c r="AA209" s="27"/>
      <c r="AB209" s="27"/>
      <c r="AC209" s="27"/>
      <c r="AD209" s="27"/>
      <c r="AE209" s="27"/>
      <c r="AF209" s="27"/>
      <c r="AG209" s="27"/>
      <c r="AH209" s="27"/>
      <c r="AI209" s="27"/>
      <c r="AJ209" s="27"/>
      <c r="AK209" s="27"/>
      <c r="AL209" s="42"/>
      <c r="AM209" s="42"/>
      <c r="AN209" s="42"/>
      <c r="AO209" s="27"/>
      <c r="AP209" s="27"/>
      <c r="AQ209" s="27"/>
      <c r="AR209" s="27"/>
      <c r="AS209" s="27"/>
      <c r="AT209" s="27"/>
      <c r="AU209" s="27"/>
      <c r="AV209" s="27"/>
      <c r="AW209" s="27"/>
      <c r="AX209" s="33">
        <v>20000000</v>
      </c>
      <c r="AY209" s="33">
        <v>19200000</v>
      </c>
      <c r="AZ209" s="33">
        <v>19200000</v>
      </c>
      <c r="BA209" s="27"/>
      <c r="BB209" s="27"/>
      <c r="BC209" s="27"/>
      <c r="BD209" s="27"/>
      <c r="BE209" s="27"/>
      <c r="BF209" s="27"/>
      <c r="BG209" s="151">
        <f t="shared" si="60"/>
        <v>20000000</v>
      </c>
      <c r="BH209" s="151">
        <f t="shared" si="60"/>
        <v>19200000</v>
      </c>
      <c r="BI209" s="151">
        <f t="shared" si="60"/>
        <v>19200000</v>
      </c>
      <c r="BK209" s="608"/>
    </row>
    <row r="210" spans="1:64" s="156" customFormat="1" ht="108" customHeight="1" x14ac:dyDescent="0.25">
      <c r="A210" s="390"/>
      <c r="B210" s="380"/>
      <c r="C210" s="322"/>
      <c r="D210" s="323"/>
      <c r="E210" s="305">
        <v>2201</v>
      </c>
      <c r="F210" s="307" t="s">
        <v>710</v>
      </c>
      <c r="G210" s="502" t="s">
        <v>742</v>
      </c>
      <c r="H210" s="305">
        <v>2201046</v>
      </c>
      <c r="I210" s="306" t="s">
        <v>743</v>
      </c>
      <c r="J210" s="601" t="s">
        <v>744</v>
      </c>
      <c r="K210" s="274">
        <v>220104602</v>
      </c>
      <c r="L210" s="306" t="s">
        <v>745</v>
      </c>
      <c r="M210" s="261" t="s">
        <v>179</v>
      </c>
      <c r="N210" s="261">
        <v>54</v>
      </c>
      <c r="O210" s="261">
        <v>5</v>
      </c>
      <c r="P210" s="261">
        <v>5</v>
      </c>
      <c r="Q210" s="354" t="s">
        <v>198</v>
      </c>
      <c r="R210" s="305" t="s">
        <v>752</v>
      </c>
      <c r="S210" s="306" t="s">
        <v>753</v>
      </c>
      <c r="T210" s="27"/>
      <c r="U210" s="27"/>
      <c r="V210" s="27"/>
      <c r="W210" s="27"/>
      <c r="X210" s="27"/>
      <c r="Y210" s="27"/>
      <c r="Z210" s="27"/>
      <c r="AA210" s="27"/>
      <c r="AB210" s="27"/>
      <c r="AC210" s="27"/>
      <c r="AD210" s="27"/>
      <c r="AE210" s="27"/>
      <c r="AF210" s="27"/>
      <c r="AG210" s="27"/>
      <c r="AH210" s="27"/>
      <c r="AI210" s="27"/>
      <c r="AJ210" s="27"/>
      <c r="AK210" s="27"/>
      <c r="AL210" s="45"/>
      <c r="AM210" s="45"/>
      <c r="AN210" s="45"/>
      <c r="AO210" s="45"/>
      <c r="AP210" s="45"/>
      <c r="AQ210" s="45"/>
      <c r="AR210" s="27"/>
      <c r="AS210" s="27"/>
      <c r="AT210" s="27"/>
      <c r="AU210" s="27"/>
      <c r="AV210" s="27"/>
      <c r="AW210" s="27"/>
      <c r="AX210" s="33">
        <f>76000000-17500000</f>
        <v>58500000</v>
      </c>
      <c r="AY210" s="33">
        <v>58500000</v>
      </c>
      <c r="AZ210" s="33">
        <v>58500000</v>
      </c>
      <c r="BA210" s="27"/>
      <c r="BB210" s="27"/>
      <c r="BC210" s="27"/>
      <c r="BD210" s="27"/>
      <c r="BE210" s="27"/>
      <c r="BF210" s="27"/>
      <c r="BG210" s="151">
        <f t="shared" si="60"/>
        <v>58500000</v>
      </c>
      <c r="BH210" s="151">
        <f t="shared" si="60"/>
        <v>58500000</v>
      </c>
      <c r="BI210" s="151">
        <f t="shared" si="60"/>
        <v>58500000</v>
      </c>
      <c r="BJ210" s="610"/>
      <c r="BK210" s="608"/>
      <c r="BL210" s="610"/>
    </row>
    <row r="211" spans="1:64" ht="85.5" customHeight="1" x14ac:dyDescent="0.2">
      <c r="A211" s="377"/>
      <c r="B211" s="380"/>
      <c r="C211" s="322"/>
      <c r="D211" s="323"/>
      <c r="E211" s="305">
        <v>2201</v>
      </c>
      <c r="F211" s="307" t="s">
        <v>754</v>
      </c>
      <c r="G211" s="422" t="s">
        <v>755</v>
      </c>
      <c r="H211" s="305">
        <v>2201037</v>
      </c>
      <c r="I211" s="306" t="s">
        <v>756</v>
      </c>
      <c r="J211" s="600" t="s">
        <v>757</v>
      </c>
      <c r="K211" s="274">
        <v>220103700</v>
      </c>
      <c r="L211" s="267" t="s">
        <v>758</v>
      </c>
      <c r="M211" s="261" t="s">
        <v>89</v>
      </c>
      <c r="N211" s="261">
        <v>54</v>
      </c>
      <c r="O211" s="261">
        <v>54</v>
      </c>
      <c r="P211" s="261">
        <v>54</v>
      </c>
      <c r="Q211" s="354" t="s">
        <v>198</v>
      </c>
      <c r="R211" s="305" t="s">
        <v>759</v>
      </c>
      <c r="S211" s="306" t="s">
        <v>760</v>
      </c>
      <c r="T211" s="27"/>
      <c r="U211" s="27"/>
      <c r="V211" s="27"/>
      <c r="W211" s="27"/>
      <c r="X211" s="27"/>
      <c r="Y211" s="27"/>
      <c r="Z211" s="27"/>
      <c r="AA211" s="27"/>
      <c r="AB211" s="27"/>
      <c r="AC211" s="27"/>
      <c r="AD211" s="27"/>
      <c r="AE211" s="27"/>
      <c r="AF211" s="27"/>
      <c r="AG211" s="27"/>
      <c r="AH211" s="27"/>
      <c r="AI211" s="27"/>
      <c r="AJ211" s="27"/>
      <c r="AK211" s="27"/>
      <c r="AL211" s="27"/>
      <c r="AM211" s="27"/>
      <c r="AN211" s="27"/>
      <c r="AO211" s="27"/>
      <c r="AP211" s="27"/>
      <c r="AQ211" s="27"/>
      <c r="AR211" s="27"/>
      <c r="AS211" s="27"/>
      <c r="AT211" s="27"/>
      <c r="AU211" s="27"/>
      <c r="AV211" s="27"/>
      <c r="AW211" s="27"/>
      <c r="AX211" s="44">
        <f>25000000-5000000+20000000</f>
        <v>40000000</v>
      </c>
      <c r="AY211" s="44">
        <v>39999332.869999997</v>
      </c>
      <c r="AZ211" s="44">
        <v>39999332.869999997</v>
      </c>
      <c r="BA211" s="27"/>
      <c r="BB211" s="27"/>
      <c r="BC211" s="27"/>
      <c r="BD211" s="27"/>
      <c r="BE211" s="27"/>
      <c r="BF211" s="27"/>
      <c r="BG211" s="151">
        <f t="shared" si="60"/>
        <v>40000000</v>
      </c>
      <c r="BH211" s="151">
        <f t="shared" si="60"/>
        <v>39999332.869999997</v>
      </c>
      <c r="BI211" s="151">
        <f t="shared" si="60"/>
        <v>39999332.869999997</v>
      </c>
      <c r="BK211" s="608"/>
    </row>
    <row r="212" spans="1:64" ht="63" customHeight="1" x14ac:dyDescent="0.2">
      <c r="A212" s="377"/>
      <c r="B212" s="380"/>
      <c r="C212" s="322"/>
      <c r="D212" s="323"/>
      <c r="E212" s="305">
        <v>2201</v>
      </c>
      <c r="F212" s="612" t="s">
        <v>710</v>
      </c>
      <c r="G212" s="624" t="s">
        <v>761</v>
      </c>
      <c r="H212" s="613">
        <v>2201050</v>
      </c>
      <c r="I212" s="612" t="s">
        <v>762</v>
      </c>
      <c r="J212" s="600" t="s">
        <v>763</v>
      </c>
      <c r="K212" s="274">
        <v>220105001</v>
      </c>
      <c r="L212" s="267" t="s">
        <v>764</v>
      </c>
      <c r="M212" s="261" t="s">
        <v>89</v>
      </c>
      <c r="N212" s="261">
        <v>150</v>
      </c>
      <c r="O212" s="261">
        <v>150</v>
      </c>
      <c r="P212" s="289">
        <v>54</v>
      </c>
      <c r="Q212" s="354" t="s">
        <v>198</v>
      </c>
      <c r="R212" s="625" t="s">
        <v>765</v>
      </c>
      <c r="S212" s="611" t="s">
        <v>766</v>
      </c>
      <c r="T212" s="27"/>
      <c r="U212" s="27"/>
      <c r="V212" s="27"/>
      <c r="W212" s="27"/>
      <c r="X212" s="27"/>
      <c r="Y212" s="27"/>
      <c r="Z212" s="27"/>
      <c r="AA212" s="27"/>
      <c r="AB212" s="27"/>
      <c r="AC212" s="27"/>
      <c r="AD212" s="27"/>
      <c r="AE212" s="27"/>
      <c r="AF212" s="27"/>
      <c r="AG212" s="27"/>
      <c r="AH212" s="27"/>
      <c r="AI212" s="27"/>
      <c r="AJ212" s="27"/>
      <c r="AK212" s="27"/>
      <c r="AL212" s="423">
        <f>700000000-26323820-124403264</f>
        <v>549272916</v>
      </c>
      <c r="AM212" s="342">
        <v>549272916</v>
      </c>
      <c r="AN212" s="342">
        <v>549272916</v>
      </c>
      <c r="AO212" s="27"/>
      <c r="AP212" s="27"/>
      <c r="AQ212" s="27"/>
      <c r="AR212" s="27"/>
      <c r="AS212" s="27"/>
      <c r="AT212" s="27"/>
      <c r="AU212" s="27"/>
      <c r="AV212" s="27"/>
      <c r="AW212" s="27"/>
      <c r="AX212" s="44"/>
      <c r="AY212" s="44"/>
      <c r="AZ212" s="44"/>
      <c r="BA212" s="27"/>
      <c r="BB212" s="27"/>
      <c r="BC212" s="27"/>
      <c r="BD212" s="27"/>
      <c r="BE212" s="27"/>
      <c r="BF212" s="27"/>
      <c r="BG212" s="151">
        <f t="shared" si="60"/>
        <v>549272916</v>
      </c>
      <c r="BH212" s="151">
        <f t="shared" si="60"/>
        <v>549272916</v>
      </c>
      <c r="BI212" s="151">
        <f t="shared" si="60"/>
        <v>549272916</v>
      </c>
      <c r="BK212" s="608"/>
    </row>
    <row r="213" spans="1:64" s="178" customFormat="1" ht="90.75" customHeight="1" x14ac:dyDescent="0.2">
      <c r="A213" s="386"/>
      <c r="B213" s="417"/>
      <c r="C213" s="418"/>
      <c r="D213" s="304"/>
      <c r="E213" s="420">
        <v>2201</v>
      </c>
      <c r="F213" s="612"/>
      <c r="G213" s="624"/>
      <c r="H213" s="613"/>
      <c r="I213" s="612"/>
      <c r="J213" s="600" t="s">
        <v>767</v>
      </c>
      <c r="K213" s="274">
        <v>220105000</v>
      </c>
      <c r="L213" s="271" t="s">
        <v>768</v>
      </c>
      <c r="M213" s="266" t="s">
        <v>179</v>
      </c>
      <c r="N213" s="266">
        <v>33000</v>
      </c>
      <c r="O213" s="266">
        <v>10000</v>
      </c>
      <c r="P213" s="266">
        <v>7650</v>
      </c>
      <c r="Q213" s="271" t="s">
        <v>198</v>
      </c>
      <c r="R213" s="625"/>
      <c r="S213" s="611"/>
      <c r="T213" s="27"/>
      <c r="U213" s="27"/>
      <c r="V213" s="27"/>
      <c r="W213" s="27"/>
      <c r="X213" s="27"/>
      <c r="Y213" s="27"/>
      <c r="Z213" s="27"/>
      <c r="AA213" s="27"/>
      <c r="AB213" s="27"/>
      <c r="AC213" s="27"/>
      <c r="AD213" s="27"/>
      <c r="AE213" s="27"/>
      <c r="AF213" s="27"/>
      <c r="AG213" s="27"/>
      <c r="AH213" s="27"/>
      <c r="AI213" s="27"/>
      <c r="AJ213" s="27"/>
      <c r="AK213" s="27"/>
      <c r="AL213" s="423"/>
      <c r="AM213" s="423"/>
      <c r="AN213" s="423"/>
      <c r="AO213" s="27"/>
      <c r="AP213" s="27"/>
      <c r="AQ213" s="27"/>
      <c r="AR213" s="27"/>
      <c r="AS213" s="27"/>
      <c r="AT213" s="27"/>
      <c r="AU213" s="27"/>
      <c r="AV213" s="27"/>
      <c r="AW213" s="27"/>
      <c r="AX213" s="44"/>
      <c r="AY213" s="44"/>
      <c r="AZ213" s="44"/>
      <c r="BA213" s="27"/>
      <c r="BB213" s="27"/>
      <c r="BC213" s="27"/>
      <c r="BD213" s="27"/>
      <c r="BE213" s="27"/>
      <c r="BF213" s="27"/>
      <c r="BG213" s="151">
        <f t="shared" si="60"/>
        <v>0</v>
      </c>
      <c r="BH213" s="177"/>
      <c r="BI213" s="177"/>
      <c r="BK213" s="608"/>
    </row>
    <row r="214" spans="1:64" ht="63.75" customHeight="1" x14ac:dyDescent="0.2">
      <c r="A214" s="377"/>
      <c r="B214" s="380"/>
      <c r="C214" s="322"/>
      <c r="D214" s="323"/>
      <c r="E214" s="305">
        <v>2201</v>
      </c>
      <c r="F214" s="307" t="s">
        <v>769</v>
      </c>
      <c r="G214" s="422" t="s">
        <v>770</v>
      </c>
      <c r="H214" s="305">
        <v>2201034</v>
      </c>
      <c r="I214" s="306" t="s">
        <v>1464</v>
      </c>
      <c r="J214" s="600" t="s">
        <v>771</v>
      </c>
      <c r="K214" s="274">
        <v>220103400</v>
      </c>
      <c r="L214" s="267" t="s">
        <v>772</v>
      </c>
      <c r="M214" s="261" t="s">
        <v>179</v>
      </c>
      <c r="N214" s="261">
        <v>15000</v>
      </c>
      <c r="O214" s="261">
        <v>100</v>
      </c>
      <c r="P214" s="266">
        <v>102</v>
      </c>
      <c r="Q214" s="630" t="s">
        <v>198</v>
      </c>
      <c r="R214" s="613" t="s">
        <v>773</v>
      </c>
      <c r="S214" s="611" t="s">
        <v>774</v>
      </c>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c r="AS214" s="27"/>
      <c r="AT214" s="27"/>
      <c r="AU214" s="27"/>
      <c r="AV214" s="27"/>
      <c r="AW214" s="27"/>
      <c r="AX214" s="598">
        <f>15000000-10000000+15000000-20000000</f>
        <v>0</v>
      </c>
      <c r="AY214" s="343"/>
      <c r="AZ214" s="343"/>
      <c r="BA214" s="27"/>
      <c r="BB214" s="27"/>
      <c r="BC214" s="27"/>
      <c r="BD214" s="27"/>
      <c r="BE214" s="27"/>
      <c r="BF214" s="27"/>
      <c r="BG214" s="151">
        <f>+T214+W214+Z214+AC214+AF214+AI214+AL214+AO214+AR214+AU214+AX214+BA214+BD214</f>
        <v>0</v>
      </c>
      <c r="BH214" s="151">
        <f t="shared" ref="BH214:BI217" si="62">+U214+X214+AA214+AD214+AG214+AJ214+AM214+AP214+AS214+AV214+AY214+BB214+BE214</f>
        <v>0</v>
      </c>
      <c r="BI214" s="151">
        <f t="shared" si="62"/>
        <v>0</v>
      </c>
      <c r="BK214" s="608"/>
    </row>
    <row r="215" spans="1:64" ht="88.5" customHeight="1" x14ac:dyDescent="0.2">
      <c r="A215" s="377"/>
      <c r="B215" s="380"/>
      <c r="C215" s="322"/>
      <c r="D215" s="323"/>
      <c r="E215" s="305">
        <v>2201</v>
      </c>
      <c r="F215" s="307" t="s">
        <v>769</v>
      </c>
      <c r="G215" s="422" t="s">
        <v>770</v>
      </c>
      <c r="H215" s="450">
        <v>2201034</v>
      </c>
      <c r="I215" s="449" t="s">
        <v>1464</v>
      </c>
      <c r="J215" s="600" t="s">
        <v>775</v>
      </c>
      <c r="K215" s="274">
        <v>220103401</v>
      </c>
      <c r="L215" s="271" t="s">
        <v>776</v>
      </c>
      <c r="M215" s="266" t="s">
        <v>89</v>
      </c>
      <c r="N215" s="266">
        <v>54</v>
      </c>
      <c r="O215" s="266">
        <v>54</v>
      </c>
      <c r="P215" s="266">
        <v>54</v>
      </c>
      <c r="Q215" s="630"/>
      <c r="R215" s="613"/>
      <c r="S215" s="611"/>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7"/>
      <c r="AU215" s="27"/>
      <c r="AV215" s="27"/>
      <c r="AW215" s="27"/>
      <c r="AX215" s="425">
        <f>10000000-10000000</f>
        <v>0</v>
      </c>
      <c r="AY215" s="343"/>
      <c r="AZ215" s="343"/>
      <c r="BA215" s="301"/>
      <c r="BB215" s="27"/>
      <c r="BC215" s="27"/>
      <c r="BD215" s="27"/>
      <c r="BE215" s="27"/>
      <c r="BF215" s="27"/>
      <c r="BG215" s="151">
        <f>+T215+W215+Z215+AC215+AF215+AI215+AL215+AO215+AR215+AU215+AX215+BA215+BD215</f>
        <v>0</v>
      </c>
      <c r="BH215" s="151">
        <f t="shared" si="62"/>
        <v>0</v>
      </c>
      <c r="BI215" s="151">
        <f t="shared" si="62"/>
        <v>0</v>
      </c>
      <c r="BK215" s="608"/>
    </row>
    <row r="216" spans="1:64" ht="61.5" customHeight="1" x14ac:dyDescent="0.2">
      <c r="A216" s="377"/>
      <c r="B216" s="380"/>
      <c r="C216" s="322"/>
      <c r="D216" s="323"/>
      <c r="E216" s="305">
        <v>2201</v>
      </c>
      <c r="F216" s="307" t="s">
        <v>769</v>
      </c>
      <c r="G216" s="450" t="s">
        <v>777</v>
      </c>
      <c r="H216" s="450">
        <v>2201060</v>
      </c>
      <c r="I216" s="449" t="s">
        <v>778</v>
      </c>
      <c r="J216" s="601" t="s">
        <v>779</v>
      </c>
      <c r="K216" s="274">
        <v>220106000</v>
      </c>
      <c r="L216" s="449" t="s">
        <v>780</v>
      </c>
      <c r="M216" s="266" t="s">
        <v>179</v>
      </c>
      <c r="N216" s="266">
        <v>500</v>
      </c>
      <c r="O216" s="266">
        <v>50</v>
      </c>
      <c r="P216" s="266">
        <v>37</v>
      </c>
      <c r="Q216" s="630"/>
      <c r="R216" s="613"/>
      <c r="S216" s="611"/>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27"/>
      <c r="AQ216" s="27"/>
      <c r="AR216" s="27"/>
      <c r="AS216" s="27"/>
      <c r="AT216" s="27"/>
      <c r="AU216" s="27"/>
      <c r="AV216" s="27"/>
      <c r="AW216" s="27"/>
      <c r="AX216" s="44">
        <v>0</v>
      </c>
      <c r="AY216" s="44"/>
      <c r="AZ216" s="44"/>
      <c r="BA216" s="27"/>
      <c r="BB216" s="27"/>
      <c r="BC216" s="27"/>
      <c r="BD216" s="27"/>
      <c r="BE216" s="27"/>
      <c r="BF216" s="27"/>
      <c r="BG216" s="151">
        <f>+T216+W216+Z216+AC216+AF216+AI216+AL216+AO216+AR216+AU216+AX216+BA216+BD216</f>
        <v>0</v>
      </c>
      <c r="BH216" s="151">
        <f t="shared" si="62"/>
        <v>0</v>
      </c>
      <c r="BI216" s="151">
        <f t="shared" si="62"/>
        <v>0</v>
      </c>
      <c r="BK216" s="608"/>
    </row>
    <row r="217" spans="1:64" ht="118.5" customHeight="1" x14ac:dyDescent="0.2">
      <c r="A217" s="377"/>
      <c r="B217" s="380"/>
      <c r="C217" s="322"/>
      <c r="D217" s="323"/>
      <c r="E217" s="305">
        <v>2201</v>
      </c>
      <c r="F217" s="307" t="s">
        <v>735</v>
      </c>
      <c r="G217" s="450" t="s">
        <v>781</v>
      </c>
      <c r="H217" s="305">
        <v>2201015</v>
      </c>
      <c r="I217" s="306" t="s">
        <v>782</v>
      </c>
      <c r="J217" s="601" t="s">
        <v>783</v>
      </c>
      <c r="K217" s="175">
        <v>220101500</v>
      </c>
      <c r="L217" s="306" t="s">
        <v>784</v>
      </c>
      <c r="M217" s="261" t="s">
        <v>89</v>
      </c>
      <c r="N217" s="261">
        <v>11</v>
      </c>
      <c r="O217" s="261">
        <v>11</v>
      </c>
      <c r="P217" s="289">
        <v>10</v>
      </c>
      <c r="Q217" s="354" t="s">
        <v>198</v>
      </c>
      <c r="R217" s="305" t="s">
        <v>785</v>
      </c>
      <c r="S217" s="306" t="s">
        <v>1435</v>
      </c>
      <c r="T217" s="27"/>
      <c r="U217" s="27"/>
      <c r="V217" s="27"/>
      <c r="W217" s="27"/>
      <c r="X217" s="27"/>
      <c r="Y217" s="27"/>
      <c r="Z217" s="27"/>
      <c r="AA217" s="27"/>
      <c r="AB217" s="27"/>
      <c r="AC217" s="27"/>
      <c r="AD217" s="27"/>
      <c r="AE217" s="27"/>
      <c r="AF217" s="27"/>
      <c r="AG217" s="27"/>
      <c r="AH217" s="27"/>
      <c r="AI217" s="27"/>
      <c r="AJ217" s="27"/>
      <c r="AK217" s="27"/>
      <c r="AL217" s="27"/>
      <c r="AM217" s="27"/>
      <c r="AN217" s="27"/>
      <c r="AO217" s="27"/>
      <c r="AP217" s="27"/>
      <c r="AQ217" s="27"/>
      <c r="AR217" s="27"/>
      <c r="AS217" s="27"/>
      <c r="AT217" s="27"/>
      <c r="AU217" s="27"/>
      <c r="AV217" s="27"/>
      <c r="AW217" s="27"/>
      <c r="AX217" s="44">
        <v>10000000</v>
      </c>
      <c r="AY217" s="44"/>
      <c r="AZ217" s="44"/>
      <c r="BA217" s="27"/>
      <c r="BB217" s="27"/>
      <c r="BC217" s="27"/>
      <c r="BD217" s="27"/>
      <c r="BE217" s="27"/>
      <c r="BF217" s="27"/>
      <c r="BG217" s="151">
        <f>+T217+W217+Z217+AC217+AF217+AI217+AL217+AO217+AR217+AU217+AX217+BA217+BD217</f>
        <v>10000000</v>
      </c>
      <c r="BH217" s="151">
        <f t="shared" si="62"/>
        <v>0</v>
      </c>
      <c r="BI217" s="151">
        <f t="shared" si="62"/>
        <v>0</v>
      </c>
      <c r="BK217" s="608"/>
    </row>
    <row r="218" spans="1:64" ht="27" customHeight="1" x14ac:dyDescent="0.2">
      <c r="A218" s="377"/>
      <c r="B218" s="380"/>
      <c r="C218" s="171">
        <v>44</v>
      </c>
      <c r="D218" s="146" t="s">
        <v>83</v>
      </c>
      <c r="E218" s="308" t="s">
        <v>786</v>
      </c>
      <c r="F218" s="145"/>
      <c r="G218" s="146"/>
      <c r="H218" s="147"/>
      <c r="I218" s="145"/>
      <c r="J218" s="146"/>
      <c r="K218" s="146"/>
      <c r="L218" s="145"/>
      <c r="M218" s="148"/>
      <c r="N218" s="148"/>
      <c r="O218" s="146"/>
      <c r="P218" s="146"/>
      <c r="Q218" s="368"/>
      <c r="R218" s="146"/>
      <c r="S218" s="145"/>
      <c r="T218" s="150">
        <f t="shared" ref="T218:BG218" si="63">SUM(T219:T220)</f>
        <v>0</v>
      </c>
      <c r="U218" s="150">
        <f t="shared" si="63"/>
        <v>0</v>
      </c>
      <c r="V218" s="150">
        <f t="shared" si="63"/>
        <v>0</v>
      </c>
      <c r="W218" s="150">
        <f t="shared" si="63"/>
        <v>0</v>
      </c>
      <c r="X218" s="150">
        <f t="shared" si="63"/>
        <v>0</v>
      </c>
      <c r="Y218" s="150">
        <f t="shared" si="63"/>
        <v>0</v>
      </c>
      <c r="Z218" s="150">
        <f t="shared" si="63"/>
        <v>0</v>
      </c>
      <c r="AA218" s="150">
        <f t="shared" si="63"/>
        <v>0</v>
      </c>
      <c r="AB218" s="150">
        <f t="shared" si="63"/>
        <v>0</v>
      </c>
      <c r="AC218" s="150">
        <f t="shared" si="63"/>
        <v>90000000</v>
      </c>
      <c r="AD218" s="150">
        <f t="shared" si="63"/>
        <v>60849645</v>
      </c>
      <c r="AE218" s="150">
        <f t="shared" si="63"/>
        <v>60849645</v>
      </c>
      <c r="AF218" s="150">
        <f t="shared" si="63"/>
        <v>0</v>
      </c>
      <c r="AG218" s="150">
        <f t="shared" si="63"/>
        <v>0</v>
      </c>
      <c r="AH218" s="150">
        <f t="shared" si="63"/>
        <v>0</v>
      </c>
      <c r="AI218" s="150">
        <f t="shared" si="63"/>
        <v>0</v>
      </c>
      <c r="AJ218" s="150">
        <f t="shared" si="63"/>
        <v>0</v>
      </c>
      <c r="AK218" s="150">
        <f t="shared" si="63"/>
        <v>0</v>
      </c>
      <c r="AL218" s="150">
        <f t="shared" si="63"/>
        <v>0</v>
      </c>
      <c r="AM218" s="150">
        <f t="shared" si="63"/>
        <v>0</v>
      </c>
      <c r="AN218" s="150">
        <f t="shared" si="63"/>
        <v>0</v>
      </c>
      <c r="AO218" s="150">
        <f t="shared" si="63"/>
        <v>0</v>
      </c>
      <c r="AP218" s="150">
        <f t="shared" si="63"/>
        <v>0</v>
      </c>
      <c r="AQ218" s="150">
        <f t="shared" si="63"/>
        <v>0</v>
      </c>
      <c r="AR218" s="150">
        <f t="shared" si="63"/>
        <v>0</v>
      </c>
      <c r="AS218" s="150">
        <f t="shared" si="63"/>
        <v>0</v>
      </c>
      <c r="AT218" s="150">
        <f t="shared" si="63"/>
        <v>0</v>
      </c>
      <c r="AU218" s="150">
        <f t="shared" si="63"/>
        <v>0</v>
      </c>
      <c r="AV218" s="150">
        <f t="shared" si="63"/>
        <v>0</v>
      </c>
      <c r="AW218" s="150">
        <f t="shared" si="63"/>
        <v>0</v>
      </c>
      <c r="AX218" s="150">
        <f t="shared" si="63"/>
        <v>153838500</v>
      </c>
      <c r="AY218" s="150">
        <f t="shared" si="63"/>
        <v>153838500</v>
      </c>
      <c r="AZ218" s="150">
        <f t="shared" si="63"/>
        <v>153838500</v>
      </c>
      <c r="BA218" s="150">
        <f t="shared" si="63"/>
        <v>0</v>
      </c>
      <c r="BB218" s="150">
        <f t="shared" si="63"/>
        <v>0</v>
      </c>
      <c r="BC218" s="150">
        <f t="shared" si="63"/>
        <v>0</v>
      </c>
      <c r="BD218" s="150">
        <f t="shared" si="63"/>
        <v>0</v>
      </c>
      <c r="BE218" s="150">
        <f t="shared" si="63"/>
        <v>0</v>
      </c>
      <c r="BF218" s="150">
        <f t="shared" si="63"/>
        <v>0</v>
      </c>
      <c r="BG218" s="150">
        <f t="shared" si="63"/>
        <v>243838500</v>
      </c>
      <c r="BH218" s="150">
        <f>SUM(BH219:BH220)</f>
        <v>214688145</v>
      </c>
      <c r="BI218" s="150">
        <f>SUM(BI219:BI220)</f>
        <v>214688145</v>
      </c>
      <c r="BK218" s="608"/>
    </row>
    <row r="219" spans="1:64" s="156" customFormat="1" ht="99.75" customHeight="1" x14ac:dyDescent="0.25">
      <c r="A219" s="390"/>
      <c r="B219" s="380"/>
      <c r="C219" s="322"/>
      <c r="D219" s="323"/>
      <c r="E219" s="305" t="s">
        <v>83</v>
      </c>
      <c r="F219" s="307" t="s">
        <v>787</v>
      </c>
      <c r="G219" s="502" t="s">
        <v>788</v>
      </c>
      <c r="H219" s="305" t="s">
        <v>83</v>
      </c>
      <c r="I219" s="306" t="s">
        <v>789</v>
      </c>
      <c r="J219" s="601" t="s">
        <v>790</v>
      </c>
      <c r="K219" s="305" t="s">
        <v>83</v>
      </c>
      <c r="L219" s="306" t="s">
        <v>791</v>
      </c>
      <c r="M219" s="261" t="s">
        <v>89</v>
      </c>
      <c r="N219" s="261">
        <v>1</v>
      </c>
      <c r="O219" s="261">
        <v>1</v>
      </c>
      <c r="P219" s="605">
        <v>1</v>
      </c>
      <c r="Q219" s="354" t="s">
        <v>198</v>
      </c>
      <c r="R219" s="305" t="s">
        <v>752</v>
      </c>
      <c r="S219" s="306" t="s">
        <v>792</v>
      </c>
      <c r="T219" s="27"/>
      <c r="U219" s="27"/>
      <c r="V219" s="27"/>
      <c r="W219" s="27"/>
      <c r="X219" s="27"/>
      <c r="Y219" s="27"/>
      <c r="Z219" s="27"/>
      <c r="AA219" s="27"/>
      <c r="AB219" s="27"/>
      <c r="AC219" s="27">
        <v>40000000</v>
      </c>
      <c r="AD219" s="27">
        <v>40000000</v>
      </c>
      <c r="AE219" s="27">
        <v>40000000</v>
      </c>
      <c r="AF219" s="27"/>
      <c r="AG219" s="27"/>
      <c r="AH219" s="27"/>
      <c r="AI219" s="27"/>
      <c r="AJ219" s="27"/>
      <c r="AK219" s="27"/>
      <c r="AL219" s="45"/>
      <c r="AM219" s="45"/>
      <c r="AN219" s="45"/>
      <c r="AO219" s="45"/>
      <c r="AP219" s="45"/>
      <c r="AQ219" s="45"/>
      <c r="AR219" s="27"/>
      <c r="AS219" s="27"/>
      <c r="AT219" s="27"/>
      <c r="AU219" s="27"/>
      <c r="AV219" s="27"/>
      <c r="AW219" s="27"/>
      <c r="AX219" s="33">
        <f>126778000-76778000-46161500</f>
        <v>3838500</v>
      </c>
      <c r="AY219" s="33">
        <v>3838500</v>
      </c>
      <c r="AZ219" s="33">
        <v>3838500</v>
      </c>
      <c r="BA219" s="27"/>
      <c r="BB219" s="27"/>
      <c r="BC219" s="27"/>
      <c r="BD219" s="27"/>
      <c r="BE219" s="27"/>
      <c r="BF219" s="27"/>
      <c r="BG219" s="151">
        <f t="shared" ref="BG219:BI220" si="64">+T219+W219+Z219+AC219+AF219+AI219+AL219+AO219+AR219+AU219+AX219+BA219+BD219</f>
        <v>43838500</v>
      </c>
      <c r="BH219" s="151">
        <f t="shared" si="64"/>
        <v>43838500</v>
      </c>
      <c r="BI219" s="151">
        <f t="shared" si="64"/>
        <v>43838500</v>
      </c>
      <c r="BJ219" s="610"/>
      <c r="BK219" s="608"/>
      <c r="BL219" s="610"/>
    </row>
    <row r="220" spans="1:64" s="156" customFormat="1" ht="111" customHeight="1" x14ac:dyDescent="0.25">
      <c r="A220" s="388"/>
      <c r="B220" s="381"/>
      <c r="C220" s="322"/>
      <c r="D220" s="323"/>
      <c r="E220" s="305" t="s">
        <v>83</v>
      </c>
      <c r="F220" s="307" t="s">
        <v>787</v>
      </c>
      <c r="G220" s="266" t="s">
        <v>788</v>
      </c>
      <c r="H220" s="305" t="s">
        <v>83</v>
      </c>
      <c r="I220" s="306" t="s">
        <v>789</v>
      </c>
      <c r="J220" s="602" t="s">
        <v>790</v>
      </c>
      <c r="K220" s="268" t="s">
        <v>83</v>
      </c>
      <c r="L220" s="267" t="s">
        <v>791</v>
      </c>
      <c r="M220" s="305" t="s">
        <v>89</v>
      </c>
      <c r="N220" s="305">
        <v>1</v>
      </c>
      <c r="O220" s="175">
        <v>1</v>
      </c>
      <c r="P220" s="175">
        <v>1</v>
      </c>
      <c r="Q220" s="354" t="s">
        <v>198</v>
      </c>
      <c r="R220" s="203" t="s">
        <v>793</v>
      </c>
      <c r="S220" s="306" t="s">
        <v>1436</v>
      </c>
      <c r="T220" s="27"/>
      <c r="U220" s="27"/>
      <c r="V220" s="27"/>
      <c r="W220" s="27"/>
      <c r="X220" s="27"/>
      <c r="Y220" s="27"/>
      <c r="Z220" s="27"/>
      <c r="AA220" s="27"/>
      <c r="AB220" s="27"/>
      <c r="AC220" s="27">
        <v>50000000</v>
      </c>
      <c r="AD220" s="27">
        <v>20849645</v>
      </c>
      <c r="AE220" s="27">
        <v>20849645</v>
      </c>
      <c r="AF220" s="27"/>
      <c r="AG220" s="27"/>
      <c r="AH220" s="27"/>
      <c r="AI220" s="27"/>
      <c r="AJ220" s="27"/>
      <c r="AK220" s="27"/>
      <c r="AL220" s="45"/>
      <c r="AM220" s="45"/>
      <c r="AN220" s="45"/>
      <c r="AO220" s="45"/>
      <c r="AP220" s="45"/>
      <c r="AQ220" s="45"/>
      <c r="AR220" s="27"/>
      <c r="AS220" s="27"/>
      <c r="AT220" s="27"/>
      <c r="AU220" s="27"/>
      <c r="AV220" s="27"/>
      <c r="AW220" s="27"/>
      <c r="AX220" s="33">
        <f>145000000+5000000</f>
        <v>150000000</v>
      </c>
      <c r="AY220" s="33">
        <v>150000000</v>
      </c>
      <c r="AZ220" s="33">
        <v>150000000</v>
      </c>
      <c r="BA220" s="27"/>
      <c r="BB220" s="27"/>
      <c r="BC220" s="27"/>
      <c r="BD220" s="27"/>
      <c r="BE220" s="27"/>
      <c r="BF220" s="27"/>
      <c r="BG220" s="151">
        <f t="shared" si="64"/>
        <v>200000000</v>
      </c>
      <c r="BH220" s="151">
        <f t="shared" si="64"/>
        <v>170849645</v>
      </c>
      <c r="BI220" s="151">
        <f t="shared" si="64"/>
        <v>170849645</v>
      </c>
      <c r="BJ220" s="610"/>
      <c r="BK220" s="608"/>
      <c r="BL220" s="610"/>
    </row>
    <row r="221" spans="1:64" s="155" customFormat="1" ht="15.75" x14ac:dyDescent="0.2">
      <c r="A221" s="183" t="s">
        <v>795</v>
      </c>
      <c r="B221" s="183"/>
      <c r="C221" s="183"/>
      <c r="D221" s="184"/>
      <c r="E221" s="184"/>
      <c r="F221" s="185"/>
      <c r="G221" s="186"/>
      <c r="H221" s="135"/>
      <c r="I221" s="185"/>
      <c r="J221" s="186"/>
      <c r="K221" s="186"/>
      <c r="L221" s="185"/>
      <c r="M221" s="135"/>
      <c r="N221" s="135"/>
      <c r="O221" s="186"/>
      <c r="P221" s="186"/>
      <c r="Q221" s="369"/>
      <c r="R221" s="186"/>
      <c r="S221" s="185"/>
      <c r="T221" s="164">
        <f>T222+T258+T261</f>
        <v>4262727592.3899999</v>
      </c>
      <c r="U221" s="164">
        <f>U222+U258+U261</f>
        <v>3642665598</v>
      </c>
      <c r="V221" s="164">
        <f>V222+V258+V261</f>
        <v>3642665598</v>
      </c>
      <c r="W221" s="164">
        <f>W222+W258+W261</f>
        <v>0</v>
      </c>
      <c r="X221" s="164"/>
      <c r="Y221" s="164"/>
      <c r="Z221" s="164">
        <f>Z222+Z258+Z261</f>
        <v>0</v>
      </c>
      <c r="AA221" s="164"/>
      <c r="AB221" s="164"/>
      <c r="AC221" s="164">
        <f>AC222+AC258+AC261</f>
        <v>0</v>
      </c>
      <c r="AD221" s="164"/>
      <c r="AE221" s="164"/>
      <c r="AF221" s="164">
        <f>AF222+AF258+AF261</f>
        <v>0</v>
      </c>
      <c r="AG221" s="164"/>
      <c r="AH221" s="164"/>
      <c r="AI221" s="164">
        <f>AI222+AI258+AI261</f>
        <v>0</v>
      </c>
      <c r="AJ221" s="164"/>
      <c r="AK221" s="164"/>
      <c r="AL221" s="164">
        <f>AL222+AL258+AL261</f>
        <v>0</v>
      </c>
      <c r="AM221" s="164"/>
      <c r="AN221" s="164"/>
      <c r="AO221" s="164">
        <f>AO222+AO258+AO261</f>
        <v>0</v>
      </c>
      <c r="AP221" s="164"/>
      <c r="AQ221" s="164"/>
      <c r="AR221" s="164">
        <f>AR222+AR258+AR261</f>
        <v>0</v>
      </c>
      <c r="AS221" s="164"/>
      <c r="AT221" s="164"/>
      <c r="AU221" s="164">
        <f>AU222+AU258+AU261</f>
        <v>0</v>
      </c>
      <c r="AV221" s="164"/>
      <c r="AW221" s="164"/>
      <c r="AX221" s="164">
        <f>AX222+AX258+AX261</f>
        <v>1671047309</v>
      </c>
      <c r="AY221" s="164">
        <f>AY222+AY258+AY261</f>
        <v>1149256167</v>
      </c>
      <c r="AZ221" s="164">
        <f>AZ222+AZ258+AZ261</f>
        <v>1149256167</v>
      </c>
      <c r="BA221" s="164">
        <f>BA222+BA258+BA261</f>
        <v>0</v>
      </c>
      <c r="BB221" s="164"/>
      <c r="BC221" s="164"/>
      <c r="BD221" s="164">
        <f>BD222+BD258+BD261</f>
        <v>0</v>
      </c>
      <c r="BE221" s="164"/>
      <c r="BF221" s="164"/>
      <c r="BG221" s="164">
        <f>BG222+BG258+BG261</f>
        <v>5933774901.3899994</v>
      </c>
      <c r="BH221" s="164">
        <f>BH222+BH258+BH261</f>
        <v>4791921765</v>
      </c>
      <c r="BI221" s="164">
        <f>BI222+BI258+BI261</f>
        <v>4791921765</v>
      </c>
      <c r="BJ221" s="608"/>
      <c r="BK221" s="608"/>
      <c r="BL221" s="608"/>
    </row>
    <row r="222" spans="1:64" s="155" customFormat="1" ht="19.5" customHeight="1" x14ac:dyDescent="0.2">
      <c r="A222" s="399"/>
      <c r="B222" s="222">
        <v>1</v>
      </c>
      <c r="C222" s="138" t="s">
        <v>1</v>
      </c>
      <c r="D222" s="139"/>
      <c r="E222" s="139"/>
      <c r="F222" s="140"/>
      <c r="G222" s="141"/>
      <c r="H222" s="142"/>
      <c r="I222" s="140"/>
      <c r="J222" s="141"/>
      <c r="K222" s="141"/>
      <c r="L222" s="140"/>
      <c r="M222" s="143"/>
      <c r="N222" s="143"/>
      <c r="O222" s="141"/>
      <c r="P222" s="141"/>
      <c r="Q222" s="370"/>
      <c r="R222" s="141"/>
      <c r="S222" s="140"/>
      <c r="T222" s="144">
        <f>+T223+T226+T228+T237+T245+T255</f>
        <v>4262727592.3899999</v>
      </c>
      <c r="U222" s="144">
        <f>+U223+U226+U228+U237+U245+U255</f>
        <v>3642665598</v>
      </c>
      <c r="V222" s="144">
        <f>+V223+V226+V228+V237+V245+V255</f>
        <v>3642665598</v>
      </c>
      <c r="W222" s="144">
        <f>+W223+W226+W228+W237+W245+W255</f>
        <v>0</v>
      </c>
      <c r="X222" s="144"/>
      <c r="Y222" s="144"/>
      <c r="Z222" s="144">
        <f>+Z223+Z226+Z228+Z237+Z245+Z255</f>
        <v>0</v>
      </c>
      <c r="AA222" s="144"/>
      <c r="AB222" s="144"/>
      <c r="AC222" s="144">
        <f>+AC223+AC226+AC228+AC237+AC245+AC255</f>
        <v>0</v>
      </c>
      <c r="AD222" s="144"/>
      <c r="AE222" s="144"/>
      <c r="AF222" s="144">
        <f>+AF223+AF226+AF228+AF237+AF245+AF255</f>
        <v>0</v>
      </c>
      <c r="AG222" s="144"/>
      <c r="AH222" s="144"/>
      <c r="AI222" s="144">
        <f>+AI223+AI226+AI228+AI237+AI245+AI255</f>
        <v>0</v>
      </c>
      <c r="AJ222" s="144"/>
      <c r="AK222" s="144"/>
      <c r="AL222" s="144">
        <f>+AL223+AL226+AL228+AL237+AL245+AL255</f>
        <v>0</v>
      </c>
      <c r="AM222" s="144"/>
      <c r="AN222" s="144"/>
      <c r="AO222" s="144">
        <f>+AO223+AO226+AO228+AO237+AO245+AO255</f>
        <v>0</v>
      </c>
      <c r="AP222" s="144"/>
      <c r="AQ222" s="144"/>
      <c r="AR222" s="144">
        <f>+AR223+AR226+AR228+AR237+AR245+AR255</f>
        <v>0</v>
      </c>
      <c r="AS222" s="144"/>
      <c r="AT222" s="144"/>
      <c r="AU222" s="144">
        <f>+AU223+AU226+AU228+AU237+AU245+AU255</f>
        <v>0</v>
      </c>
      <c r="AV222" s="144"/>
      <c r="AW222" s="144"/>
      <c r="AX222" s="144">
        <f>+AX223+AX226+AX228+AX237+AX245+AX255</f>
        <v>1631047309</v>
      </c>
      <c r="AY222" s="144">
        <f>+AY223+AY226+AY228+AY237+AY245+AY255</f>
        <v>1149256167</v>
      </c>
      <c r="AZ222" s="144">
        <f>+AZ223+AZ226+AZ228+AZ237+AZ245+AZ255</f>
        <v>1149256167</v>
      </c>
      <c r="BA222" s="144">
        <f>+BA223+BA226+BA228+BA237+BA245+BA255</f>
        <v>0</v>
      </c>
      <c r="BB222" s="144"/>
      <c r="BC222" s="144"/>
      <c r="BD222" s="144">
        <f>+BD223+BD226+BD228+BD237+BD245+BD255</f>
        <v>0</v>
      </c>
      <c r="BE222" s="144"/>
      <c r="BF222" s="144"/>
      <c r="BG222" s="144">
        <f>+BG223+BG226+BG228+BG237+BG245+BG255</f>
        <v>5893774901.3899994</v>
      </c>
      <c r="BH222" s="144">
        <f>+BH223+BH226+BH228+BH237+BH245+BH255</f>
        <v>4791921765</v>
      </c>
      <c r="BI222" s="144">
        <f>+BI223+BI226+BI228+BI237+BI245+BI255</f>
        <v>4791921765</v>
      </c>
      <c r="BJ222" s="206"/>
      <c r="BK222" s="608"/>
      <c r="BL222" s="206"/>
    </row>
    <row r="223" spans="1:64" s="155" customFormat="1" ht="23.25" customHeight="1" x14ac:dyDescent="0.2">
      <c r="A223" s="383"/>
      <c r="B223" s="379"/>
      <c r="C223" s="171">
        <v>12</v>
      </c>
      <c r="D223" s="146">
        <v>1905</v>
      </c>
      <c r="E223" s="344" t="s">
        <v>797</v>
      </c>
      <c r="F223" s="145"/>
      <c r="G223" s="146"/>
      <c r="H223" s="147"/>
      <c r="I223" s="145"/>
      <c r="J223" s="146"/>
      <c r="K223" s="146"/>
      <c r="L223" s="145"/>
      <c r="M223" s="148"/>
      <c r="N223" s="148"/>
      <c r="O223" s="146"/>
      <c r="P223" s="146"/>
      <c r="Q223" s="368"/>
      <c r="R223" s="146"/>
      <c r="S223" s="145"/>
      <c r="T223" s="47">
        <f>SUM(T224:T225)</f>
        <v>0</v>
      </c>
      <c r="U223" s="47">
        <f>SUM(U224:U225)</f>
        <v>0</v>
      </c>
      <c r="V223" s="47">
        <f>SUM(V224:V225)</f>
        <v>0</v>
      </c>
      <c r="W223" s="47">
        <f>SUM(W224:W225)</f>
        <v>0</v>
      </c>
      <c r="X223" s="47"/>
      <c r="Y223" s="47"/>
      <c r="Z223" s="47">
        <f>SUM(Z224:Z225)</f>
        <v>0</v>
      </c>
      <c r="AA223" s="47"/>
      <c r="AB223" s="47"/>
      <c r="AC223" s="47">
        <f>SUM(AC224:AC225)</f>
        <v>0</v>
      </c>
      <c r="AD223" s="47"/>
      <c r="AE223" s="47"/>
      <c r="AF223" s="47">
        <f>SUM(AF224:AF225)</f>
        <v>0</v>
      </c>
      <c r="AG223" s="47"/>
      <c r="AH223" s="47"/>
      <c r="AI223" s="47">
        <f>SUM(AI224:AI225)</f>
        <v>0</v>
      </c>
      <c r="AJ223" s="47"/>
      <c r="AK223" s="47"/>
      <c r="AL223" s="47">
        <f>SUM(AL224:AL225)</f>
        <v>0</v>
      </c>
      <c r="AM223" s="47"/>
      <c r="AN223" s="47"/>
      <c r="AO223" s="47">
        <f>SUM(AO224:AO225)</f>
        <v>0</v>
      </c>
      <c r="AP223" s="47"/>
      <c r="AQ223" s="47"/>
      <c r="AR223" s="47">
        <f>SUM(AR224:AR225)</f>
        <v>0</v>
      </c>
      <c r="AS223" s="47"/>
      <c r="AT223" s="47"/>
      <c r="AU223" s="47">
        <f>SUM(AU224:AU225)</f>
        <v>0</v>
      </c>
      <c r="AV223" s="47"/>
      <c r="AW223" s="47"/>
      <c r="AX223" s="47">
        <f>SUM(AX224:AX225)</f>
        <v>54477635</v>
      </c>
      <c r="AY223" s="47">
        <f>SUM(AY224:AY225)</f>
        <v>37120473</v>
      </c>
      <c r="AZ223" s="47">
        <f>SUM(AZ224:AZ225)</f>
        <v>37120473</v>
      </c>
      <c r="BA223" s="47">
        <f>SUM(BA224:BA225)</f>
        <v>0</v>
      </c>
      <c r="BB223" s="47"/>
      <c r="BC223" s="47"/>
      <c r="BD223" s="47">
        <f>SUM(BD224:BD225)</f>
        <v>0</v>
      </c>
      <c r="BE223" s="47"/>
      <c r="BF223" s="47"/>
      <c r="BG223" s="47">
        <f>SUM(BG224:BG225)</f>
        <v>54477635</v>
      </c>
      <c r="BH223" s="47">
        <f>SUM(BH224:BH225)</f>
        <v>37120473</v>
      </c>
      <c r="BI223" s="47">
        <f>SUM(BI224:BI225)</f>
        <v>37120473</v>
      </c>
      <c r="BJ223" s="206"/>
      <c r="BK223" s="608"/>
      <c r="BL223" s="206"/>
    </row>
    <row r="224" spans="1:64" s="155" customFormat="1" ht="237.75" customHeight="1" x14ac:dyDescent="0.2">
      <c r="A224" s="383"/>
      <c r="B224" s="380"/>
      <c r="C224" s="324"/>
      <c r="D224" s="305"/>
      <c r="E224" s="314">
        <v>1905</v>
      </c>
      <c r="F224" s="306" t="s">
        <v>798</v>
      </c>
      <c r="G224" s="197" t="s">
        <v>799</v>
      </c>
      <c r="H224" s="175">
        <v>1905021</v>
      </c>
      <c r="I224" s="306" t="s">
        <v>800</v>
      </c>
      <c r="J224" s="305" t="s">
        <v>801</v>
      </c>
      <c r="K224" s="175">
        <v>190502100</v>
      </c>
      <c r="L224" s="306" t="s">
        <v>802</v>
      </c>
      <c r="M224" s="261" t="s">
        <v>89</v>
      </c>
      <c r="N224" s="261">
        <v>12</v>
      </c>
      <c r="O224" s="261">
        <v>12</v>
      </c>
      <c r="P224" s="261">
        <v>12</v>
      </c>
      <c r="Q224" s="611" t="s">
        <v>188</v>
      </c>
      <c r="R224" s="613" t="s">
        <v>803</v>
      </c>
      <c r="S224" s="632" t="s">
        <v>804</v>
      </c>
      <c r="T224" s="27"/>
      <c r="U224" s="27"/>
      <c r="V224" s="27"/>
      <c r="W224" s="27"/>
      <c r="X224" s="27"/>
      <c r="Y224" s="27"/>
      <c r="Z224" s="27"/>
      <c r="AA224" s="27"/>
      <c r="AB224" s="27"/>
      <c r="AC224" s="27"/>
      <c r="AD224" s="27"/>
      <c r="AE224" s="27"/>
      <c r="AF224" s="27"/>
      <c r="AG224" s="27"/>
      <c r="AH224" s="27"/>
      <c r="AI224" s="27"/>
      <c r="AJ224" s="27"/>
      <c r="AK224" s="27"/>
      <c r="AL224" s="27"/>
      <c r="AM224" s="27"/>
      <c r="AN224" s="27"/>
      <c r="AO224" s="27"/>
      <c r="AP224" s="27"/>
      <c r="AQ224" s="27"/>
      <c r="AR224" s="27"/>
      <c r="AS224" s="27"/>
      <c r="AT224" s="27"/>
      <c r="AU224" s="27"/>
      <c r="AV224" s="27"/>
      <c r="AW224" s="27"/>
      <c r="AX224" s="33">
        <f>25000000+10000000</f>
        <v>35000000</v>
      </c>
      <c r="AY224" s="315">
        <v>20266667</v>
      </c>
      <c r="AZ224" s="33">
        <v>20266667</v>
      </c>
      <c r="BA224" s="27"/>
      <c r="BB224" s="27"/>
      <c r="BC224" s="27"/>
      <c r="BD224" s="27"/>
      <c r="BE224" s="27"/>
      <c r="BF224" s="27"/>
      <c r="BG224" s="151">
        <f t="shared" ref="BG224:BI225" si="65">+T224+W224+Z224+AC224+AF224+AI224+AL224+AO224+AR224+AU224+AX224+BA224+BD224</f>
        <v>35000000</v>
      </c>
      <c r="BH224" s="151">
        <f t="shared" si="65"/>
        <v>20266667</v>
      </c>
      <c r="BI224" s="151">
        <f t="shared" si="65"/>
        <v>20266667</v>
      </c>
      <c r="BJ224" s="206"/>
      <c r="BK224" s="608"/>
      <c r="BL224" s="206"/>
    </row>
    <row r="225" spans="1:64" s="155" customFormat="1" ht="177" customHeight="1" x14ac:dyDescent="0.2">
      <c r="A225" s="383"/>
      <c r="B225" s="380"/>
      <c r="C225" s="324"/>
      <c r="D225" s="305"/>
      <c r="E225" s="314">
        <v>1905</v>
      </c>
      <c r="F225" s="306" t="s">
        <v>1470</v>
      </c>
      <c r="G225" s="289" t="s">
        <v>805</v>
      </c>
      <c r="H225" s="207">
        <v>1905022</v>
      </c>
      <c r="I225" s="208" t="s">
        <v>806</v>
      </c>
      <c r="J225" s="261" t="s">
        <v>807</v>
      </c>
      <c r="K225" s="261">
        <v>190502200</v>
      </c>
      <c r="L225" s="267" t="s">
        <v>808</v>
      </c>
      <c r="M225" s="261" t="s">
        <v>89</v>
      </c>
      <c r="N225" s="261">
        <v>12</v>
      </c>
      <c r="O225" s="261">
        <v>12</v>
      </c>
      <c r="P225" s="261">
        <v>12</v>
      </c>
      <c r="Q225" s="611"/>
      <c r="R225" s="613"/>
      <c r="S225" s="632"/>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27"/>
      <c r="AS225" s="27"/>
      <c r="AT225" s="27"/>
      <c r="AU225" s="27"/>
      <c r="AV225" s="27"/>
      <c r="AW225" s="27"/>
      <c r="AX225" s="315">
        <f>29477635-10000000</f>
        <v>19477635</v>
      </c>
      <c r="AY225" s="33">
        <v>16853806</v>
      </c>
      <c r="AZ225" s="33">
        <v>16853806</v>
      </c>
      <c r="BA225" s="27"/>
      <c r="BB225" s="27"/>
      <c r="BC225" s="27"/>
      <c r="BD225" s="27"/>
      <c r="BE225" s="27"/>
      <c r="BF225" s="27"/>
      <c r="BG225" s="151">
        <f t="shared" si="65"/>
        <v>19477635</v>
      </c>
      <c r="BH225" s="151">
        <f t="shared" si="65"/>
        <v>16853806</v>
      </c>
      <c r="BI225" s="151">
        <f t="shared" si="65"/>
        <v>16853806</v>
      </c>
      <c r="BJ225" s="206"/>
      <c r="BK225" s="608"/>
      <c r="BL225" s="206"/>
    </row>
    <row r="226" spans="1:64" s="155" customFormat="1" ht="15.75" customHeight="1" x14ac:dyDescent="0.2">
      <c r="A226" s="383"/>
      <c r="B226" s="380"/>
      <c r="C226" s="171">
        <v>25</v>
      </c>
      <c r="D226" s="146">
        <v>3301</v>
      </c>
      <c r="E226" s="308" t="s">
        <v>201</v>
      </c>
      <c r="F226" s="145"/>
      <c r="G226" s="146"/>
      <c r="H226" s="147"/>
      <c r="I226" s="145"/>
      <c r="J226" s="146"/>
      <c r="K226" s="146"/>
      <c r="L226" s="145"/>
      <c r="M226" s="345"/>
      <c r="N226" s="345"/>
      <c r="O226" s="146"/>
      <c r="P226" s="146"/>
      <c r="Q226" s="368"/>
      <c r="R226" s="146"/>
      <c r="S226" s="145"/>
      <c r="T226" s="47">
        <f>SUM(T227)</f>
        <v>0</v>
      </c>
      <c r="U226" s="47"/>
      <c r="V226" s="47"/>
      <c r="W226" s="47">
        <f>SUM(W227)</f>
        <v>0</v>
      </c>
      <c r="X226" s="47"/>
      <c r="Y226" s="47"/>
      <c r="Z226" s="47">
        <f>SUM(Z227)</f>
        <v>0</v>
      </c>
      <c r="AA226" s="47"/>
      <c r="AB226" s="47"/>
      <c r="AC226" s="47">
        <f>SUM(AC227)</f>
        <v>0</v>
      </c>
      <c r="AD226" s="47"/>
      <c r="AE226" s="47"/>
      <c r="AF226" s="47">
        <f>SUM(AF227)</f>
        <v>0</v>
      </c>
      <c r="AG226" s="47"/>
      <c r="AH226" s="47"/>
      <c r="AI226" s="47">
        <f>SUM(AI227)</f>
        <v>0</v>
      </c>
      <c r="AJ226" s="47"/>
      <c r="AK226" s="47"/>
      <c r="AL226" s="47">
        <f>SUM(AL227)</f>
        <v>0</v>
      </c>
      <c r="AM226" s="47"/>
      <c r="AN226" s="47"/>
      <c r="AO226" s="47">
        <f>SUM(AO227)</f>
        <v>0</v>
      </c>
      <c r="AP226" s="47"/>
      <c r="AQ226" s="47"/>
      <c r="AR226" s="47">
        <f>SUM(AR227)</f>
        <v>0</v>
      </c>
      <c r="AS226" s="47"/>
      <c r="AT226" s="47"/>
      <c r="AU226" s="47">
        <f>SUM(AU227)</f>
        <v>0</v>
      </c>
      <c r="AV226" s="47"/>
      <c r="AW226" s="47"/>
      <c r="AX226" s="47">
        <f>SUM(AX227)</f>
        <v>47000000</v>
      </c>
      <c r="AY226" s="47">
        <f>SUM(AY227)</f>
        <v>32133333</v>
      </c>
      <c r="AZ226" s="47">
        <f>SUM(AZ227)</f>
        <v>32133333</v>
      </c>
      <c r="BA226" s="47">
        <f>SUM(BA227)</f>
        <v>0</v>
      </c>
      <c r="BB226" s="47"/>
      <c r="BC226" s="47"/>
      <c r="BD226" s="47">
        <f>SUM(BD227)</f>
        <v>0</v>
      </c>
      <c r="BE226" s="47"/>
      <c r="BF226" s="47"/>
      <c r="BG226" s="47">
        <f>SUM(BG227)</f>
        <v>47000000</v>
      </c>
      <c r="BH226" s="47">
        <f>SUM(BH227)</f>
        <v>32133333</v>
      </c>
      <c r="BI226" s="47">
        <f>SUM(BI227)</f>
        <v>32133333</v>
      </c>
      <c r="BJ226" s="206"/>
      <c r="BK226" s="608"/>
      <c r="BL226" s="206"/>
    </row>
    <row r="227" spans="1:64" s="155" customFormat="1" ht="65.25" customHeight="1" x14ac:dyDescent="0.2">
      <c r="A227" s="383"/>
      <c r="B227" s="380"/>
      <c r="C227" s="324"/>
      <c r="D227" s="305"/>
      <c r="E227" s="314">
        <v>3301</v>
      </c>
      <c r="F227" s="306" t="s">
        <v>1469</v>
      </c>
      <c r="G227" s="197" t="s">
        <v>809</v>
      </c>
      <c r="H227" s="175">
        <v>3301051</v>
      </c>
      <c r="I227" s="306" t="s">
        <v>810</v>
      </c>
      <c r="J227" s="305" t="s">
        <v>811</v>
      </c>
      <c r="K227" s="175">
        <v>330105110</v>
      </c>
      <c r="L227" s="306" t="s">
        <v>812</v>
      </c>
      <c r="M227" s="261" t="s">
        <v>179</v>
      </c>
      <c r="N227" s="261">
        <v>1000</v>
      </c>
      <c r="O227" s="261">
        <v>50</v>
      </c>
      <c r="P227" s="605">
        <v>50</v>
      </c>
      <c r="Q227" s="365" t="s">
        <v>208</v>
      </c>
      <c r="R227" s="305" t="s">
        <v>813</v>
      </c>
      <c r="S227" s="306" t="s">
        <v>814</v>
      </c>
      <c r="T227" s="27"/>
      <c r="U227" s="27"/>
      <c r="V227" s="27"/>
      <c r="W227" s="27"/>
      <c r="X227" s="27"/>
      <c r="Y227" s="27"/>
      <c r="Z227" s="27"/>
      <c r="AA227" s="27"/>
      <c r="AB227" s="27"/>
      <c r="AC227" s="27"/>
      <c r="AD227" s="27"/>
      <c r="AE227" s="27"/>
      <c r="AF227" s="27"/>
      <c r="AG227" s="27"/>
      <c r="AH227" s="27"/>
      <c r="AI227" s="27"/>
      <c r="AJ227" s="27"/>
      <c r="AK227" s="27"/>
      <c r="AL227" s="27"/>
      <c r="AM227" s="27"/>
      <c r="AN227" s="27"/>
      <c r="AO227" s="27"/>
      <c r="AP227" s="27"/>
      <c r="AQ227" s="27"/>
      <c r="AR227" s="27"/>
      <c r="AS227" s="27"/>
      <c r="AT227" s="27"/>
      <c r="AU227" s="27"/>
      <c r="AV227" s="27"/>
      <c r="AW227" s="27"/>
      <c r="AX227" s="33">
        <f>20000000+27000000</f>
        <v>47000000</v>
      </c>
      <c r="AY227" s="33">
        <v>32133333</v>
      </c>
      <c r="AZ227" s="33">
        <v>32133333</v>
      </c>
      <c r="BA227" s="27"/>
      <c r="BB227" s="27"/>
      <c r="BC227" s="27"/>
      <c r="BD227" s="27"/>
      <c r="BE227" s="27"/>
      <c r="BF227" s="27"/>
      <c r="BG227" s="151">
        <f>+T227+W227+Z227+AC227+AF227+AI227+AL227+AO227+AR227+AU227+AX227+BA227+BD227</f>
        <v>47000000</v>
      </c>
      <c r="BH227" s="151">
        <f>+U227+X227+AA227+AD227+AG227+AJ227+AM227+AP227+AS227+AV227+AY227+BB227+BE227</f>
        <v>32133333</v>
      </c>
      <c r="BI227" s="151">
        <f>+V227+Y227+AB227+AE227+AH227+AK227+AN227+AQ227+AT227+AW227+AZ227+BC227+BF227</f>
        <v>32133333</v>
      </c>
      <c r="BJ227" s="206"/>
      <c r="BK227" s="608"/>
      <c r="BL227" s="206"/>
    </row>
    <row r="228" spans="1:64" s="155" customFormat="1" ht="15.75" x14ac:dyDescent="0.2">
      <c r="A228" s="383"/>
      <c r="B228" s="380"/>
      <c r="C228" s="171">
        <v>36</v>
      </c>
      <c r="D228" s="146">
        <v>4102</v>
      </c>
      <c r="E228" s="308" t="s">
        <v>815</v>
      </c>
      <c r="F228" s="145"/>
      <c r="G228" s="146"/>
      <c r="H228" s="147"/>
      <c r="I228" s="145"/>
      <c r="J228" s="146"/>
      <c r="K228" s="146"/>
      <c r="L228" s="145"/>
      <c r="M228" s="148"/>
      <c r="N228" s="148"/>
      <c r="O228" s="146"/>
      <c r="P228" s="146"/>
      <c r="Q228" s="149"/>
      <c r="R228" s="146"/>
      <c r="S228" s="145"/>
      <c r="T228" s="47">
        <f>SUM(T229:T236)</f>
        <v>0</v>
      </c>
      <c r="U228" s="47"/>
      <c r="V228" s="47"/>
      <c r="W228" s="47">
        <f>SUM(W229:W236)</f>
        <v>0</v>
      </c>
      <c r="X228" s="47"/>
      <c r="Y228" s="47"/>
      <c r="Z228" s="47">
        <f>SUM(Z229:Z236)</f>
        <v>0</v>
      </c>
      <c r="AA228" s="47"/>
      <c r="AB228" s="47"/>
      <c r="AC228" s="47">
        <f>SUM(AC229:AC236)</f>
        <v>0</v>
      </c>
      <c r="AD228" s="47"/>
      <c r="AE228" s="47"/>
      <c r="AF228" s="47">
        <f>SUM(AF229:AF236)</f>
        <v>0</v>
      </c>
      <c r="AG228" s="47"/>
      <c r="AH228" s="47"/>
      <c r="AI228" s="47">
        <f>SUM(AI229:AI236)</f>
        <v>0</v>
      </c>
      <c r="AJ228" s="47"/>
      <c r="AK228" s="47"/>
      <c r="AL228" s="47">
        <f>SUM(AL229:AL236)</f>
        <v>0</v>
      </c>
      <c r="AM228" s="47"/>
      <c r="AN228" s="47"/>
      <c r="AO228" s="47">
        <f>SUM(AO229:AO236)</f>
        <v>0</v>
      </c>
      <c r="AP228" s="47"/>
      <c r="AQ228" s="47"/>
      <c r="AR228" s="47">
        <f>SUM(AR229:AR236)</f>
        <v>0</v>
      </c>
      <c r="AS228" s="47"/>
      <c r="AT228" s="47"/>
      <c r="AU228" s="47">
        <f>SUM(AU229:AU236)</f>
        <v>0</v>
      </c>
      <c r="AV228" s="47"/>
      <c r="AW228" s="47"/>
      <c r="AX228" s="47">
        <f>SUM(AX229:AX236)</f>
        <v>687297832</v>
      </c>
      <c r="AY228" s="47">
        <f>SUM(AY229:AY236)</f>
        <v>576237043</v>
      </c>
      <c r="AZ228" s="47">
        <f>SUM(AZ229:AZ236)</f>
        <v>576237043</v>
      </c>
      <c r="BA228" s="47">
        <f>SUM(BA229:BA236)</f>
        <v>0</v>
      </c>
      <c r="BB228" s="47"/>
      <c r="BC228" s="47"/>
      <c r="BD228" s="47">
        <f>SUM(BD229:BD236)</f>
        <v>0</v>
      </c>
      <c r="BE228" s="47"/>
      <c r="BF228" s="47"/>
      <c r="BG228" s="47">
        <f>SUM(BG229:BG236)</f>
        <v>687297832</v>
      </c>
      <c r="BH228" s="47">
        <f>SUM(BH229:BH236)</f>
        <v>576237043</v>
      </c>
      <c r="BI228" s="47">
        <f>SUM(BI229:BI236)</f>
        <v>576237043</v>
      </c>
      <c r="BJ228" s="206"/>
      <c r="BK228" s="608"/>
      <c r="BL228" s="206"/>
    </row>
    <row r="229" spans="1:64" s="155" customFormat="1" ht="78" customHeight="1" x14ac:dyDescent="0.2">
      <c r="A229" s="383"/>
      <c r="B229" s="380"/>
      <c r="C229" s="322"/>
      <c r="D229" s="323"/>
      <c r="E229" s="314">
        <v>4102</v>
      </c>
      <c r="F229" s="306" t="s">
        <v>1468</v>
      </c>
      <c r="G229" s="289" t="s">
        <v>816</v>
      </c>
      <c r="H229" s="175" t="s">
        <v>83</v>
      </c>
      <c r="I229" s="306" t="s">
        <v>817</v>
      </c>
      <c r="J229" s="261" t="s">
        <v>818</v>
      </c>
      <c r="K229" s="264" t="s">
        <v>83</v>
      </c>
      <c r="L229" s="269" t="s">
        <v>819</v>
      </c>
      <c r="M229" s="264" t="s">
        <v>89</v>
      </c>
      <c r="N229" s="264">
        <v>1</v>
      </c>
      <c r="O229" s="264">
        <v>1</v>
      </c>
      <c r="P229" s="264">
        <v>0.18</v>
      </c>
      <c r="Q229" s="611" t="s">
        <v>319</v>
      </c>
      <c r="R229" s="613" t="s">
        <v>820</v>
      </c>
      <c r="S229" s="611" t="s">
        <v>1437</v>
      </c>
      <c r="T229" s="27"/>
      <c r="U229" s="27"/>
      <c r="V229" s="27"/>
      <c r="W229" s="27"/>
      <c r="X229" s="27"/>
      <c r="Y229" s="27"/>
      <c r="Z229" s="27"/>
      <c r="AA229" s="27"/>
      <c r="AB229" s="27"/>
      <c r="AC229" s="27"/>
      <c r="AD229" s="27"/>
      <c r="AE229" s="27"/>
      <c r="AF229" s="27"/>
      <c r="AG229" s="27"/>
      <c r="AH229" s="27"/>
      <c r="AI229" s="27"/>
      <c r="AJ229" s="27"/>
      <c r="AK229" s="27"/>
      <c r="AL229" s="27"/>
      <c r="AM229" s="27"/>
      <c r="AN229" s="27"/>
      <c r="AO229" s="27"/>
      <c r="AP229" s="27"/>
      <c r="AQ229" s="27"/>
      <c r="AR229" s="27"/>
      <c r="AS229" s="27"/>
      <c r="AT229" s="27"/>
      <c r="AU229" s="27"/>
      <c r="AV229" s="27"/>
      <c r="AW229" s="27"/>
      <c r="AX229" s="33">
        <v>30000000</v>
      </c>
      <c r="AY229" s="33">
        <v>5333333</v>
      </c>
      <c r="AZ229" s="33">
        <v>5333333</v>
      </c>
      <c r="BA229" s="27"/>
      <c r="BB229" s="27"/>
      <c r="BC229" s="27"/>
      <c r="BD229" s="27"/>
      <c r="BE229" s="27"/>
      <c r="BF229" s="27"/>
      <c r="BG229" s="177">
        <f t="shared" ref="BG229:BI236" si="66">+T229+W229+Z229+AC229+AF229+AI229+AL229+AO229+AR229+AU229+AX229+BA229+BD229</f>
        <v>30000000</v>
      </c>
      <c r="BH229" s="177">
        <f t="shared" si="66"/>
        <v>5333333</v>
      </c>
      <c r="BI229" s="177">
        <f t="shared" si="66"/>
        <v>5333333</v>
      </c>
      <c r="BJ229" s="206"/>
      <c r="BK229" s="608"/>
      <c r="BL229" s="206"/>
    </row>
    <row r="230" spans="1:64" s="155" customFormat="1" ht="72.75" customHeight="1" x14ac:dyDescent="0.2">
      <c r="A230" s="383"/>
      <c r="B230" s="380"/>
      <c r="C230" s="322"/>
      <c r="D230" s="323"/>
      <c r="E230" s="314">
        <v>4102</v>
      </c>
      <c r="F230" s="306" t="s">
        <v>822</v>
      </c>
      <c r="G230" s="289" t="s">
        <v>823</v>
      </c>
      <c r="H230" s="175" t="s">
        <v>83</v>
      </c>
      <c r="I230" s="306" t="s">
        <v>824</v>
      </c>
      <c r="J230" s="261" t="s">
        <v>825</v>
      </c>
      <c r="K230" s="264" t="s">
        <v>83</v>
      </c>
      <c r="L230" s="269" t="s">
        <v>826</v>
      </c>
      <c r="M230" s="264" t="s">
        <v>89</v>
      </c>
      <c r="N230" s="264">
        <v>12</v>
      </c>
      <c r="O230" s="264">
        <v>12</v>
      </c>
      <c r="P230" s="264">
        <v>12</v>
      </c>
      <c r="Q230" s="611"/>
      <c r="R230" s="613"/>
      <c r="S230" s="611"/>
      <c r="T230" s="27"/>
      <c r="U230" s="27"/>
      <c r="V230" s="27"/>
      <c r="W230" s="27"/>
      <c r="X230" s="27"/>
      <c r="Y230" s="27"/>
      <c r="Z230" s="27"/>
      <c r="AA230" s="27"/>
      <c r="AB230" s="27"/>
      <c r="AC230" s="27"/>
      <c r="AD230" s="27"/>
      <c r="AE230" s="27"/>
      <c r="AF230" s="27"/>
      <c r="AG230" s="27"/>
      <c r="AH230" s="27"/>
      <c r="AI230" s="27"/>
      <c r="AJ230" s="27"/>
      <c r="AK230" s="27"/>
      <c r="AL230" s="27"/>
      <c r="AM230" s="27"/>
      <c r="AN230" s="27"/>
      <c r="AO230" s="27"/>
      <c r="AP230" s="27"/>
      <c r="AQ230" s="27"/>
      <c r="AR230" s="27"/>
      <c r="AS230" s="27"/>
      <c r="AT230" s="27"/>
      <c r="AU230" s="27"/>
      <c r="AV230" s="27"/>
      <c r="AW230" s="27"/>
      <c r="AX230" s="33">
        <v>25000000</v>
      </c>
      <c r="AY230" s="33">
        <v>21866666</v>
      </c>
      <c r="AZ230" s="33">
        <v>21866666</v>
      </c>
      <c r="BA230" s="27"/>
      <c r="BB230" s="27"/>
      <c r="BC230" s="27"/>
      <c r="BD230" s="27"/>
      <c r="BE230" s="27"/>
      <c r="BF230" s="27"/>
      <c r="BG230" s="177">
        <f t="shared" si="66"/>
        <v>25000000</v>
      </c>
      <c r="BH230" s="177">
        <f t="shared" si="66"/>
        <v>21866666</v>
      </c>
      <c r="BI230" s="177">
        <f t="shared" si="66"/>
        <v>21866666</v>
      </c>
      <c r="BJ230" s="206"/>
      <c r="BK230" s="608"/>
      <c r="BL230" s="206"/>
    </row>
    <row r="231" spans="1:64" s="155" customFormat="1" ht="162.75" customHeight="1" x14ac:dyDescent="0.2">
      <c r="A231" s="383"/>
      <c r="B231" s="380"/>
      <c r="C231" s="324"/>
      <c r="D231" s="305"/>
      <c r="E231" s="314">
        <v>4102</v>
      </c>
      <c r="F231" s="306" t="s">
        <v>827</v>
      </c>
      <c r="G231" s="289" t="s">
        <v>828</v>
      </c>
      <c r="H231" s="175" t="s">
        <v>83</v>
      </c>
      <c r="I231" s="306" t="s">
        <v>829</v>
      </c>
      <c r="J231" s="261" t="s">
        <v>830</v>
      </c>
      <c r="K231" s="264" t="s">
        <v>83</v>
      </c>
      <c r="L231" s="269" t="s">
        <v>831</v>
      </c>
      <c r="M231" s="264" t="s">
        <v>89</v>
      </c>
      <c r="N231" s="264">
        <v>1</v>
      </c>
      <c r="O231" s="264">
        <v>1</v>
      </c>
      <c r="P231" s="298">
        <v>1</v>
      </c>
      <c r="Q231" s="367" t="s">
        <v>105</v>
      </c>
      <c r="R231" s="305" t="s">
        <v>832</v>
      </c>
      <c r="S231" s="306" t="s">
        <v>1438</v>
      </c>
      <c r="T231" s="27"/>
      <c r="U231" s="27"/>
      <c r="V231" s="27"/>
      <c r="W231" s="27"/>
      <c r="X231" s="27"/>
      <c r="Y231" s="27"/>
      <c r="Z231" s="27"/>
      <c r="AA231" s="27"/>
      <c r="AB231" s="27"/>
      <c r="AC231" s="27"/>
      <c r="AD231" s="27"/>
      <c r="AE231" s="27"/>
      <c r="AF231" s="27"/>
      <c r="AG231" s="27"/>
      <c r="AH231" s="27"/>
      <c r="AI231" s="27"/>
      <c r="AJ231" s="27"/>
      <c r="AK231" s="27"/>
      <c r="AL231" s="27"/>
      <c r="AM231" s="27"/>
      <c r="AN231" s="27"/>
      <c r="AO231" s="27"/>
      <c r="AP231" s="27"/>
      <c r="AQ231" s="27"/>
      <c r="AR231" s="27"/>
      <c r="AS231" s="27"/>
      <c r="AT231" s="27"/>
      <c r="AU231" s="27"/>
      <c r="AV231" s="27"/>
      <c r="AW231" s="27"/>
      <c r="AX231" s="33">
        <f>180000000-100103834</f>
        <v>79896166</v>
      </c>
      <c r="AY231" s="33">
        <v>73513266</v>
      </c>
      <c r="AZ231" s="33">
        <v>73513266</v>
      </c>
      <c r="BA231" s="27"/>
      <c r="BB231" s="27"/>
      <c r="BC231" s="27"/>
      <c r="BD231" s="27"/>
      <c r="BE231" s="27"/>
      <c r="BF231" s="27"/>
      <c r="BG231" s="177">
        <f t="shared" si="66"/>
        <v>79896166</v>
      </c>
      <c r="BH231" s="177">
        <f t="shared" si="66"/>
        <v>73513266</v>
      </c>
      <c r="BI231" s="177">
        <f t="shared" si="66"/>
        <v>73513266</v>
      </c>
      <c r="BJ231" s="206"/>
      <c r="BK231" s="608"/>
      <c r="BL231" s="206"/>
    </row>
    <row r="232" spans="1:64" s="206" customFormat="1" ht="183.75" customHeight="1" x14ac:dyDescent="0.2">
      <c r="A232" s="400"/>
      <c r="B232" s="426"/>
      <c r="C232" s="346"/>
      <c r="D232" s="428"/>
      <c r="E232" s="202">
        <v>4102</v>
      </c>
      <c r="F232" s="211" t="s">
        <v>834</v>
      </c>
      <c r="G232" s="428" t="s">
        <v>835</v>
      </c>
      <c r="H232" s="175" t="s">
        <v>83</v>
      </c>
      <c r="I232" s="427" t="s">
        <v>836</v>
      </c>
      <c r="J232" s="428" t="s">
        <v>837</v>
      </c>
      <c r="K232" s="264" t="s">
        <v>83</v>
      </c>
      <c r="L232" s="427" t="s">
        <v>838</v>
      </c>
      <c r="M232" s="264" t="s">
        <v>89</v>
      </c>
      <c r="N232" s="264">
        <v>1</v>
      </c>
      <c r="O232" s="264">
        <v>1</v>
      </c>
      <c r="P232" s="264">
        <v>1</v>
      </c>
      <c r="Q232" s="211" t="s">
        <v>319</v>
      </c>
      <c r="R232" s="428" t="s">
        <v>839</v>
      </c>
      <c r="S232" s="427" t="s">
        <v>840</v>
      </c>
      <c r="T232" s="27"/>
      <c r="U232" s="27"/>
      <c r="V232" s="27"/>
      <c r="W232" s="27"/>
      <c r="X232" s="27"/>
      <c r="Y232" s="27"/>
      <c r="Z232" s="27"/>
      <c r="AA232" s="27"/>
      <c r="AB232" s="27"/>
      <c r="AC232" s="27"/>
      <c r="AD232" s="27"/>
      <c r="AE232" s="27"/>
      <c r="AF232" s="27"/>
      <c r="AG232" s="27"/>
      <c r="AH232" s="27"/>
      <c r="AI232" s="27"/>
      <c r="AJ232" s="27"/>
      <c r="AK232" s="27"/>
      <c r="AL232" s="27"/>
      <c r="AM232" s="27"/>
      <c r="AN232" s="27"/>
      <c r="AO232" s="27"/>
      <c r="AP232" s="27"/>
      <c r="AQ232" s="27"/>
      <c r="AR232" s="27"/>
      <c r="AS232" s="27"/>
      <c r="AT232" s="27"/>
      <c r="AU232" s="27"/>
      <c r="AV232" s="27"/>
      <c r="AW232" s="27"/>
      <c r="AX232" s="33">
        <f>240000000+190000000</f>
        <v>430000000</v>
      </c>
      <c r="AY232" s="33">
        <v>408228779</v>
      </c>
      <c r="AZ232" s="33">
        <v>408228779</v>
      </c>
      <c r="BA232" s="27"/>
      <c r="BB232" s="27"/>
      <c r="BC232" s="27"/>
      <c r="BD232" s="27"/>
      <c r="BE232" s="27"/>
      <c r="BF232" s="27"/>
      <c r="BG232" s="177">
        <f t="shared" si="66"/>
        <v>430000000</v>
      </c>
      <c r="BH232" s="177">
        <f t="shared" si="66"/>
        <v>408228779</v>
      </c>
      <c r="BI232" s="177">
        <f t="shared" si="66"/>
        <v>408228779</v>
      </c>
      <c r="BK232" s="608"/>
    </row>
    <row r="233" spans="1:64" s="155" customFormat="1" ht="117" customHeight="1" x14ac:dyDescent="0.2">
      <c r="A233" s="383"/>
      <c r="B233" s="380"/>
      <c r="C233" s="324"/>
      <c r="D233" s="305"/>
      <c r="E233" s="314">
        <v>4102</v>
      </c>
      <c r="F233" s="306" t="s">
        <v>841</v>
      </c>
      <c r="G233" s="289" t="s">
        <v>842</v>
      </c>
      <c r="H233" s="175" t="s">
        <v>83</v>
      </c>
      <c r="I233" s="307" t="s">
        <v>843</v>
      </c>
      <c r="J233" s="261" t="s">
        <v>844</v>
      </c>
      <c r="K233" s="264" t="s">
        <v>83</v>
      </c>
      <c r="L233" s="306" t="s">
        <v>845</v>
      </c>
      <c r="M233" s="264" t="s">
        <v>89</v>
      </c>
      <c r="N233" s="264">
        <v>1</v>
      </c>
      <c r="O233" s="264">
        <v>1</v>
      </c>
      <c r="P233" s="264">
        <v>1</v>
      </c>
      <c r="Q233" s="367" t="s">
        <v>319</v>
      </c>
      <c r="R233" s="305" t="s">
        <v>813</v>
      </c>
      <c r="S233" s="306" t="s">
        <v>814</v>
      </c>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c r="AW233" s="27"/>
      <c r="AX233" s="33">
        <f>180000000-139598334</f>
        <v>40401666</v>
      </c>
      <c r="AY233" s="33">
        <v>40401666</v>
      </c>
      <c r="AZ233" s="33">
        <v>40401666</v>
      </c>
      <c r="BA233" s="27"/>
      <c r="BB233" s="27"/>
      <c r="BC233" s="27"/>
      <c r="BD233" s="27"/>
      <c r="BE233" s="27"/>
      <c r="BF233" s="27"/>
      <c r="BG233" s="177">
        <f>+T233+W233+Z233+AC233+AF233+AI233+AL233+AO233+AR233+AU233+AX233+BA233+BD233</f>
        <v>40401666</v>
      </c>
      <c r="BH233" s="177">
        <f t="shared" si="66"/>
        <v>40401666</v>
      </c>
      <c r="BI233" s="177">
        <f t="shared" si="66"/>
        <v>40401666</v>
      </c>
      <c r="BJ233" s="206"/>
      <c r="BK233" s="608"/>
      <c r="BL233" s="206"/>
    </row>
    <row r="234" spans="1:64" s="155" customFormat="1" ht="153.75" customHeight="1" x14ac:dyDescent="0.2">
      <c r="A234" s="383"/>
      <c r="B234" s="380"/>
      <c r="C234" s="324"/>
      <c r="D234" s="305"/>
      <c r="E234" s="314">
        <v>4102</v>
      </c>
      <c r="F234" s="306" t="s">
        <v>846</v>
      </c>
      <c r="G234" s="197" t="s">
        <v>847</v>
      </c>
      <c r="H234" s="175" t="s">
        <v>83</v>
      </c>
      <c r="I234" s="306" t="s">
        <v>848</v>
      </c>
      <c r="J234" s="305" t="s">
        <v>849</v>
      </c>
      <c r="K234" s="264" t="s">
        <v>83</v>
      </c>
      <c r="L234" s="306" t="s">
        <v>850</v>
      </c>
      <c r="M234" s="264" t="s">
        <v>89</v>
      </c>
      <c r="N234" s="264">
        <v>12</v>
      </c>
      <c r="O234" s="264">
        <v>12</v>
      </c>
      <c r="P234" s="264">
        <v>12</v>
      </c>
      <c r="Q234" s="367" t="s">
        <v>292</v>
      </c>
      <c r="R234" s="305" t="s">
        <v>851</v>
      </c>
      <c r="S234" s="208" t="s">
        <v>852</v>
      </c>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7"/>
      <c r="AS234" s="27"/>
      <c r="AT234" s="27"/>
      <c r="AU234" s="27"/>
      <c r="AV234" s="27"/>
      <c r="AW234" s="27"/>
      <c r="AX234" s="33">
        <v>13000000</v>
      </c>
      <c r="AY234" s="33">
        <v>8400000</v>
      </c>
      <c r="AZ234" s="33">
        <v>8400000</v>
      </c>
      <c r="BA234" s="27"/>
      <c r="BB234" s="27"/>
      <c r="BC234" s="27"/>
      <c r="BD234" s="27"/>
      <c r="BE234" s="27"/>
      <c r="BF234" s="27"/>
      <c r="BG234" s="177">
        <f t="shared" si="66"/>
        <v>13000000</v>
      </c>
      <c r="BH234" s="177">
        <f t="shared" si="66"/>
        <v>8400000</v>
      </c>
      <c r="BI234" s="177">
        <f t="shared" si="66"/>
        <v>8400000</v>
      </c>
      <c r="BJ234" s="206"/>
      <c r="BK234" s="608"/>
      <c r="BL234" s="206"/>
    </row>
    <row r="235" spans="1:64" s="206" customFormat="1" ht="216.75" customHeight="1" x14ac:dyDescent="0.2">
      <c r="A235" s="400"/>
      <c r="B235" s="387"/>
      <c r="C235" s="346"/>
      <c r="D235" s="311"/>
      <c r="E235" s="314">
        <v>4102</v>
      </c>
      <c r="F235" s="312" t="s">
        <v>1471</v>
      </c>
      <c r="G235" s="317" t="s">
        <v>853</v>
      </c>
      <c r="H235" s="204">
        <v>4102022</v>
      </c>
      <c r="I235" s="205" t="s">
        <v>854</v>
      </c>
      <c r="J235" s="204" t="s">
        <v>855</v>
      </c>
      <c r="K235" s="204" t="s">
        <v>856</v>
      </c>
      <c r="L235" s="205" t="s">
        <v>857</v>
      </c>
      <c r="M235" s="264" t="s">
        <v>179</v>
      </c>
      <c r="N235" s="264">
        <v>64</v>
      </c>
      <c r="O235" s="264">
        <v>6</v>
      </c>
      <c r="P235" s="264">
        <v>12</v>
      </c>
      <c r="Q235" s="211" t="s">
        <v>319</v>
      </c>
      <c r="R235" s="197" t="s">
        <v>858</v>
      </c>
      <c r="S235" s="318" t="s">
        <v>859</v>
      </c>
      <c r="T235" s="27"/>
      <c r="U235" s="27"/>
      <c r="V235" s="27"/>
      <c r="W235" s="27"/>
      <c r="X235" s="27"/>
      <c r="Y235" s="27"/>
      <c r="Z235" s="27"/>
      <c r="AA235" s="27"/>
      <c r="AB235" s="27"/>
      <c r="AC235" s="27"/>
      <c r="AD235" s="27"/>
      <c r="AE235" s="27"/>
      <c r="AF235" s="27"/>
      <c r="AG235" s="27"/>
      <c r="AH235" s="27"/>
      <c r="AI235" s="27"/>
      <c r="AJ235" s="27"/>
      <c r="AK235" s="27"/>
      <c r="AL235" s="27"/>
      <c r="AM235" s="27"/>
      <c r="AN235" s="27"/>
      <c r="AO235" s="27"/>
      <c r="AP235" s="27"/>
      <c r="AQ235" s="27"/>
      <c r="AR235" s="27"/>
      <c r="AS235" s="27"/>
      <c r="AT235" s="27"/>
      <c r="AU235" s="27"/>
      <c r="AV235" s="27"/>
      <c r="AW235" s="27"/>
      <c r="AX235" s="33">
        <v>55000000</v>
      </c>
      <c r="AY235" s="33">
        <v>9813333</v>
      </c>
      <c r="AZ235" s="33">
        <v>9813333</v>
      </c>
      <c r="BA235" s="27"/>
      <c r="BB235" s="27"/>
      <c r="BC235" s="27"/>
      <c r="BD235" s="27"/>
      <c r="BE235" s="27"/>
      <c r="BF235" s="27"/>
      <c r="BG235" s="177">
        <f t="shared" si="66"/>
        <v>55000000</v>
      </c>
      <c r="BH235" s="177">
        <f t="shared" si="66"/>
        <v>9813333</v>
      </c>
      <c r="BI235" s="177">
        <f t="shared" si="66"/>
        <v>9813333</v>
      </c>
      <c r="BK235" s="608"/>
    </row>
    <row r="236" spans="1:64" s="155" customFormat="1" ht="111" customHeight="1" x14ac:dyDescent="0.2">
      <c r="A236" s="383"/>
      <c r="B236" s="380"/>
      <c r="C236" s="324"/>
      <c r="D236" s="305"/>
      <c r="E236" s="314">
        <v>4102</v>
      </c>
      <c r="F236" s="306" t="s">
        <v>860</v>
      </c>
      <c r="G236" s="289" t="s">
        <v>861</v>
      </c>
      <c r="H236" s="305">
        <v>4102038</v>
      </c>
      <c r="I236" s="306" t="s">
        <v>862</v>
      </c>
      <c r="J236" s="261" t="s">
        <v>863</v>
      </c>
      <c r="K236" s="261">
        <v>410203800</v>
      </c>
      <c r="L236" s="267" t="s">
        <v>864</v>
      </c>
      <c r="M236" s="264" t="s">
        <v>179</v>
      </c>
      <c r="N236" s="264">
        <v>40</v>
      </c>
      <c r="O236" s="264">
        <v>10</v>
      </c>
      <c r="P236" s="264">
        <v>47</v>
      </c>
      <c r="Q236" s="367" t="s">
        <v>292</v>
      </c>
      <c r="R236" s="305" t="s">
        <v>865</v>
      </c>
      <c r="S236" s="208" t="s">
        <v>866</v>
      </c>
      <c r="T236" s="27"/>
      <c r="U236" s="27"/>
      <c r="V236" s="27"/>
      <c r="W236" s="27"/>
      <c r="X236" s="27"/>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c r="AU236" s="27"/>
      <c r="AV236" s="27"/>
      <c r="AW236" s="27"/>
      <c r="AX236" s="33">
        <v>14000000</v>
      </c>
      <c r="AY236" s="33">
        <v>8680000</v>
      </c>
      <c r="AZ236" s="33">
        <v>8680000</v>
      </c>
      <c r="BA236" s="27"/>
      <c r="BB236" s="27"/>
      <c r="BC236" s="27"/>
      <c r="BD236" s="27"/>
      <c r="BE236" s="27"/>
      <c r="BF236" s="27"/>
      <c r="BG236" s="177">
        <f t="shared" si="66"/>
        <v>14000000</v>
      </c>
      <c r="BH236" s="177">
        <f t="shared" si="66"/>
        <v>8680000</v>
      </c>
      <c r="BI236" s="177">
        <f t="shared" si="66"/>
        <v>8680000</v>
      </c>
      <c r="BJ236" s="206"/>
      <c r="BK236" s="608"/>
      <c r="BL236" s="206"/>
    </row>
    <row r="237" spans="1:64" s="155" customFormat="1" ht="15.75" x14ac:dyDescent="0.2">
      <c r="A237" s="383"/>
      <c r="B237" s="380"/>
      <c r="C237" s="171">
        <v>37</v>
      </c>
      <c r="D237" s="146">
        <v>4103</v>
      </c>
      <c r="E237" s="308" t="s">
        <v>340</v>
      </c>
      <c r="F237" s="145"/>
      <c r="G237" s="146"/>
      <c r="H237" s="147"/>
      <c r="I237" s="145"/>
      <c r="J237" s="146"/>
      <c r="K237" s="146"/>
      <c r="L237" s="145"/>
      <c r="M237" s="148"/>
      <c r="N237" s="148"/>
      <c r="O237" s="146"/>
      <c r="P237" s="146"/>
      <c r="Q237" s="368"/>
      <c r="R237" s="146"/>
      <c r="S237" s="145"/>
      <c r="T237" s="47">
        <f>SUM(T238:T244)</f>
        <v>0</v>
      </c>
      <c r="U237" s="47"/>
      <c r="V237" s="47"/>
      <c r="W237" s="47">
        <f>SUM(W238:W244)</f>
        <v>0</v>
      </c>
      <c r="X237" s="47"/>
      <c r="Y237" s="47"/>
      <c r="Z237" s="47">
        <f>SUM(Z238:Z244)</f>
        <v>0</v>
      </c>
      <c r="AA237" s="47"/>
      <c r="AB237" s="47"/>
      <c r="AC237" s="47">
        <f>SUM(AC238:AC244)</f>
        <v>0</v>
      </c>
      <c r="AD237" s="47"/>
      <c r="AE237" s="47"/>
      <c r="AF237" s="47">
        <f>SUM(AF238:AF244)</f>
        <v>0</v>
      </c>
      <c r="AG237" s="47"/>
      <c r="AH237" s="47"/>
      <c r="AI237" s="47">
        <f>SUM(AI238:AI244)</f>
        <v>0</v>
      </c>
      <c r="AJ237" s="47"/>
      <c r="AK237" s="47"/>
      <c r="AL237" s="47">
        <f>SUM(AL238:AL244)</f>
        <v>0</v>
      </c>
      <c r="AM237" s="47"/>
      <c r="AN237" s="47"/>
      <c r="AO237" s="47">
        <f>SUM(AO238:AO244)</f>
        <v>0</v>
      </c>
      <c r="AP237" s="47"/>
      <c r="AQ237" s="47"/>
      <c r="AR237" s="47">
        <f>SUM(AR238:AR244)</f>
        <v>0</v>
      </c>
      <c r="AS237" s="47"/>
      <c r="AT237" s="47"/>
      <c r="AU237" s="47">
        <f>SUM(AU238:AU244)</f>
        <v>0</v>
      </c>
      <c r="AV237" s="47"/>
      <c r="AW237" s="47"/>
      <c r="AX237" s="47">
        <f>SUM(AX238:AX244)</f>
        <v>233020000</v>
      </c>
      <c r="AY237" s="47">
        <f>SUM(AY238:AY244)</f>
        <v>167840320</v>
      </c>
      <c r="AZ237" s="47">
        <f>SUM(AZ238:AZ244)</f>
        <v>167840320</v>
      </c>
      <c r="BA237" s="47">
        <f>SUM(BA238:BA244)</f>
        <v>0</v>
      </c>
      <c r="BB237" s="47"/>
      <c r="BC237" s="47"/>
      <c r="BD237" s="47">
        <f>SUM(BD238:BD244)</f>
        <v>0</v>
      </c>
      <c r="BE237" s="47"/>
      <c r="BF237" s="47"/>
      <c r="BG237" s="47">
        <f>SUM(BG238:BG244)</f>
        <v>233020000</v>
      </c>
      <c r="BH237" s="47">
        <f>SUM(BH238:BH244)</f>
        <v>167840320</v>
      </c>
      <c r="BI237" s="47">
        <f>SUM(BI238:BI244)</f>
        <v>167840320</v>
      </c>
      <c r="BJ237" s="206"/>
      <c r="BK237" s="608"/>
      <c r="BL237" s="206"/>
    </row>
    <row r="238" spans="1:64" s="155" customFormat="1" ht="76.5" customHeight="1" x14ac:dyDescent="0.2">
      <c r="A238" s="383"/>
      <c r="B238" s="380"/>
      <c r="C238" s="324"/>
      <c r="D238" s="305"/>
      <c r="E238" s="314">
        <v>4103</v>
      </c>
      <c r="F238" s="306" t="s">
        <v>1439</v>
      </c>
      <c r="G238" s="289" t="s">
        <v>1488</v>
      </c>
      <c r="H238" s="175">
        <v>4103059</v>
      </c>
      <c r="I238" s="306" t="s">
        <v>867</v>
      </c>
      <c r="J238" s="261" t="s">
        <v>868</v>
      </c>
      <c r="K238" s="264">
        <v>410305900</v>
      </c>
      <c r="L238" s="267" t="s">
        <v>869</v>
      </c>
      <c r="M238" s="261" t="s">
        <v>179</v>
      </c>
      <c r="N238" s="261">
        <v>50</v>
      </c>
      <c r="O238" s="261">
        <v>8</v>
      </c>
      <c r="P238" s="261">
        <v>11</v>
      </c>
      <c r="Q238" s="367" t="s">
        <v>319</v>
      </c>
      <c r="R238" s="305" t="s">
        <v>813</v>
      </c>
      <c r="S238" s="306" t="s">
        <v>814</v>
      </c>
      <c r="T238" s="27"/>
      <c r="U238" s="27"/>
      <c r="V238" s="27"/>
      <c r="W238" s="27"/>
      <c r="X238" s="27"/>
      <c r="Y238" s="27"/>
      <c r="Z238" s="27"/>
      <c r="AA238" s="27"/>
      <c r="AB238" s="27"/>
      <c r="AC238" s="27"/>
      <c r="AD238" s="27"/>
      <c r="AE238" s="27"/>
      <c r="AF238" s="27"/>
      <c r="AG238" s="27"/>
      <c r="AH238" s="27"/>
      <c r="AI238" s="27"/>
      <c r="AJ238" s="27"/>
      <c r="AK238" s="27"/>
      <c r="AL238" s="27"/>
      <c r="AM238" s="27"/>
      <c r="AN238" s="27"/>
      <c r="AO238" s="27"/>
      <c r="AP238" s="27"/>
      <c r="AQ238" s="27"/>
      <c r="AR238" s="27"/>
      <c r="AS238" s="27"/>
      <c r="AT238" s="27"/>
      <c r="AU238" s="27"/>
      <c r="AV238" s="27"/>
      <c r="AW238" s="27"/>
      <c r="AX238" s="33">
        <v>27000000</v>
      </c>
      <c r="AY238" s="33">
        <v>9826667</v>
      </c>
      <c r="AZ238" s="33">
        <v>9826667</v>
      </c>
      <c r="BA238" s="27"/>
      <c r="BB238" s="27"/>
      <c r="BC238" s="27"/>
      <c r="BD238" s="27"/>
      <c r="BE238" s="27"/>
      <c r="BF238" s="27"/>
      <c r="BG238" s="177">
        <f t="shared" ref="BG238:BI244" si="67">+T238+W238+Z238+AC238+AF238+AI238+AL238+AO238+AR238+AU238+AX238+BA238+BD238</f>
        <v>27000000</v>
      </c>
      <c r="BH238" s="177">
        <f t="shared" si="67"/>
        <v>9826667</v>
      </c>
      <c r="BI238" s="177">
        <f t="shared" si="67"/>
        <v>9826667</v>
      </c>
      <c r="BJ238" s="206"/>
      <c r="BK238" s="608"/>
      <c r="BL238" s="206"/>
    </row>
    <row r="239" spans="1:64" s="155" customFormat="1" ht="112.5" customHeight="1" x14ac:dyDescent="0.2">
      <c r="A239" s="383"/>
      <c r="B239" s="380"/>
      <c r="C239" s="324"/>
      <c r="D239" s="305"/>
      <c r="E239" s="314">
        <v>4103</v>
      </c>
      <c r="F239" s="307" t="s">
        <v>870</v>
      </c>
      <c r="G239" s="289" t="s">
        <v>871</v>
      </c>
      <c r="H239" s="313">
        <v>4103052</v>
      </c>
      <c r="I239" s="307" t="s">
        <v>872</v>
      </c>
      <c r="J239" s="261" t="s">
        <v>873</v>
      </c>
      <c r="K239" s="268">
        <v>410305202</v>
      </c>
      <c r="L239" s="269" t="s">
        <v>1390</v>
      </c>
      <c r="M239" s="261" t="s">
        <v>89</v>
      </c>
      <c r="N239" s="261">
        <v>1</v>
      </c>
      <c r="O239" s="261">
        <v>1</v>
      </c>
      <c r="P239" s="261">
        <v>1</v>
      </c>
      <c r="Q239" s="367" t="s">
        <v>319</v>
      </c>
      <c r="R239" s="305" t="s">
        <v>874</v>
      </c>
      <c r="S239" s="306" t="s">
        <v>875</v>
      </c>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c r="AV239" s="27"/>
      <c r="AW239" s="27"/>
      <c r="AX239" s="33">
        <v>44520000</v>
      </c>
      <c r="AY239" s="33">
        <v>44520000</v>
      </c>
      <c r="AZ239" s="33">
        <v>44520000</v>
      </c>
      <c r="BA239" s="27"/>
      <c r="BB239" s="27"/>
      <c r="BC239" s="27"/>
      <c r="BD239" s="27"/>
      <c r="BE239" s="27"/>
      <c r="BF239" s="27"/>
      <c r="BG239" s="177">
        <f t="shared" si="67"/>
        <v>44520000</v>
      </c>
      <c r="BH239" s="177">
        <f t="shared" si="67"/>
        <v>44520000</v>
      </c>
      <c r="BI239" s="177">
        <f t="shared" si="67"/>
        <v>44520000</v>
      </c>
      <c r="BJ239" s="206"/>
      <c r="BK239" s="608"/>
      <c r="BL239" s="206"/>
    </row>
    <row r="240" spans="1:64" s="155" customFormat="1" ht="116.25" customHeight="1" x14ac:dyDescent="0.2">
      <c r="A240" s="383"/>
      <c r="B240" s="380"/>
      <c r="C240" s="324"/>
      <c r="D240" s="305"/>
      <c r="E240" s="314">
        <v>4103</v>
      </c>
      <c r="F240" s="306" t="s">
        <v>1472</v>
      </c>
      <c r="G240" s="289" t="s">
        <v>876</v>
      </c>
      <c r="H240" s="305">
        <v>4103050</v>
      </c>
      <c r="I240" s="306" t="s">
        <v>877</v>
      </c>
      <c r="J240" s="261" t="s">
        <v>878</v>
      </c>
      <c r="K240" s="261">
        <v>410305001</v>
      </c>
      <c r="L240" s="267" t="s">
        <v>879</v>
      </c>
      <c r="M240" s="261" t="s">
        <v>89</v>
      </c>
      <c r="N240" s="261">
        <v>12</v>
      </c>
      <c r="O240" s="261">
        <v>12</v>
      </c>
      <c r="P240" s="261">
        <v>12</v>
      </c>
      <c r="Q240" s="367" t="s">
        <v>292</v>
      </c>
      <c r="R240" s="305" t="s">
        <v>851</v>
      </c>
      <c r="S240" s="208" t="s">
        <v>852</v>
      </c>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c r="AS240" s="27"/>
      <c r="AT240" s="27"/>
      <c r="AU240" s="27"/>
      <c r="AV240" s="27"/>
      <c r="AW240" s="27"/>
      <c r="AX240" s="33">
        <v>25000000</v>
      </c>
      <c r="AY240" s="33">
        <v>15674999</v>
      </c>
      <c r="AZ240" s="33">
        <v>15674999</v>
      </c>
      <c r="BA240" s="27"/>
      <c r="BB240" s="27"/>
      <c r="BC240" s="27"/>
      <c r="BD240" s="27"/>
      <c r="BE240" s="27"/>
      <c r="BF240" s="27"/>
      <c r="BG240" s="177">
        <f t="shared" si="67"/>
        <v>25000000</v>
      </c>
      <c r="BH240" s="177">
        <f t="shared" si="67"/>
        <v>15674999</v>
      </c>
      <c r="BI240" s="177">
        <f t="shared" si="67"/>
        <v>15674999</v>
      </c>
      <c r="BJ240" s="206"/>
      <c r="BK240" s="608"/>
      <c r="BL240" s="206"/>
    </row>
    <row r="241" spans="1:64" s="155" customFormat="1" ht="116.25" customHeight="1" x14ac:dyDescent="0.2">
      <c r="A241" s="383"/>
      <c r="B241" s="380"/>
      <c r="C241" s="324"/>
      <c r="D241" s="305"/>
      <c r="E241" s="314">
        <v>4103</v>
      </c>
      <c r="F241" s="306" t="s">
        <v>880</v>
      </c>
      <c r="G241" s="289" t="s">
        <v>881</v>
      </c>
      <c r="H241" s="175">
        <v>4103058</v>
      </c>
      <c r="I241" s="306" t="s">
        <v>882</v>
      </c>
      <c r="J241" s="261" t="s">
        <v>883</v>
      </c>
      <c r="K241" s="264">
        <v>410305800</v>
      </c>
      <c r="L241" s="267" t="s">
        <v>884</v>
      </c>
      <c r="M241" s="261" t="s">
        <v>179</v>
      </c>
      <c r="N241" s="261">
        <v>12</v>
      </c>
      <c r="O241" s="261">
        <v>1</v>
      </c>
      <c r="P241" s="261">
        <v>0</v>
      </c>
      <c r="Q241" s="367" t="s">
        <v>319</v>
      </c>
      <c r="R241" s="305" t="s">
        <v>885</v>
      </c>
      <c r="S241" s="306" t="s">
        <v>886</v>
      </c>
      <c r="T241" s="27"/>
      <c r="U241" s="27"/>
      <c r="V241" s="27"/>
      <c r="W241" s="27"/>
      <c r="X241" s="27"/>
      <c r="Y241" s="27"/>
      <c r="Z241" s="27"/>
      <c r="AA241" s="27"/>
      <c r="AB241" s="27"/>
      <c r="AC241" s="27"/>
      <c r="AD241" s="27"/>
      <c r="AE241" s="27"/>
      <c r="AF241" s="27"/>
      <c r="AG241" s="27"/>
      <c r="AH241" s="27"/>
      <c r="AI241" s="27"/>
      <c r="AJ241" s="27"/>
      <c r="AK241" s="27"/>
      <c r="AL241" s="27"/>
      <c r="AM241" s="27"/>
      <c r="AN241" s="27"/>
      <c r="AO241" s="27"/>
      <c r="AP241" s="27"/>
      <c r="AQ241" s="27"/>
      <c r="AR241" s="27"/>
      <c r="AS241" s="27"/>
      <c r="AT241" s="27"/>
      <c r="AU241" s="27"/>
      <c r="AV241" s="27"/>
      <c r="AW241" s="27"/>
      <c r="AX241" s="33">
        <v>27000000</v>
      </c>
      <c r="AY241" s="33"/>
      <c r="AZ241" s="33">
        <v>0</v>
      </c>
      <c r="BA241" s="27"/>
      <c r="BB241" s="27"/>
      <c r="BC241" s="27"/>
      <c r="BD241" s="27"/>
      <c r="BE241" s="27"/>
      <c r="BF241" s="27"/>
      <c r="BG241" s="177">
        <f t="shared" si="67"/>
        <v>27000000</v>
      </c>
      <c r="BH241" s="177">
        <f t="shared" si="67"/>
        <v>0</v>
      </c>
      <c r="BI241" s="177">
        <f t="shared" si="67"/>
        <v>0</v>
      </c>
      <c r="BJ241" s="206"/>
      <c r="BK241" s="608"/>
      <c r="BL241" s="206"/>
    </row>
    <row r="242" spans="1:64" s="155" customFormat="1" ht="98.25" customHeight="1" x14ac:dyDescent="0.2">
      <c r="A242" s="383"/>
      <c r="B242" s="380"/>
      <c r="C242" s="324"/>
      <c r="D242" s="305"/>
      <c r="E242" s="314">
        <v>4103</v>
      </c>
      <c r="F242" s="31" t="s">
        <v>887</v>
      </c>
      <c r="G242" s="289" t="s">
        <v>888</v>
      </c>
      <c r="H242" s="175" t="s">
        <v>83</v>
      </c>
      <c r="I242" s="306" t="s">
        <v>889</v>
      </c>
      <c r="J242" s="261" t="s">
        <v>890</v>
      </c>
      <c r="K242" s="264" t="s">
        <v>83</v>
      </c>
      <c r="L242" s="267" t="s">
        <v>891</v>
      </c>
      <c r="M242" s="261" t="s">
        <v>179</v>
      </c>
      <c r="N242" s="261">
        <v>17</v>
      </c>
      <c r="O242" s="261">
        <v>2</v>
      </c>
      <c r="P242" s="289">
        <v>2</v>
      </c>
      <c r="Q242" s="612" t="s">
        <v>319</v>
      </c>
      <c r="R242" s="613" t="s">
        <v>892</v>
      </c>
      <c r="S242" s="611" t="s">
        <v>893</v>
      </c>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27"/>
      <c r="AS242" s="27"/>
      <c r="AT242" s="27"/>
      <c r="AU242" s="27"/>
      <c r="AV242" s="27"/>
      <c r="AW242" s="27"/>
      <c r="AX242" s="33">
        <v>30000000</v>
      </c>
      <c r="AY242" s="33">
        <v>30000000</v>
      </c>
      <c r="AZ242" s="33">
        <v>30000000</v>
      </c>
      <c r="BA242" s="27"/>
      <c r="BB242" s="27"/>
      <c r="BC242" s="27"/>
      <c r="BD242" s="27"/>
      <c r="BE242" s="27"/>
      <c r="BF242" s="27"/>
      <c r="BG242" s="177">
        <f t="shared" si="67"/>
        <v>30000000</v>
      </c>
      <c r="BH242" s="177">
        <f t="shared" si="67"/>
        <v>30000000</v>
      </c>
      <c r="BI242" s="177">
        <f t="shared" si="67"/>
        <v>30000000</v>
      </c>
      <c r="BJ242" s="206"/>
      <c r="BK242" s="608"/>
      <c r="BL242" s="206"/>
    </row>
    <row r="243" spans="1:64" s="155" customFormat="1" ht="96" customHeight="1" x14ac:dyDescent="0.2">
      <c r="A243" s="383"/>
      <c r="B243" s="380"/>
      <c r="C243" s="324"/>
      <c r="D243" s="305"/>
      <c r="E243" s="314">
        <v>4103</v>
      </c>
      <c r="F243" s="31" t="s">
        <v>894</v>
      </c>
      <c r="G243" s="197" t="s">
        <v>895</v>
      </c>
      <c r="H243" s="175" t="s">
        <v>83</v>
      </c>
      <c r="I243" s="306" t="s">
        <v>896</v>
      </c>
      <c r="J243" s="305" t="s">
        <v>897</v>
      </c>
      <c r="K243" s="264" t="s">
        <v>83</v>
      </c>
      <c r="L243" s="306" t="s">
        <v>898</v>
      </c>
      <c r="M243" s="261" t="s">
        <v>89</v>
      </c>
      <c r="N243" s="261">
        <v>2</v>
      </c>
      <c r="O243" s="261">
        <v>2</v>
      </c>
      <c r="P243" s="289">
        <v>2</v>
      </c>
      <c r="Q243" s="612"/>
      <c r="R243" s="613"/>
      <c r="S243" s="611"/>
      <c r="T243" s="27"/>
      <c r="U243" s="27"/>
      <c r="V243" s="27"/>
      <c r="W243" s="27"/>
      <c r="X243" s="27"/>
      <c r="Y243" s="27"/>
      <c r="Z243" s="27"/>
      <c r="AA243" s="27"/>
      <c r="AB243" s="27"/>
      <c r="AC243" s="27"/>
      <c r="AD243" s="27"/>
      <c r="AE243" s="27"/>
      <c r="AF243" s="27"/>
      <c r="AG243" s="27"/>
      <c r="AH243" s="27"/>
      <c r="AI243" s="27"/>
      <c r="AJ243" s="27"/>
      <c r="AK243" s="27"/>
      <c r="AL243" s="27"/>
      <c r="AM243" s="27"/>
      <c r="AN243" s="27"/>
      <c r="AO243" s="27"/>
      <c r="AP243" s="27"/>
      <c r="AQ243" s="27"/>
      <c r="AR243" s="27"/>
      <c r="AS243" s="27"/>
      <c r="AT243" s="27"/>
      <c r="AU243" s="27"/>
      <c r="AV243" s="27"/>
      <c r="AW243" s="27"/>
      <c r="AX243" s="33">
        <v>49500000</v>
      </c>
      <c r="AY243" s="33">
        <v>49500000</v>
      </c>
      <c r="AZ243" s="33">
        <v>49500000</v>
      </c>
      <c r="BA243" s="27"/>
      <c r="BB243" s="27"/>
      <c r="BC243" s="27"/>
      <c r="BD243" s="27"/>
      <c r="BE243" s="27"/>
      <c r="BF243" s="27"/>
      <c r="BG243" s="177">
        <f t="shared" si="67"/>
        <v>49500000</v>
      </c>
      <c r="BH243" s="151">
        <f t="shared" si="67"/>
        <v>49500000</v>
      </c>
      <c r="BI243" s="151">
        <f t="shared" si="67"/>
        <v>49500000</v>
      </c>
      <c r="BJ243" s="206"/>
      <c r="BK243" s="608"/>
      <c r="BL243" s="206"/>
    </row>
    <row r="244" spans="1:64" s="155" customFormat="1" ht="102.75" customHeight="1" x14ac:dyDescent="0.2">
      <c r="A244" s="383"/>
      <c r="B244" s="380"/>
      <c r="C244" s="324"/>
      <c r="D244" s="305"/>
      <c r="E244" s="314">
        <v>4103</v>
      </c>
      <c r="F244" s="307" t="s">
        <v>1473</v>
      </c>
      <c r="G244" s="289" t="s">
        <v>899</v>
      </c>
      <c r="H244" s="175" t="s">
        <v>83</v>
      </c>
      <c r="I244" s="306" t="s">
        <v>1474</v>
      </c>
      <c r="J244" s="261" t="s">
        <v>900</v>
      </c>
      <c r="K244" s="264" t="s">
        <v>83</v>
      </c>
      <c r="L244" s="267" t="s">
        <v>901</v>
      </c>
      <c r="M244" s="261" t="s">
        <v>89</v>
      </c>
      <c r="N244" s="261">
        <v>1</v>
      </c>
      <c r="O244" s="261">
        <v>1</v>
      </c>
      <c r="P244" s="261">
        <v>1</v>
      </c>
      <c r="Q244" s="367" t="s">
        <v>319</v>
      </c>
      <c r="R244" s="305" t="s">
        <v>902</v>
      </c>
      <c r="S244" s="306" t="s">
        <v>903</v>
      </c>
      <c r="T244" s="27"/>
      <c r="U244" s="27"/>
      <c r="V244" s="27"/>
      <c r="W244" s="27"/>
      <c r="X244" s="27"/>
      <c r="Y244" s="27"/>
      <c r="Z244" s="27"/>
      <c r="AA244" s="27"/>
      <c r="AB244" s="27"/>
      <c r="AC244" s="27"/>
      <c r="AD244" s="27"/>
      <c r="AE244" s="27"/>
      <c r="AF244" s="27"/>
      <c r="AG244" s="27"/>
      <c r="AH244" s="27"/>
      <c r="AI244" s="27"/>
      <c r="AJ244" s="27"/>
      <c r="AK244" s="27"/>
      <c r="AL244" s="27"/>
      <c r="AM244" s="27"/>
      <c r="AN244" s="27"/>
      <c r="AO244" s="27"/>
      <c r="AP244" s="27"/>
      <c r="AQ244" s="27"/>
      <c r="AR244" s="27"/>
      <c r="AS244" s="27"/>
      <c r="AT244" s="27"/>
      <c r="AU244" s="27"/>
      <c r="AV244" s="27"/>
      <c r="AW244" s="27"/>
      <c r="AX244" s="33">
        <f>70000000-40000000</f>
        <v>30000000</v>
      </c>
      <c r="AY244" s="33">
        <v>18318654</v>
      </c>
      <c r="AZ244" s="33">
        <v>18318654</v>
      </c>
      <c r="BA244" s="27"/>
      <c r="BB244" s="27"/>
      <c r="BC244" s="27"/>
      <c r="BD244" s="27"/>
      <c r="BE244" s="27"/>
      <c r="BF244" s="27"/>
      <c r="BG244" s="177">
        <f t="shared" si="67"/>
        <v>30000000</v>
      </c>
      <c r="BH244" s="151">
        <f t="shared" si="67"/>
        <v>18318654</v>
      </c>
      <c r="BI244" s="151">
        <f t="shared" si="67"/>
        <v>18318654</v>
      </c>
      <c r="BJ244" s="206"/>
      <c r="BK244" s="608"/>
      <c r="BL244" s="206"/>
    </row>
    <row r="245" spans="1:64" s="155" customFormat="1" ht="15.75" x14ac:dyDescent="0.2">
      <c r="A245" s="383"/>
      <c r="B245" s="380"/>
      <c r="C245" s="171">
        <v>38</v>
      </c>
      <c r="D245" s="146">
        <v>4104</v>
      </c>
      <c r="E245" s="308" t="s">
        <v>904</v>
      </c>
      <c r="F245" s="145"/>
      <c r="G245" s="146"/>
      <c r="H245" s="147"/>
      <c r="I245" s="145"/>
      <c r="J245" s="146"/>
      <c r="K245" s="146"/>
      <c r="L245" s="145"/>
      <c r="M245" s="347"/>
      <c r="N245" s="348"/>
      <c r="O245" s="146"/>
      <c r="P245" s="146"/>
      <c r="Q245" s="368"/>
      <c r="R245" s="146"/>
      <c r="S245" s="145"/>
      <c r="T245" s="47">
        <f>SUM(T246:T254)</f>
        <v>4262727592.3899999</v>
      </c>
      <c r="U245" s="47">
        <f>SUM(U246:U254)</f>
        <v>3642665598</v>
      </c>
      <c r="V245" s="47">
        <f>SUM(V246:V254)</f>
        <v>3642665598</v>
      </c>
      <c r="W245" s="47">
        <f>SUM(W246:W254)</f>
        <v>0</v>
      </c>
      <c r="X245" s="47"/>
      <c r="Y245" s="47"/>
      <c r="Z245" s="47">
        <f>SUM(Z246:Z254)</f>
        <v>0</v>
      </c>
      <c r="AA245" s="47"/>
      <c r="AB245" s="47"/>
      <c r="AC245" s="47">
        <f>SUM(AC246:AC254)</f>
        <v>0</v>
      </c>
      <c r="AD245" s="47"/>
      <c r="AE245" s="47"/>
      <c r="AF245" s="47">
        <f>SUM(AF246:AF254)</f>
        <v>0</v>
      </c>
      <c r="AG245" s="47"/>
      <c r="AH245" s="47"/>
      <c r="AI245" s="47">
        <f>SUM(AI246:AI254)</f>
        <v>0</v>
      </c>
      <c r="AJ245" s="47"/>
      <c r="AK245" s="47"/>
      <c r="AL245" s="47">
        <f>SUM(AL246:AL254)</f>
        <v>0</v>
      </c>
      <c r="AM245" s="47"/>
      <c r="AN245" s="47"/>
      <c r="AO245" s="47">
        <f>SUM(AO246:AO254)</f>
        <v>0</v>
      </c>
      <c r="AP245" s="47"/>
      <c r="AQ245" s="47"/>
      <c r="AR245" s="47">
        <f>SUM(AR246:AR254)</f>
        <v>0</v>
      </c>
      <c r="AS245" s="47"/>
      <c r="AT245" s="47"/>
      <c r="AU245" s="47">
        <f>SUM(AU246:AU254)</f>
        <v>0</v>
      </c>
      <c r="AV245" s="47"/>
      <c r="AW245" s="47"/>
      <c r="AX245" s="47">
        <f>SUM(AX246:AX254)</f>
        <v>529251842</v>
      </c>
      <c r="AY245" s="47">
        <f>SUM(AY246:AY254)</f>
        <v>335924998</v>
      </c>
      <c r="AZ245" s="47">
        <f>SUM(AZ246:AZ254)</f>
        <v>335924998</v>
      </c>
      <c r="BA245" s="47">
        <f>SUM(BA246:BA254)</f>
        <v>0</v>
      </c>
      <c r="BB245" s="47"/>
      <c r="BC245" s="47"/>
      <c r="BD245" s="47">
        <f>SUM(BD246:BD254)</f>
        <v>0</v>
      </c>
      <c r="BE245" s="47"/>
      <c r="BF245" s="47"/>
      <c r="BG245" s="47">
        <f>SUM(BG246:BG254)</f>
        <v>4791979434.3899994</v>
      </c>
      <c r="BH245" s="47">
        <f>SUM(BH246:BH254)</f>
        <v>3978590596</v>
      </c>
      <c r="BI245" s="47">
        <f>SUM(BI246:BI254)</f>
        <v>3978590596</v>
      </c>
      <c r="BJ245" s="206"/>
      <c r="BK245" s="608"/>
      <c r="BL245" s="206"/>
    </row>
    <row r="246" spans="1:64" s="155" customFormat="1" ht="138.75" customHeight="1" x14ac:dyDescent="0.2">
      <c r="A246" s="383"/>
      <c r="B246" s="380"/>
      <c r="C246" s="324"/>
      <c r="D246" s="305"/>
      <c r="E246" s="314">
        <v>4104</v>
      </c>
      <c r="F246" s="306" t="s">
        <v>1475</v>
      </c>
      <c r="G246" s="317" t="s">
        <v>905</v>
      </c>
      <c r="H246" s="175" t="s">
        <v>906</v>
      </c>
      <c r="I246" s="306" t="s">
        <v>907</v>
      </c>
      <c r="J246" s="305" t="s">
        <v>908</v>
      </c>
      <c r="K246" s="175">
        <v>410403500</v>
      </c>
      <c r="L246" s="306" t="s">
        <v>909</v>
      </c>
      <c r="M246" s="261" t="s">
        <v>179</v>
      </c>
      <c r="N246" s="261">
        <v>500</v>
      </c>
      <c r="O246" s="261">
        <v>20</v>
      </c>
      <c r="P246" s="605">
        <v>0</v>
      </c>
      <c r="Q246" s="612" t="s">
        <v>319</v>
      </c>
      <c r="R246" s="613" t="s">
        <v>885</v>
      </c>
      <c r="S246" s="611" t="s">
        <v>886</v>
      </c>
      <c r="T246" s="27"/>
      <c r="U246" s="27"/>
      <c r="V246" s="27"/>
      <c r="W246" s="27"/>
      <c r="X246" s="27"/>
      <c r="Y246" s="27"/>
      <c r="Z246" s="27"/>
      <c r="AA246" s="27"/>
      <c r="AB246" s="27"/>
      <c r="AC246" s="27"/>
      <c r="AD246" s="27"/>
      <c r="AE246" s="27"/>
      <c r="AF246" s="27"/>
      <c r="AG246" s="27"/>
      <c r="AH246" s="27"/>
      <c r="AI246" s="27"/>
      <c r="AJ246" s="27"/>
      <c r="AK246" s="27"/>
      <c r="AL246" s="27"/>
      <c r="AM246" s="27"/>
      <c r="AN246" s="27"/>
      <c r="AO246" s="27"/>
      <c r="AP246" s="27"/>
      <c r="AQ246" s="27"/>
      <c r="AR246" s="27"/>
      <c r="AS246" s="27"/>
      <c r="AT246" s="27"/>
      <c r="AU246" s="27"/>
      <c r="AV246" s="27"/>
      <c r="AW246" s="27"/>
      <c r="AX246" s="33">
        <f>14000000-2946608</f>
        <v>11053392</v>
      </c>
      <c r="AY246" s="315"/>
      <c r="AZ246" s="33"/>
      <c r="BA246" s="27"/>
      <c r="BB246" s="27"/>
      <c r="BC246" s="27"/>
      <c r="BD246" s="27"/>
      <c r="BE246" s="27"/>
      <c r="BF246" s="27"/>
      <c r="BG246" s="177">
        <f t="shared" ref="BG246:BI254" si="68">+T246+W246+Z246+AC246+AF246+AI246+AL246+AO246+AR246+AU246+AX246+BA246+BD246</f>
        <v>11053392</v>
      </c>
      <c r="BH246" s="177">
        <f t="shared" si="68"/>
        <v>0</v>
      </c>
      <c r="BI246" s="151">
        <f t="shared" si="68"/>
        <v>0</v>
      </c>
      <c r="BJ246" s="206"/>
      <c r="BK246" s="608"/>
      <c r="BL246" s="206"/>
    </row>
    <row r="247" spans="1:64" s="155" customFormat="1" ht="81.75" customHeight="1" x14ac:dyDescent="0.2">
      <c r="A247" s="383"/>
      <c r="B247" s="380"/>
      <c r="C247" s="324"/>
      <c r="D247" s="305"/>
      <c r="E247" s="314">
        <v>4104</v>
      </c>
      <c r="F247" s="306" t="s">
        <v>1476</v>
      </c>
      <c r="G247" s="197" t="s">
        <v>905</v>
      </c>
      <c r="H247" s="175" t="s">
        <v>906</v>
      </c>
      <c r="I247" s="306" t="s">
        <v>907</v>
      </c>
      <c r="J247" s="261" t="s">
        <v>910</v>
      </c>
      <c r="K247" s="264" t="s">
        <v>83</v>
      </c>
      <c r="L247" s="275" t="s">
        <v>911</v>
      </c>
      <c r="M247" s="309" t="s">
        <v>89</v>
      </c>
      <c r="N247" s="305">
        <v>12</v>
      </c>
      <c r="O247" s="207">
        <v>12</v>
      </c>
      <c r="P247" s="317">
        <v>12</v>
      </c>
      <c r="Q247" s="612"/>
      <c r="R247" s="613"/>
      <c r="S247" s="611"/>
      <c r="T247" s="27"/>
      <c r="U247" s="27"/>
      <c r="V247" s="27"/>
      <c r="W247" s="27"/>
      <c r="X247" s="27"/>
      <c r="Y247" s="27"/>
      <c r="Z247" s="27"/>
      <c r="AA247" s="27"/>
      <c r="AB247" s="27"/>
      <c r="AC247" s="27"/>
      <c r="AD247" s="27"/>
      <c r="AE247" s="27"/>
      <c r="AF247" s="27"/>
      <c r="AG247" s="27"/>
      <c r="AH247" s="27"/>
      <c r="AI247" s="27"/>
      <c r="AJ247" s="27"/>
      <c r="AK247" s="27"/>
      <c r="AL247" s="27"/>
      <c r="AM247" s="27"/>
      <c r="AN247" s="27"/>
      <c r="AO247" s="27"/>
      <c r="AP247" s="27"/>
      <c r="AQ247" s="27"/>
      <c r="AR247" s="27"/>
      <c r="AS247" s="27"/>
      <c r="AT247" s="27"/>
      <c r="AU247" s="27"/>
      <c r="AV247" s="27"/>
      <c r="AW247" s="27"/>
      <c r="AX247" s="33">
        <f>25000000+2946608</f>
        <v>27946608</v>
      </c>
      <c r="AY247" s="315">
        <f>'[7]F-PLA-47 Metas Producto FamilI '!$R$43+'[7]F-PLA-47 Metas Producto FamilI '!$R$44</f>
        <v>13973304</v>
      </c>
      <c r="AZ247" s="33">
        <v>13973304</v>
      </c>
      <c r="BA247" s="27"/>
      <c r="BB247" s="27"/>
      <c r="BC247" s="27"/>
      <c r="BD247" s="27"/>
      <c r="BE247" s="27"/>
      <c r="BF247" s="27"/>
      <c r="BG247" s="177">
        <f t="shared" si="68"/>
        <v>27946608</v>
      </c>
      <c r="BH247" s="177">
        <f t="shared" si="68"/>
        <v>13973304</v>
      </c>
      <c r="BI247" s="151">
        <f t="shared" si="68"/>
        <v>13973304</v>
      </c>
      <c r="BJ247" s="206"/>
      <c r="BK247" s="608"/>
      <c r="BL247" s="206"/>
    </row>
    <row r="248" spans="1:64" s="155" customFormat="1" ht="88.5" customHeight="1" x14ac:dyDescent="0.2">
      <c r="A248" s="383"/>
      <c r="B248" s="380"/>
      <c r="C248" s="324"/>
      <c r="D248" s="305"/>
      <c r="E248" s="314">
        <v>4104</v>
      </c>
      <c r="F248" s="306" t="s">
        <v>912</v>
      </c>
      <c r="G248" s="289" t="s">
        <v>913</v>
      </c>
      <c r="H248" s="175" t="s">
        <v>914</v>
      </c>
      <c r="I248" s="306" t="s">
        <v>915</v>
      </c>
      <c r="J248" s="305" t="s">
        <v>916</v>
      </c>
      <c r="K248" s="264" t="s">
        <v>83</v>
      </c>
      <c r="L248" s="306" t="s">
        <v>917</v>
      </c>
      <c r="M248" s="261" t="s">
        <v>89</v>
      </c>
      <c r="N248" s="261">
        <v>12</v>
      </c>
      <c r="O248" s="261">
        <v>12</v>
      </c>
      <c r="P248" s="261">
        <v>12</v>
      </c>
      <c r="Q248" s="367" t="s">
        <v>319</v>
      </c>
      <c r="R248" s="305" t="s">
        <v>918</v>
      </c>
      <c r="S248" s="306" t="s">
        <v>919</v>
      </c>
      <c r="T248" s="27"/>
      <c r="U248" s="27"/>
      <c r="V248" s="27"/>
      <c r="W248" s="27"/>
      <c r="X248" s="27"/>
      <c r="Y248" s="27"/>
      <c r="Z248" s="27"/>
      <c r="AA248" s="27"/>
      <c r="AB248" s="27"/>
      <c r="AC248" s="27"/>
      <c r="AD248" s="27"/>
      <c r="AE248" s="27"/>
      <c r="AF248" s="27"/>
      <c r="AG248" s="27"/>
      <c r="AH248" s="27"/>
      <c r="AI248" s="27"/>
      <c r="AJ248" s="27"/>
      <c r="AK248" s="27"/>
      <c r="AL248" s="27"/>
      <c r="AM248" s="27"/>
      <c r="AN248" s="27"/>
      <c r="AO248" s="27"/>
      <c r="AP248" s="27"/>
      <c r="AQ248" s="27"/>
      <c r="AR248" s="27"/>
      <c r="AS248" s="27"/>
      <c r="AT248" s="27"/>
      <c r="AU248" s="27"/>
      <c r="AV248" s="27"/>
      <c r="AW248" s="27"/>
      <c r="AX248" s="33">
        <v>18000000</v>
      </c>
      <c r="AY248" s="33">
        <v>14666666</v>
      </c>
      <c r="AZ248" s="33">
        <v>14666666</v>
      </c>
      <c r="BA248" s="27"/>
      <c r="BB248" s="27"/>
      <c r="BC248" s="27"/>
      <c r="BD248" s="27"/>
      <c r="BE248" s="27"/>
      <c r="BF248" s="27"/>
      <c r="BG248" s="177">
        <f t="shared" si="68"/>
        <v>18000000</v>
      </c>
      <c r="BH248" s="177">
        <f t="shared" si="68"/>
        <v>14666666</v>
      </c>
      <c r="BI248" s="151">
        <f t="shared" si="68"/>
        <v>14666666</v>
      </c>
      <c r="BJ248" s="206"/>
      <c r="BK248" s="608"/>
      <c r="BL248" s="206"/>
    </row>
    <row r="249" spans="1:64" s="155" customFormat="1" ht="126.75" customHeight="1" x14ac:dyDescent="0.2">
      <c r="A249" s="383"/>
      <c r="B249" s="380"/>
      <c r="C249" s="324"/>
      <c r="D249" s="305"/>
      <c r="E249" s="314">
        <v>4104</v>
      </c>
      <c r="F249" s="306" t="s">
        <v>920</v>
      </c>
      <c r="G249" s="197" t="s">
        <v>921</v>
      </c>
      <c r="H249" s="207" t="s">
        <v>83</v>
      </c>
      <c r="I249" s="307" t="s">
        <v>922</v>
      </c>
      <c r="J249" s="264" t="s">
        <v>923</v>
      </c>
      <c r="K249" s="264" t="s">
        <v>83</v>
      </c>
      <c r="L249" s="269" t="s">
        <v>924</v>
      </c>
      <c r="M249" s="261" t="s">
        <v>89</v>
      </c>
      <c r="N249" s="261">
        <v>1</v>
      </c>
      <c r="O249" s="261">
        <v>1</v>
      </c>
      <c r="P249" s="289">
        <v>1</v>
      </c>
      <c r="Q249" s="367" t="s">
        <v>319</v>
      </c>
      <c r="R249" s="305" t="s">
        <v>925</v>
      </c>
      <c r="S249" s="306" t="s">
        <v>1440</v>
      </c>
      <c r="T249" s="27"/>
      <c r="U249" s="27"/>
      <c r="V249" s="27"/>
      <c r="W249" s="27"/>
      <c r="X249" s="27"/>
      <c r="Y249" s="27"/>
      <c r="Z249" s="27"/>
      <c r="AA249" s="27"/>
      <c r="AB249" s="27"/>
      <c r="AC249" s="27"/>
      <c r="AD249" s="27"/>
      <c r="AE249" s="27"/>
      <c r="AF249" s="27"/>
      <c r="AG249" s="27"/>
      <c r="AH249" s="27"/>
      <c r="AI249" s="27"/>
      <c r="AJ249" s="27"/>
      <c r="AK249" s="27"/>
      <c r="AL249" s="27"/>
      <c r="AM249" s="27"/>
      <c r="AN249" s="27"/>
      <c r="AO249" s="27"/>
      <c r="AP249" s="27"/>
      <c r="AQ249" s="27"/>
      <c r="AR249" s="27"/>
      <c r="AS249" s="27"/>
      <c r="AT249" s="27"/>
      <c r="AU249" s="27"/>
      <c r="AV249" s="27"/>
      <c r="AW249" s="27"/>
      <c r="AX249" s="33">
        <f>170000000-86020000</f>
        <v>83980000</v>
      </c>
      <c r="AY249" s="33">
        <v>65577446</v>
      </c>
      <c r="AZ249" s="33">
        <v>65577446</v>
      </c>
      <c r="BA249" s="27"/>
      <c r="BB249" s="27"/>
      <c r="BC249" s="27"/>
      <c r="BD249" s="27"/>
      <c r="BE249" s="27"/>
      <c r="BF249" s="27"/>
      <c r="BG249" s="151">
        <f t="shared" si="68"/>
        <v>83980000</v>
      </c>
      <c r="BH249" s="151">
        <f t="shared" si="68"/>
        <v>65577446</v>
      </c>
      <c r="BI249" s="151">
        <f t="shared" si="68"/>
        <v>65577446</v>
      </c>
      <c r="BJ249" s="206"/>
      <c r="BK249" s="608"/>
      <c r="BL249" s="206"/>
    </row>
    <row r="250" spans="1:64" s="155" customFormat="1" ht="179.25" customHeight="1" x14ac:dyDescent="0.2">
      <c r="A250" s="383"/>
      <c r="B250" s="380"/>
      <c r="C250" s="324"/>
      <c r="D250" s="305"/>
      <c r="E250" s="314">
        <v>4104</v>
      </c>
      <c r="F250" s="306" t="s">
        <v>927</v>
      </c>
      <c r="G250" s="298" t="s">
        <v>928</v>
      </c>
      <c r="H250" s="207" t="s">
        <v>83</v>
      </c>
      <c r="I250" s="307" t="s">
        <v>929</v>
      </c>
      <c r="J250" s="264" t="s">
        <v>930</v>
      </c>
      <c r="K250" s="264" t="s">
        <v>83</v>
      </c>
      <c r="L250" s="269" t="s">
        <v>931</v>
      </c>
      <c r="M250" s="261" t="s">
        <v>89</v>
      </c>
      <c r="N250" s="261">
        <v>1</v>
      </c>
      <c r="O250" s="261">
        <v>1</v>
      </c>
      <c r="P250" s="289">
        <v>0.9</v>
      </c>
      <c r="Q250" s="367" t="s">
        <v>105</v>
      </c>
      <c r="R250" s="305" t="s">
        <v>932</v>
      </c>
      <c r="S250" s="306" t="s">
        <v>1441</v>
      </c>
      <c r="T250" s="27"/>
      <c r="U250" s="27"/>
      <c r="V250" s="27"/>
      <c r="W250" s="27"/>
      <c r="X250" s="27"/>
      <c r="Y250" s="27"/>
      <c r="Z250" s="27"/>
      <c r="AA250" s="27"/>
      <c r="AB250" s="27"/>
      <c r="AC250" s="27"/>
      <c r="AD250" s="27"/>
      <c r="AE250" s="27"/>
      <c r="AF250" s="27"/>
      <c r="AG250" s="27"/>
      <c r="AH250" s="27"/>
      <c r="AI250" s="27"/>
      <c r="AJ250" s="27"/>
      <c r="AK250" s="27"/>
      <c r="AL250" s="27"/>
      <c r="AM250" s="27"/>
      <c r="AN250" s="27"/>
      <c r="AO250" s="27"/>
      <c r="AP250" s="27"/>
      <c r="AQ250" s="27"/>
      <c r="AR250" s="27"/>
      <c r="AS250" s="27"/>
      <c r="AT250" s="27"/>
      <c r="AU250" s="27"/>
      <c r="AV250" s="27"/>
      <c r="AW250" s="27"/>
      <c r="AX250" s="33">
        <f>140000000-60275000</f>
        <v>79725000</v>
      </c>
      <c r="AY250" s="33">
        <v>65314249</v>
      </c>
      <c r="AZ250" s="33">
        <v>65314249</v>
      </c>
      <c r="BA250" s="27"/>
      <c r="BB250" s="27"/>
      <c r="BC250" s="27"/>
      <c r="BD250" s="27"/>
      <c r="BE250" s="27"/>
      <c r="BF250" s="27"/>
      <c r="BG250" s="151">
        <f t="shared" si="68"/>
        <v>79725000</v>
      </c>
      <c r="BH250" s="151">
        <f t="shared" si="68"/>
        <v>65314249</v>
      </c>
      <c r="BI250" s="151">
        <f t="shared" si="68"/>
        <v>65314249</v>
      </c>
      <c r="BJ250" s="206"/>
      <c r="BK250" s="608"/>
      <c r="BL250" s="206"/>
    </row>
    <row r="251" spans="1:64" s="155" customFormat="1" ht="243" customHeight="1" x14ac:dyDescent="0.2">
      <c r="A251" s="383"/>
      <c r="B251" s="380"/>
      <c r="C251" s="324"/>
      <c r="D251" s="305"/>
      <c r="E251" s="314">
        <v>4104</v>
      </c>
      <c r="F251" s="306" t="s">
        <v>1477</v>
      </c>
      <c r="G251" s="298" t="s">
        <v>934</v>
      </c>
      <c r="H251" s="207" t="s">
        <v>83</v>
      </c>
      <c r="I251" s="208" t="s">
        <v>935</v>
      </c>
      <c r="J251" s="261" t="s">
        <v>936</v>
      </c>
      <c r="K251" s="264" t="s">
        <v>83</v>
      </c>
      <c r="L251" s="275" t="s">
        <v>937</v>
      </c>
      <c r="M251" s="261" t="s">
        <v>89</v>
      </c>
      <c r="N251" s="261">
        <v>1</v>
      </c>
      <c r="O251" s="261">
        <v>1</v>
      </c>
      <c r="P251" s="289">
        <v>0.8</v>
      </c>
      <c r="Q251" s="611" t="s">
        <v>319</v>
      </c>
      <c r="R251" s="613" t="s">
        <v>938</v>
      </c>
      <c r="S251" s="611" t="s">
        <v>939</v>
      </c>
      <c r="T251" s="27"/>
      <c r="U251" s="27"/>
      <c r="V251" s="27"/>
      <c r="W251" s="27"/>
      <c r="X251" s="27"/>
      <c r="Y251" s="27"/>
      <c r="Z251" s="27"/>
      <c r="AA251" s="27"/>
      <c r="AB251" s="27"/>
      <c r="AC251" s="27"/>
      <c r="AD251" s="27"/>
      <c r="AE251" s="27"/>
      <c r="AF251" s="27"/>
      <c r="AG251" s="27"/>
      <c r="AH251" s="27"/>
      <c r="AI251" s="27"/>
      <c r="AJ251" s="27"/>
      <c r="AK251" s="27"/>
      <c r="AL251" s="27"/>
      <c r="AM251" s="27"/>
      <c r="AN251" s="27"/>
      <c r="AO251" s="27"/>
      <c r="AP251" s="27"/>
      <c r="AQ251" s="27"/>
      <c r="AR251" s="27"/>
      <c r="AS251" s="27"/>
      <c r="AT251" s="27"/>
      <c r="AU251" s="27"/>
      <c r="AV251" s="27"/>
      <c r="AW251" s="27"/>
      <c r="AX251" s="315">
        <f>95000000-5600000+2066666-466667</f>
        <v>90999999</v>
      </c>
      <c r="AY251" s="33">
        <v>76906667</v>
      </c>
      <c r="AZ251" s="33">
        <v>76906667</v>
      </c>
      <c r="BA251" s="27"/>
      <c r="BB251" s="27"/>
      <c r="BC251" s="27"/>
      <c r="BD251" s="27"/>
      <c r="BE251" s="27"/>
      <c r="BF251" s="27"/>
      <c r="BG251" s="151">
        <f t="shared" si="68"/>
        <v>90999999</v>
      </c>
      <c r="BH251" s="151">
        <f t="shared" si="68"/>
        <v>76906667</v>
      </c>
      <c r="BI251" s="151">
        <f t="shared" si="68"/>
        <v>76906667</v>
      </c>
      <c r="BJ251" s="206"/>
      <c r="BK251" s="608"/>
      <c r="BL251" s="206"/>
    </row>
    <row r="252" spans="1:64" s="155" customFormat="1" ht="90" customHeight="1" x14ac:dyDescent="0.2">
      <c r="A252" s="383"/>
      <c r="B252" s="380"/>
      <c r="C252" s="324"/>
      <c r="D252" s="305"/>
      <c r="E252" s="314">
        <v>4104</v>
      </c>
      <c r="F252" s="306" t="s">
        <v>940</v>
      </c>
      <c r="G252" s="289" t="s">
        <v>941</v>
      </c>
      <c r="H252" s="175">
        <v>4104015</v>
      </c>
      <c r="I252" s="208" t="s">
        <v>942</v>
      </c>
      <c r="J252" s="261" t="s">
        <v>943</v>
      </c>
      <c r="K252" s="264">
        <v>410401500</v>
      </c>
      <c r="L252" s="267" t="s">
        <v>944</v>
      </c>
      <c r="M252" s="266" t="s">
        <v>89</v>
      </c>
      <c r="N252" s="266">
        <v>7500</v>
      </c>
      <c r="O252" s="266">
        <v>7500</v>
      </c>
      <c r="P252" s="266">
        <v>8550</v>
      </c>
      <c r="Q252" s="611"/>
      <c r="R252" s="613"/>
      <c r="S252" s="611"/>
      <c r="T252" s="27"/>
      <c r="U252" s="27"/>
      <c r="V252" s="27"/>
      <c r="W252" s="27"/>
      <c r="X252" s="27"/>
      <c r="Y252" s="27"/>
      <c r="Z252" s="27"/>
      <c r="AA252" s="27"/>
      <c r="AB252" s="27"/>
      <c r="AC252" s="27"/>
      <c r="AD252" s="27"/>
      <c r="AE252" s="27"/>
      <c r="AF252" s="27"/>
      <c r="AG252" s="27"/>
      <c r="AH252" s="27"/>
      <c r="AI252" s="27"/>
      <c r="AJ252" s="27"/>
      <c r="AK252" s="27"/>
      <c r="AL252" s="27"/>
      <c r="AM252" s="27"/>
      <c r="AN252" s="27"/>
      <c r="AO252" s="27"/>
      <c r="AP252" s="27"/>
      <c r="AQ252" s="27"/>
      <c r="AR252" s="27"/>
      <c r="AS252" s="27"/>
      <c r="AT252" s="27"/>
      <c r="AU252" s="27"/>
      <c r="AV252" s="27"/>
      <c r="AW252" s="27"/>
      <c r="AX252" s="33">
        <f>25000000+19750567-2066666+5600000-3183999</f>
        <v>45099902</v>
      </c>
      <c r="AY252" s="33">
        <v>36099900</v>
      </c>
      <c r="AZ252" s="33">
        <v>36099900</v>
      </c>
      <c r="BA252" s="27"/>
      <c r="BB252" s="27"/>
      <c r="BC252" s="27"/>
      <c r="BD252" s="27"/>
      <c r="BE252" s="27"/>
      <c r="BF252" s="27"/>
      <c r="BG252" s="177">
        <f t="shared" si="68"/>
        <v>45099902</v>
      </c>
      <c r="BH252" s="177">
        <f t="shared" si="68"/>
        <v>36099900</v>
      </c>
      <c r="BI252" s="177">
        <f t="shared" si="68"/>
        <v>36099900</v>
      </c>
      <c r="BJ252" s="206"/>
      <c r="BK252" s="608"/>
      <c r="BL252" s="206"/>
    </row>
    <row r="253" spans="1:64" s="155" customFormat="1" ht="78.75" customHeight="1" x14ac:dyDescent="0.2">
      <c r="A253" s="383"/>
      <c r="B253" s="380"/>
      <c r="C253" s="324"/>
      <c r="D253" s="305"/>
      <c r="E253" s="314">
        <v>4104</v>
      </c>
      <c r="F253" s="306" t="s">
        <v>1478</v>
      </c>
      <c r="G253" s="289" t="s">
        <v>945</v>
      </c>
      <c r="H253" s="313" t="s">
        <v>83</v>
      </c>
      <c r="I253" s="208" t="s">
        <v>946</v>
      </c>
      <c r="J253" s="261" t="s">
        <v>947</v>
      </c>
      <c r="K253" s="264" t="s">
        <v>83</v>
      </c>
      <c r="L253" s="275" t="s">
        <v>948</v>
      </c>
      <c r="M253" s="305" t="s">
        <v>89</v>
      </c>
      <c r="N253" s="305">
        <v>12</v>
      </c>
      <c r="O253" s="261">
        <v>12</v>
      </c>
      <c r="P253" s="261">
        <v>12</v>
      </c>
      <c r="Q253" s="611"/>
      <c r="R253" s="613"/>
      <c r="S253" s="611"/>
      <c r="T253" s="45">
        <v>4262727592.3899999</v>
      </c>
      <c r="U253" s="45">
        <v>3642665598</v>
      </c>
      <c r="V253" s="45">
        <v>3642665598</v>
      </c>
      <c r="W253" s="209"/>
      <c r="X253" s="209"/>
      <c r="Y253" s="209"/>
      <c r="Z253" s="27"/>
      <c r="AA253" s="27"/>
      <c r="AB253" s="27"/>
      <c r="AC253" s="27"/>
      <c r="AD253" s="27"/>
      <c r="AE253" s="27"/>
      <c r="AF253" s="27"/>
      <c r="AG253" s="27"/>
      <c r="AH253" s="27"/>
      <c r="AI253" s="27"/>
      <c r="AJ253" s="27"/>
      <c r="AK253" s="27"/>
      <c r="AL253" s="27"/>
      <c r="AM253" s="27"/>
      <c r="AN253" s="27"/>
      <c r="AO253" s="27"/>
      <c r="AP253" s="27"/>
      <c r="AQ253" s="27"/>
      <c r="AR253" s="27"/>
      <c r="AS253" s="27"/>
      <c r="AT253" s="27"/>
      <c r="AU253" s="27"/>
      <c r="AV253" s="27"/>
      <c r="AW253" s="27"/>
      <c r="AX253" s="33">
        <v>3650666</v>
      </c>
      <c r="AY253" s="33">
        <v>3650666</v>
      </c>
      <c r="AZ253" s="33">
        <v>3650666</v>
      </c>
      <c r="BA253" s="27"/>
      <c r="BB253" s="27"/>
      <c r="BC253" s="27"/>
      <c r="BD253" s="27"/>
      <c r="BE253" s="27"/>
      <c r="BF253" s="27"/>
      <c r="BG253" s="151">
        <f t="shared" si="68"/>
        <v>4266378258.3899999</v>
      </c>
      <c r="BH253" s="151">
        <f t="shared" si="68"/>
        <v>3646316264</v>
      </c>
      <c r="BI253" s="151">
        <f t="shared" si="68"/>
        <v>3646316264</v>
      </c>
      <c r="BJ253" s="206"/>
      <c r="BK253" s="608"/>
      <c r="BL253" s="206"/>
    </row>
    <row r="254" spans="1:64" s="155" customFormat="1" ht="141.75" customHeight="1" x14ac:dyDescent="0.2">
      <c r="A254" s="383"/>
      <c r="B254" s="380"/>
      <c r="C254" s="324"/>
      <c r="D254" s="305"/>
      <c r="E254" s="314">
        <v>4104</v>
      </c>
      <c r="F254" s="306" t="s">
        <v>949</v>
      </c>
      <c r="G254" s="289" t="s">
        <v>950</v>
      </c>
      <c r="H254" s="313" t="s">
        <v>83</v>
      </c>
      <c r="I254" s="208" t="s">
        <v>951</v>
      </c>
      <c r="J254" s="261" t="s">
        <v>952</v>
      </c>
      <c r="K254" s="268" t="s">
        <v>83</v>
      </c>
      <c r="L254" s="269" t="s">
        <v>1479</v>
      </c>
      <c r="M254" s="305" t="s">
        <v>89</v>
      </c>
      <c r="N254" s="305">
        <v>1</v>
      </c>
      <c r="O254" s="261">
        <v>1</v>
      </c>
      <c r="P254" s="289">
        <v>0.8</v>
      </c>
      <c r="Q254" s="367" t="s">
        <v>319</v>
      </c>
      <c r="R254" s="305" t="s">
        <v>953</v>
      </c>
      <c r="S254" s="306" t="s">
        <v>954</v>
      </c>
      <c r="T254" s="27"/>
      <c r="U254" s="27"/>
      <c r="V254" s="27"/>
      <c r="W254" s="27"/>
      <c r="X254" s="27"/>
      <c r="Y254" s="27"/>
      <c r="Z254" s="27"/>
      <c r="AA254" s="27"/>
      <c r="AB254" s="27"/>
      <c r="AC254" s="27"/>
      <c r="AD254" s="27"/>
      <c r="AE254" s="27"/>
      <c r="AF254" s="27"/>
      <c r="AG254" s="27"/>
      <c r="AH254" s="27"/>
      <c r="AI254" s="27"/>
      <c r="AJ254" s="27"/>
      <c r="AK254" s="27"/>
      <c r="AL254" s="27"/>
      <c r="AM254" s="27"/>
      <c r="AN254" s="27"/>
      <c r="AO254" s="27"/>
      <c r="AP254" s="27"/>
      <c r="AQ254" s="27"/>
      <c r="AR254" s="27"/>
      <c r="AS254" s="27"/>
      <c r="AT254" s="27"/>
      <c r="AU254" s="27"/>
      <c r="AV254" s="27"/>
      <c r="AW254" s="27"/>
      <c r="AX254" s="33">
        <v>168796275</v>
      </c>
      <c r="AY254" s="33">
        <v>59736100</v>
      </c>
      <c r="AZ254" s="33">
        <v>59736100</v>
      </c>
      <c r="BA254" s="27"/>
      <c r="BB254" s="27"/>
      <c r="BC254" s="27"/>
      <c r="BD254" s="27"/>
      <c r="BE254" s="27"/>
      <c r="BF254" s="27"/>
      <c r="BG254" s="151">
        <f t="shared" si="68"/>
        <v>168796275</v>
      </c>
      <c r="BH254" s="151">
        <f t="shared" si="68"/>
        <v>59736100</v>
      </c>
      <c r="BI254" s="151">
        <f t="shared" si="68"/>
        <v>59736100</v>
      </c>
      <c r="BJ254" s="206"/>
      <c r="BK254" s="608"/>
      <c r="BL254" s="206"/>
    </row>
    <row r="255" spans="1:64" s="155" customFormat="1" ht="15.75" customHeight="1" x14ac:dyDescent="0.2">
      <c r="A255" s="383"/>
      <c r="B255" s="380"/>
      <c r="C255" s="171">
        <v>41</v>
      </c>
      <c r="D255" s="146">
        <v>4501</v>
      </c>
      <c r="E255" s="308" t="s">
        <v>348</v>
      </c>
      <c r="F255" s="145"/>
      <c r="G255" s="147"/>
      <c r="H255" s="147"/>
      <c r="I255" s="145"/>
      <c r="J255" s="146"/>
      <c r="K255" s="146"/>
      <c r="L255" s="145"/>
      <c r="M255" s="349"/>
      <c r="N255" s="349"/>
      <c r="O255" s="146"/>
      <c r="P255" s="146"/>
      <c r="Q255" s="368"/>
      <c r="R255" s="146"/>
      <c r="S255" s="145"/>
      <c r="T255" s="47">
        <f>SUM(T256:T257)</f>
        <v>0</v>
      </c>
      <c r="U255" s="47"/>
      <c r="V255" s="47"/>
      <c r="W255" s="47">
        <f>SUM(W256:W257)</f>
        <v>0</v>
      </c>
      <c r="X255" s="47"/>
      <c r="Y255" s="47"/>
      <c r="Z255" s="47">
        <f>SUM(Z256:Z257)</f>
        <v>0</v>
      </c>
      <c r="AA255" s="47"/>
      <c r="AB255" s="47"/>
      <c r="AC255" s="47">
        <f>SUM(AC256:AC257)</f>
        <v>0</v>
      </c>
      <c r="AD255" s="47"/>
      <c r="AE255" s="47"/>
      <c r="AF255" s="47">
        <f>SUM(AF256:AF257)</f>
        <v>0</v>
      </c>
      <c r="AG255" s="47"/>
      <c r="AH255" s="47"/>
      <c r="AI255" s="47">
        <f>SUM(AI256:AI257)</f>
        <v>0</v>
      </c>
      <c r="AJ255" s="47"/>
      <c r="AK255" s="47"/>
      <c r="AL255" s="47">
        <f>SUM(AL256:AL257)</f>
        <v>0</v>
      </c>
      <c r="AM255" s="47"/>
      <c r="AN255" s="47"/>
      <c r="AO255" s="47">
        <f>SUM(AO256:AO257)</f>
        <v>0</v>
      </c>
      <c r="AP255" s="47"/>
      <c r="AQ255" s="47"/>
      <c r="AR255" s="47">
        <f>SUM(AR256:AR257)</f>
        <v>0</v>
      </c>
      <c r="AS255" s="47"/>
      <c r="AT255" s="47"/>
      <c r="AU255" s="47">
        <f>SUM(AU256:AU257)</f>
        <v>0</v>
      </c>
      <c r="AV255" s="47"/>
      <c r="AW255" s="47"/>
      <c r="AX255" s="47">
        <f>SUM(AX256:AX257)</f>
        <v>80000000</v>
      </c>
      <c r="AY255" s="47">
        <f>SUM(AY256:AY257)</f>
        <v>0</v>
      </c>
      <c r="AZ255" s="47">
        <f>SUM(AZ256:AZ257)</f>
        <v>0</v>
      </c>
      <c r="BA255" s="47">
        <f>SUM(BA256:BA257)</f>
        <v>0</v>
      </c>
      <c r="BB255" s="47"/>
      <c r="BC255" s="47"/>
      <c r="BD255" s="47">
        <f>SUM(BD256:BD257)</f>
        <v>0</v>
      </c>
      <c r="BE255" s="47"/>
      <c r="BF255" s="47"/>
      <c r="BG255" s="47">
        <f>SUM(BG256:BG257)</f>
        <v>80000000</v>
      </c>
      <c r="BH255" s="47">
        <f>SUM(BH256:BH257)</f>
        <v>0</v>
      </c>
      <c r="BI255" s="47">
        <f>SUM(BI256:BI257)</f>
        <v>0</v>
      </c>
      <c r="BJ255" s="206"/>
      <c r="BK255" s="608"/>
      <c r="BL255" s="206"/>
    </row>
    <row r="256" spans="1:64" s="155" customFormat="1" ht="90" customHeight="1" x14ac:dyDescent="0.2">
      <c r="A256" s="383"/>
      <c r="B256" s="380"/>
      <c r="C256" s="324"/>
      <c r="D256" s="305"/>
      <c r="E256" s="314">
        <v>4501</v>
      </c>
      <c r="F256" s="306" t="s">
        <v>955</v>
      </c>
      <c r="G256" s="197" t="s">
        <v>353</v>
      </c>
      <c r="H256" s="175">
        <v>4501024</v>
      </c>
      <c r="I256" s="306" t="s">
        <v>354</v>
      </c>
      <c r="J256" s="305" t="s">
        <v>956</v>
      </c>
      <c r="K256" s="305" t="s">
        <v>83</v>
      </c>
      <c r="L256" s="306" t="s">
        <v>957</v>
      </c>
      <c r="M256" s="261" t="s">
        <v>89</v>
      </c>
      <c r="N256" s="261">
        <v>1</v>
      </c>
      <c r="O256" s="261">
        <v>1</v>
      </c>
      <c r="P256" s="261">
        <v>0</v>
      </c>
      <c r="Q256" s="367" t="s">
        <v>105</v>
      </c>
      <c r="R256" s="305" t="s">
        <v>958</v>
      </c>
      <c r="S256" s="306" t="s">
        <v>959</v>
      </c>
      <c r="T256" s="27"/>
      <c r="U256" s="27"/>
      <c r="V256" s="27"/>
      <c r="W256" s="27"/>
      <c r="X256" s="27"/>
      <c r="Y256" s="27"/>
      <c r="Z256" s="27"/>
      <c r="AA256" s="27"/>
      <c r="AB256" s="27"/>
      <c r="AC256" s="27"/>
      <c r="AD256" s="27"/>
      <c r="AE256" s="27"/>
      <c r="AF256" s="27"/>
      <c r="AG256" s="27"/>
      <c r="AH256" s="27"/>
      <c r="AI256" s="27"/>
      <c r="AJ256" s="27"/>
      <c r="AK256" s="27"/>
      <c r="AL256" s="27"/>
      <c r="AM256" s="27"/>
      <c r="AN256" s="27"/>
      <c r="AO256" s="27"/>
      <c r="AP256" s="27"/>
      <c r="AQ256" s="27"/>
      <c r="AR256" s="27"/>
      <c r="AS256" s="27"/>
      <c r="AT256" s="27"/>
      <c r="AU256" s="27"/>
      <c r="AV256" s="27"/>
      <c r="AW256" s="27"/>
      <c r="AX256" s="33">
        <f>40000000</f>
        <v>40000000</v>
      </c>
      <c r="AY256" s="33">
        <v>0</v>
      </c>
      <c r="AZ256" s="33">
        <v>0</v>
      </c>
      <c r="BA256" s="27"/>
      <c r="BB256" s="27"/>
      <c r="BC256" s="27"/>
      <c r="BD256" s="27"/>
      <c r="BE256" s="27"/>
      <c r="BF256" s="27"/>
      <c r="BG256" s="151">
        <f t="shared" ref="BG256:BI257" si="69">+T256+W256+Z256+AC256+AF256+AI256+AL256+AO256+AR256+AU256+AX256+BA256+BD256</f>
        <v>40000000</v>
      </c>
      <c r="BH256" s="151">
        <f t="shared" si="69"/>
        <v>0</v>
      </c>
      <c r="BI256" s="151">
        <f t="shared" si="69"/>
        <v>0</v>
      </c>
      <c r="BJ256" s="206"/>
      <c r="BK256" s="608"/>
      <c r="BL256" s="206"/>
    </row>
    <row r="257" spans="1:64" s="155" customFormat="1" ht="111" customHeight="1" x14ac:dyDescent="0.2">
      <c r="A257" s="383"/>
      <c r="B257" s="381"/>
      <c r="C257" s="324"/>
      <c r="D257" s="305"/>
      <c r="E257" s="314">
        <v>4501</v>
      </c>
      <c r="F257" s="306" t="s">
        <v>955</v>
      </c>
      <c r="G257" s="197" t="s">
        <v>353</v>
      </c>
      <c r="H257" s="175">
        <v>4501024</v>
      </c>
      <c r="I257" s="306" t="s">
        <v>354</v>
      </c>
      <c r="J257" s="305" t="s">
        <v>960</v>
      </c>
      <c r="K257" s="305" t="s">
        <v>83</v>
      </c>
      <c r="L257" s="306" t="s">
        <v>961</v>
      </c>
      <c r="M257" s="261" t="s">
        <v>89</v>
      </c>
      <c r="N257" s="261">
        <v>1</v>
      </c>
      <c r="O257" s="261">
        <v>1</v>
      </c>
      <c r="P257" s="261">
        <v>0</v>
      </c>
      <c r="Q257" s="367" t="s">
        <v>105</v>
      </c>
      <c r="R257" s="305" t="s">
        <v>962</v>
      </c>
      <c r="S257" s="306" t="s">
        <v>963</v>
      </c>
      <c r="T257" s="27"/>
      <c r="U257" s="27"/>
      <c r="V257" s="27"/>
      <c r="W257" s="27"/>
      <c r="X257" s="27"/>
      <c r="Y257" s="27"/>
      <c r="Z257" s="27"/>
      <c r="AA257" s="27"/>
      <c r="AB257" s="27"/>
      <c r="AC257" s="27"/>
      <c r="AD257" s="27"/>
      <c r="AE257" s="27"/>
      <c r="AF257" s="27"/>
      <c r="AG257" s="27"/>
      <c r="AH257" s="27"/>
      <c r="AI257" s="27"/>
      <c r="AJ257" s="27"/>
      <c r="AK257" s="27"/>
      <c r="AL257" s="27"/>
      <c r="AM257" s="27"/>
      <c r="AN257" s="27"/>
      <c r="AO257" s="27"/>
      <c r="AP257" s="27"/>
      <c r="AQ257" s="27"/>
      <c r="AR257" s="27"/>
      <c r="AS257" s="27"/>
      <c r="AT257" s="27"/>
      <c r="AU257" s="27"/>
      <c r="AV257" s="27"/>
      <c r="AW257" s="27"/>
      <c r="AX257" s="33">
        <v>40000000</v>
      </c>
      <c r="AY257" s="33">
        <v>0</v>
      </c>
      <c r="AZ257" s="33">
        <v>0</v>
      </c>
      <c r="BA257" s="27"/>
      <c r="BB257" s="27"/>
      <c r="BC257" s="27"/>
      <c r="BD257" s="27"/>
      <c r="BE257" s="27"/>
      <c r="BF257" s="27"/>
      <c r="BG257" s="151">
        <f t="shared" si="69"/>
        <v>40000000</v>
      </c>
      <c r="BH257" s="151">
        <f t="shared" si="69"/>
        <v>0</v>
      </c>
      <c r="BI257" s="151">
        <f t="shared" si="69"/>
        <v>0</v>
      </c>
      <c r="BJ257" s="206"/>
      <c r="BK257" s="608"/>
      <c r="BL257" s="206"/>
    </row>
    <row r="258" spans="1:64" s="155" customFormat="1" ht="15.75" customHeight="1" x14ac:dyDescent="0.2">
      <c r="A258" s="383"/>
      <c r="B258" s="222">
        <v>2</v>
      </c>
      <c r="C258" s="138" t="s">
        <v>2</v>
      </c>
      <c r="D258" s="139"/>
      <c r="E258" s="139"/>
      <c r="F258" s="140"/>
      <c r="G258" s="141"/>
      <c r="H258" s="142"/>
      <c r="I258" s="140"/>
      <c r="J258" s="141"/>
      <c r="K258" s="141"/>
      <c r="L258" s="140"/>
      <c r="M258" s="143"/>
      <c r="N258" s="143"/>
      <c r="O258" s="141"/>
      <c r="P258" s="141"/>
      <c r="Q258" s="370"/>
      <c r="R258" s="141"/>
      <c r="S258" s="140"/>
      <c r="T258" s="144">
        <f>+T259</f>
        <v>0</v>
      </c>
      <c r="U258" s="144"/>
      <c r="V258" s="144"/>
      <c r="W258" s="144">
        <f>+W259</f>
        <v>0</v>
      </c>
      <c r="X258" s="144"/>
      <c r="Y258" s="144"/>
      <c r="Z258" s="144">
        <f>+Z259</f>
        <v>0</v>
      </c>
      <c r="AA258" s="144"/>
      <c r="AB258" s="144"/>
      <c r="AC258" s="144">
        <f>+AC259</f>
        <v>0</v>
      </c>
      <c r="AD258" s="144"/>
      <c r="AE258" s="144"/>
      <c r="AF258" s="144">
        <f>+AF259</f>
        <v>0</v>
      </c>
      <c r="AG258" s="144"/>
      <c r="AH258" s="144"/>
      <c r="AI258" s="144">
        <f>+AI259</f>
        <v>0</v>
      </c>
      <c r="AJ258" s="144"/>
      <c r="AK258" s="144"/>
      <c r="AL258" s="144">
        <f>+AL259</f>
        <v>0</v>
      </c>
      <c r="AM258" s="144"/>
      <c r="AN258" s="144"/>
      <c r="AO258" s="144">
        <f>+AO259</f>
        <v>0</v>
      </c>
      <c r="AP258" s="144"/>
      <c r="AQ258" s="144"/>
      <c r="AR258" s="144">
        <f>+AR259</f>
        <v>0</v>
      </c>
      <c r="AS258" s="144"/>
      <c r="AT258" s="144"/>
      <c r="AU258" s="144">
        <f>+AU259</f>
        <v>0</v>
      </c>
      <c r="AV258" s="144"/>
      <c r="AW258" s="144"/>
      <c r="AX258" s="144">
        <f t="shared" ref="AX258:AZ259" si="70">+AX259</f>
        <v>25000000</v>
      </c>
      <c r="AY258" s="144">
        <f t="shared" si="70"/>
        <v>0</v>
      </c>
      <c r="AZ258" s="144">
        <f t="shared" si="70"/>
        <v>0</v>
      </c>
      <c r="BA258" s="144">
        <f t="shared" ref="BA258:BI258" si="71">+BA259</f>
        <v>0</v>
      </c>
      <c r="BB258" s="144">
        <f t="shared" si="71"/>
        <v>0</v>
      </c>
      <c r="BC258" s="144">
        <f t="shared" si="71"/>
        <v>0</v>
      </c>
      <c r="BD258" s="144">
        <f t="shared" si="71"/>
        <v>0</v>
      </c>
      <c r="BE258" s="144">
        <f t="shared" si="71"/>
        <v>0</v>
      </c>
      <c r="BF258" s="144">
        <f>+BF259</f>
        <v>0</v>
      </c>
      <c r="BG258" s="144">
        <f>+BG259</f>
        <v>25000000</v>
      </c>
      <c r="BH258" s="144">
        <f t="shared" si="71"/>
        <v>0</v>
      </c>
      <c r="BI258" s="144">
        <f t="shared" si="71"/>
        <v>0</v>
      </c>
      <c r="BJ258" s="206"/>
      <c r="BK258" s="608"/>
      <c r="BL258" s="206"/>
    </row>
    <row r="259" spans="1:64" s="155" customFormat="1" ht="15.75" x14ac:dyDescent="0.2">
      <c r="A259" s="383"/>
      <c r="B259" s="379"/>
      <c r="C259" s="171">
        <v>29</v>
      </c>
      <c r="D259" s="146">
        <v>3604</v>
      </c>
      <c r="E259" s="308" t="s">
        <v>964</v>
      </c>
      <c r="F259" s="145"/>
      <c r="G259" s="146"/>
      <c r="H259" s="147"/>
      <c r="I259" s="145"/>
      <c r="J259" s="146"/>
      <c r="K259" s="146"/>
      <c r="L259" s="145"/>
      <c r="M259" s="148"/>
      <c r="N259" s="148"/>
      <c r="O259" s="146"/>
      <c r="P259" s="146"/>
      <c r="Q259" s="368"/>
      <c r="R259" s="146"/>
      <c r="S259" s="145"/>
      <c r="T259" s="47">
        <f>+T260</f>
        <v>0</v>
      </c>
      <c r="U259" s="47"/>
      <c r="V259" s="47"/>
      <c r="W259" s="47">
        <f>+W260</f>
        <v>0</v>
      </c>
      <c r="X259" s="47"/>
      <c r="Y259" s="47"/>
      <c r="Z259" s="47">
        <f>+Z260</f>
        <v>0</v>
      </c>
      <c r="AA259" s="47"/>
      <c r="AB259" s="47"/>
      <c r="AC259" s="47">
        <f>+AC260</f>
        <v>0</v>
      </c>
      <c r="AD259" s="47"/>
      <c r="AE259" s="47"/>
      <c r="AF259" s="47">
        <f>+AF260</f>
        <v>0</v>
      </c>
      <c r="AG259" s="47"/>
      <c r="AH259" s="47"/>
      <c r="AI259" s="47">
        <f>+AI260</f>
        <v>0</v>
      </c>
      <c r="AJ259" s="47"/>
      <c r="AK259" s="47"/>
      <c r="AL259" s="47">
        <f>+AL260</f>
        <v>0</v>
      </c>
      <c r="AM259" s="47"/>
      <c r="AN259" s="47"/>
      <c r="AO259" s="47">
        <f>+AO260</f>
        <v>0</v>
      </c>
      <c r="AP259" s="47"/>
      <c r="AQ259" s="47"/>
      <c r="AR259" s="47">
        <f>+AR260</f>
        <v>0</v>
      </c>
      <c r="AS259" s="47"/>
      <c r="AT259" s="47"/>
      <c r="AU259" s="47">
        <f>+AU260</f>
        <v>0</v>
      </c>
      <c r="AV259" s="47"/>
      <c r="AW259" s="47"/>
      <c r="AX259" s="47">
        <f t="shared" si="70"/>
        <v>25000000</v>
      </c>
      <c r="AY259" s="47">
        <f t="shared" si="70"/>
        <v>0</v>
      </c>
      <c r="AZ259" s="47">
        <f t="shared" si="70"/>
        <v>0</v>
      </c>
      <c r="BA259" s="47">
        <f>+BA260</f>
        <v>0</v>
      </c>
      <c r="BB259" s="47"/>
      <c r="BC259" s="47"/>
      <c r="BD259" s="47">
        <f>+BD260</f>
        <v>0</v>
      </c>
      <c r="BE259" s="47"/>
      <c r="BF259" s="47"/>
      <c r="BG259" s="47">
        <f>+BG260</f>
        <v>25000000</v>
      </c>
      <c r="BH259" s="47">
        <f>+BH260</f>
        <v>0</v>
      </c>
      <c r="BI259" s="47">
        <f>+BI260</f>
        <v>0</v>
      </c>
      <c r="BJ259" s="206"/>
      <c r="BK259" s="608"/>
      <c r="BL259" s="206"/>
    </row>
    <row r="260" spans="1:64" s="155" customFormat="1" ht="118.5" customHeight="1" x14ac:dyDescent="0.2">
      <c r="A260" s="383"/>
      <c r="B260" s="381"/>
      <c r="C260" s="324"/>
      <c r="D260" s="305"/>
      <c r="E260" s="314">
        <v>3604</v>
      </c>
      <c r="F260" s="307" t="s">
        <v>965</v>
      </c>
      <c r="G260" s="289" t="s">
        <v>966</v>
      </c>
      <c r="H260" s="313">
        <v>3604006</v>
      </c>
      <c r="I260" s="307" t="s">
        <v>967</v>
      </c>
      <c r="J260" s="261" t="s">
        <v>968</v>
      </c>
      <c r="K260" s="264" t="s">
        <v>969</v>
      </c>
      <c r="L260" s="262" t="s">
        <v>373</v>
      </c>
      <c r="M260" s="272" t="s">
        <v>179</v>
      </c>
      <c r="N260" s="272">
        <v>800</v>
      </c>
      <c r="O260" s="272">
        <v>50</v>
      </c>
      <c r="P260" s="272">
        <v>70</v>
      </c>
      <c r="Q260" s="367" t="s">
        <v>319</v>
      </c>
      <c r="R260" s="305" t="s">
        <v>858</v>
      </c>
      <c r="S260" s="208" t="s">
        <v>970</v>
      </c>
      <c r="T260" s="27"/>
      <c r="U260" s="27"/>
      <c r="V260" s="27"/>
      <c r="W260" s="27"/>
      <c r="X260" s="27"/>
      <c r="Y260" s="27"/>
      <c r="Z260" s="27"/>
      <c r="AA260" s="27"/>
      <c r="AB260" s="27"/>
      <c r="AC260" s="27"/>
      <c r="AD260" s="27"/>
      <c r="AE260" s="27"/>
      <c r="AF260" s="27"/>
      <c r="AG260" s="27"/>
      <c r="AH260" s="27"/>
      <c r="AI260" s="27"/>
      <c r="AJ260" s="27"/>
      <c r="AK260" s="27"/>
      <c r="AL260" s="27"/>
      <c r="AM260" s="27"/>
      <c r="AN260" s="27"/>
      <c r="AO260" s="27"/>
      <c r="AP260" s="27"/>
      <c r="AQ260" s="27"/>
      <c r="AR260" s="27"/>
      <c r="AS260" s="27"/>
      <c r="AT260" s="27"/>
      <c r="AU260" s="27"/>
      <c r="AV260" s="27"/>
      <c r="AW260" s="27"/>
      <c r="AX260" s="33">
        <v>25000000</v>
      </c>
      <c r="AY260" s="33"/>
      <c r="AZ260" s="33"/>
      <c r="BA260" s="27"/>
      <c r="BB260" s="27"/>
      <c r="BC260" s="27"/>
      <c r="BD260" s="27"/>
      <c r="BE260" s="27"/>
      <c r="BF260" s="27"/>
      <c r="BG260" s="151">
        <f>+T260+W260+Z260+AC260+AF260+AI260+AL260+AO260+AR260+AU260+AX260+BA260+BD260</f>
        <v>25000000</v>
      </c>
      <c r="BH260" s="151">
        <f>+U260+X260+AA260+AD260+AG260+AJ260+AM260+AP260+AS260+AV260+AY260+BB260+BE260</f>
        <v>0</v>
      </c>
      <c r="BI260" s="151">
        <f>+V260+Y260+AB260+AE260+AH260+AK260+AN260+AQ260+AT260+AW260+AZ260+BC260+BF260</f>
        <v>0</v>
      </c>
      <c r="BJ260" s="206"/>
      <c r="BK260" s="608"/>
      <c r="BL260" s="206"/>
    </row>
    <row r="261" spans="1:64" s="155" customFormat="1" ht="15.75" x14ac:dyDescent="0.2">
      <c r="A261" s="383"/>
      <c r="B261" s="222">
        <v>4</v>
      </c>
      <c r="C261" s="138" t="s">
        <v>108</v>
      </c>
      <c r="D261" s="139"/>
      <c r="E261" s="139"/>
      <c r="F261" s="140"/>
      <c r="G261" s="141"/>
      <c r="H261" s="142"/>
      <c r="I261" s="140"/>
      <c r="J261" s="141"/>
      <c r="K261" s="141"/>
      <c r="L261" s="140"/>
      <c r="M261" s="143"/>
      <c r="N261" s="143"/>
      <c r="O261" s="141"/>
      <c r="P261" s="141"/>
      <c r="Q261" s="370"/>
      <c r="R261" s="141"/>
      <c r="S261" s="140"/>
      <c r="T261" s="153">
        <f>T262</f>
        <v>0</v>
      </c>
      <c r="U261" s="153"/>
      <c r="V261" s="153"/>
      <c r="W261" s="153">
        <f>W262</f>
        <v>0</v>
      </c>
      <c r="X261" s="153"/>
      <c r="Y261" s="153"/>
      <c r="Z261" s="153">
        <f>Z262</f>
        <v>0</v>
      </c>
      <c r="AA261" s="153"/>
      <c r="AB261" s="153"/>
      <c r="AC261" s="153">
        <f>AC262</f>
        <v>0</v>
      </c>
      <c r="AD261" s="153"/>
      <c r="AE261" s="153"/>
      <c r="AF261" s="153">
        <f>AF262</f>
        <v>0</v>
      </c>
      <c r="AG261" s="153"/>
      <c r="AH261" s="153"/>
      <c r="AI261" s="153">
        <f>AI262</f>
        <v>0</v>
      </c>
      <c r="AJ261" s="153"/>
      <c r="AK261" s="153"/>
      <c r="AL261" s="153">
        <f>AL262</f>
        <v>0</v>
      </c>
      <c r="AM261" s="153"/>
      <c r="AN261" s="153"/>
      <c r="AO261" s="153">
        <f>AO262</f>
        <v>0</v>
      </c>
      <c r="AP261" s="153"/>
      <c r="AQ261" s="153"/>
      <c r="AR261" s="153">
        <f>AR262</f>
        <v>0</v>
      </c>
      <c r="AS261" s="153"/>
      <c r="AT261" s="153"/>
      <c r="AU261" s="153">
        <f>AU262</f>
        <v>0</v>
      </c>
      <c r="AV261" s="153"/>
      <c r="AW261" s="153"/>
      <c r="AX261" s="153">
        <f>AX262</f>
        <v>15000000</v>
      </c>
      <c r="AY261" s="153">
        <f>AY262</f>
        <v>0</v>
      </c>
      <c r="AZ261" s="153">
        <f>AZ262</f>
        <v>0</v>
      </c>
      <c r="BA261" s="153">
        <f>BA262</f>
        <v>0</v>
      </c>
      <c r="BB261" s="153"/>
      <c r="BC261" s="153"/>
      <c r="BD261" s="153">
        <f>BD262</f>
        <v>0</v>
      </c>
      <c r="BE261" s="153"/>
      <c r="BF261" s="153"/>
      <c r="BG261" s="153">
        <f>BG262</f>
        <v>15000000</v>
      </c>
      <c r="BH261" s="153">
        <f>BH262</f>
        <v>0</v>
      </c>
      <c r="BI261" s="153">
        <f>BI262</f>
        <v>0</v>
      </c>
      <c r="BJ261" s="206"/>
      <c r="BK261" s="608"/>
      <c r="BL261" s="206"/>
    </row>
    <row r="262" spans="1:64" s="155" customFormat="1" ht="15.75" x14ac:dyDescent="0.2">
      <c r="A262" s="383"/>
      <c r="B262" s="379"/>
      <c r="C262" s="171">
        <v>42</v>
      </c>
      <c r="D262" s="146">
        <v>4502</v>
      </c>
      <c r="E262" s="308" t="s">
        <v>99</v>
      </c>
      <c r="F262" s="145"/>
      <c r="G262" s="146"/>
      <c r="H262" s="147"/>
      <c r="I262" s="145"/>
      <c r="J262" s="146"/>
      <c r="K262" s="146"/>
      <c r="L262" s="145"/>
      <c r="M262" s="148"/>
      <c r="N262" s="148"/>
      <c r="O262" s="146"/>
      <c r="P262" s="146"/>
      <c r="Q262" s="368"/>
      <c r="R262" s="146"/>
      <c r="S262" s="145"/>
      <c r="T262" s="47">
        <f>+T263</f>
        <v>0</v>
      </c>
      <c r="U262" s="47"/>
      <c r="V262" s="47"/>
      <c r="W262" s="47">
        <f>+W263</f>
        <v>0</v>
      </c>
      <c r="X262" s="47"/>
      <c r="Y262" s="47"/>
      <c r="Z262" s="47">
        <f>+Z263</f>
        <v>0</v>
      </c>
      <c r="AA262" s="47"/>
      <c r="AB262" s="47"/>
      <c r="AC262" s="47">
        <f>+AC263</f>
        <v>0</v>
      </c>
      <c r="AD262" s="47"/>
      <c r="AE262" s="47"/>
      <c r="AF262" s="47">
        <f>+AF263</f>
        <v>0</v>
      </c>
      <c r="AG262" s="47"/>
      <c r="AH262" s="47"/>
      <c r="AI262" s="47">
        <f>+AI263</f>
        <v>0</v>
      </c>
      <c r="AJ262" s="47"/>
      <c r="AK262" s="47"/>
      <c r="AL262" s="47">
        <f>+AL263</f>
        <v>0</v>
      </c>
      <c r="AM262" s="47"/>
      <c r="AN262" s="47"/>
      <c r="AO262" s="47">
        <f>+AO263</f>
        <v>0</v>
      </c>
      <c r="AP262" s="47"/>
      <c r="AQ262" s="47"/>
      <c r="AR262" s="47">
        <f>+AR263</f>
        <v>0</v>
      </c>
      <c r="AS262" s="47"/>
      <c r="AT262" s="47"/>
      <c r="AU262" s="47">
        <f>+AU263</f>
        <v>0</v>
      </c>
      <c r="AV262" s="47"/>
      <c r="AW262" s="47"/>
      <c r="AX262" s="47">
        <f>+AX263</f>
        <v>15000000</v>
      </c>
      <c r="AY262" s="47">
        <f>+AY263</f>
        <v>0</v>
      </c>
      <c r="AZ262" s="47">
        <f>+AZ263</f>
        <v>0</v>
      </c>
      <c r="BA262" s="47">
        <f>+BA263</f>
        <v>0</v>
      </c>
      <c r="BB262" s="47"/>
      <c r="BC262" s="47"/>
      <c r="BD262" s="47">
        <f>+BD263</f>
        <v>0</v>
      </c>
      <c r="BE262" s="47"/>
      <c r="BF262" s="47"/>
      <c r="BG262" s="47">
        <f>+BG263</f>
        <v>15000000</v>
      </c>
      <c r="BH262" s="47">
        <f>+BH263</f>
        <v>0</v>
      </c>
      <c r="BI262" s="47">
        <f>+BI263</f>
        <v>0</v>
      </c>
      <c r="BJ262" s="206"/>
      <c r="BK262" s="608"/>
      <c r="BL262" s="206"/>
    </row>
    <row r="263" spans="1:64" s="155" customFormat="1" ht="98.25" customHeight="1" x14ac:dyDescent="0.2">
      <c r="A263" s="401"/>
      <c r="B263" s="381"/>
      <c r="C263" s="324"/>
      <c r="D263" s="305"/>
      <c r="E263" s="314">
        <v>4502</v>
      </c>
      <c r="F263" s="306" t="s">
        <v>971</v>
      </c>
      <c r="G263" s="287" t="s">
        <v>384</v>
      </c>
      <c r="H263" s="175">
        <v>4502001</v>
      </c>
      <c r="I263" s="307" t="s">
        <v>385</v>
      </c>
      <c r="J263" s="263" t="s">
        <v>972</v>
      </c>
      <c r="K263" s="261" t="s">
        <v>83</v>
      </c>
      <c r="L263" s="267" t="s">
        <v>973</v>
      </c>
      <c r="M263" s="261" t="s">
        <v>179</v>
      </c>
      <c r="N263" s="276">
        <v>4</v>
      </c>
      <c r="O263" s="261">
        <v>1</v>
      </c>
      <c r="P263" s="261">
        <v>0</v>
      </c>
      <c r="Q263" s="367" t="s">
        <v>105</v>
      </c>
      <c r="R263" s="305" t="s">
        <v>958</v>
      </c>
      <c r="S263" s="306" t="s">
        <v>959</v>
      </c>
      <c r="T263" s="27"/>
      <c r="U263" s="27"/>
      <c r="V263" s="27"/>
      <c r="W263" s="27"/>
      <c r="X263" s="27"/>
      <c r="Y263" s="27"/>
      <c r="Z263" s="27"/>
      <c r="AA263" s="27"/>
      <c r="AB263" s="27"/>
      <c r="AC263" s="27"/>
      <c r="AD263" s="27"/>
      <c r="AE263" s="27"/>
      <c r="AF263" s="27"/>
      <c r="AG263" s="27"/>
      <c r="AH263" s="27"/>
      <c r="AI263" s="27"/>
      <c r="AJ263" s="27"/>
      <c r="AK263" s="27"/>
      <c r="AL263" s="27"/>
      <c r="AM263" s="27"/>
      <c r="AN263" s="27"/>
      <c r="AO263" s="27"/>
      <c r="AP263" s="27"/>
      <c r="AQ263" s="27"/>
      <c r="AR263" s="27"/>
      <c r="AS263" s="27"/>
      <c r="AT263" s="27"/>
      <c r="AU263" s="27"/>
      <c r="AV263" s="27"/>
      <c r="AW263" s="27"/>
      <c r="AX263" s="33">
        <v>15000000</v>
      </c>
      <c r="AY263" s="33">
        <v>0</v>
      </c>
      <c r="AZ263" s="33">
        <v>0</v>
      </c>
      <c r="BA263" s="27"/>
      <c r="BB263" s="27"/>
      <c r="BC263" s="27"/>
      <c r="BD263" s="27"/>
      <c r="BE263" s="27"/>
      <c r="BF263" s="27"/>
      <c r="BG263" s="151">
        <f>+T263+W263+Z263+AC263+AF263+AI263+AL263+AO263+AR263+AU263+AX263+BA263+BD263</f>
        <v>15000000</v>
      </c>
      <c r="BH263" s="151">
        <f>+U263+X263+AA263+AD263+AG263+AJ263+AM263+AP263+AS263+AV263+AY263+BB263+BE263</f>
        <v>0</v>
      </c>
      <c r="BI263" s="151">
        <f>+V263+Y263+AB263+AE263+AH263+AK263+AN263+AQ263+AT263+AW263+AZ263+BC263+BF263</f>
        <v>0</v>
      </c>
      <c r="BJ263" s="206"/>
      <c r="BK263" s="608"/>
      <c r="BL263" s="206"/>
    </row>
    <row r="264" spans="1:64" ht="15.75" x14ac:dyDescent="0.2">
      <c r="A264" s="183" t="s">
        <v>974</v>
      </c>
      <c r="B264" s="183"/>
      <c r="C264" s="183"/>
      <c r="D264" s="184"/>
      <c r="E264" s="184"/>
      <c r="F264" s="185"/>
      <c r="G264" s="186"/>
      <c r="H264" s="135"/>
      <c r="I264" s="185"/>
      <c r="J264" s="186"/>
      <c r="K264" s="186"/>
      <c r="L264" s="185"/>
      <c r="M264" s="135"/>
      <c r="N264" s="135"/>
      <c r="O264" s="186"/>
      <c r="P264" s="186"/>
      <c r="Q264" s="184"/>
      <c r="R264" s="186"/>
      <c r="S264" s="185"/>
      <c r="T264" s="164">
        <f>+T265</f>
        <v>0</v>
      </c>
      <c r="U264" s="164">
        <f t="shared" ref="U264:BI264" si="72">+U265</f>
        <v>0</v>
      </c>
      <c r="V264" s="164">
        <f t="shared" si="72"/>
        <v>0</v>
      </c>
      <c r="W264" s="164">
        <f t="shared" si="72"/>
        <v>0</v>
      </c>
      <c r="X264" s="164">
        <f t="shared" si="72"/>
        <v>0</v>
      </c>
      <c r="Y264" s="164">
        <f t="shared" si="72"/>
        <v>0</v>
      </c>
      <c r="Z264" s="164">
        <f t="shared" si="72"/>
        <v>0</v>
      </c>
      <c r="AA264" s="164">
        <f t="shared" si="72"/>
        <v>0</v>
      </c>
      <c r="AB264" s="164">
        <f t="shared" si="72"/>
        <v>0</v>
      </c>
      <c r="AC264" s="164">
        <f t="shared" si="72"/>
        <v>400000000</v>
      </c>
      <c r="AD264" s="164">
        <f t="shared" si="72"/>
        <v>0</v>
      </c>
      <c r="AE264" s="164">
        <f t="shared" si="72"/>
        <v>0</v>
      </c>
      <c r="AF264" s="164">
        <f t="shared" si="72"/>
        <v>6648246009.5</v>
      </c>
      <c r="AG264" s="164">
        <f t="shared" si="72"/>
        <v>5019138342</v>
      </c>
      <c r="AH264" s="164">
        <f t="shared" si="72"/>
        <v>4930531676</v>
      </c>
      <c r="AI264" s="164">
        <f t="shared" si="72"/>
        <v>30215921696.520004</v>
      </c>
      <c r="AJ264" s="164">
        <f t="shared" si="72"/>
        <v>27423772761.440002</v>
      </c>
      <c r="AK264" s="164">
        <f t="shared" si="72"/>
        <v>27423772761.440002</v>
      </c>
      <c r="AL264" s="164">
        <f t="shared" si="72"/>
        <v>0</v>
      </c>
      <c r="AM264" s="164">
        <f t="shared" si="72"/>
        <v>0</v>
      </c>
      <c r="AN264" s="164">
        <f t="shared" si="72"/>
        <v>0</v>
      </c>
      <c r="AO264" s="164">
        <f t="shared" si="72"/>
        <v>0</v>
      </c>
      <c r="AP264" s="164">
        <f t="shared" si="72"/>
        <v>0</v>
      </c>
      <c r="AQ264" s="164">
        <f t="shared" si="72"/>
        <v>0</v>
      </c>
      <c r="AR264" s="164">
        <f t="shared" si="72"/>
        <v>0</v>
      </c>
      <c r="AS264" s="164">
        <f t="shared" si="72"/>
        <v>0</v>
      </c>
      <c r="AT264" s="164">
        <f t="shared" si="72"/>
        <v>0</v>
      </c>
      <c r="AU264" s="164">
        <f t="shared" si="72"/>
        <v>0</v>
      </c>
      <c r="AV264" s="164">
        <f t="shared" si="72"/>
        <v>0</v>
      </c>
      <c r="AW264" s="164">
        <f t="shared" si="72"/>
        <v>0</v>
      </c>
      <c r="AX264" s="164">
        <f t="shared" si="72"/>
        <v>4628050740</v>
      </c>
      <c r="AY264" s="164">
        <f t="shared" si="72"/>
        <v>3366143380.3299999</v>
      </c>
      <c r="AZ264" s="164">
        <f t="shared" si="72"/>
        <v>2954468035.3299999</v>
      </c>
      <c r="BA264" s="164">
        <f t="shared" si="72"/>
        <v>5475600892</v>
      </c>
      <c r="BB264" s="164">
        <f t="shared" si="72"/>
        <v>0</v>
      </c>
      <c r="BC264" s="164">
        <f t="shared" si="72"/>
        <v>0</v>
      </c>
      <c r="BD264" s="164">
        <f t="shared" si="72"/>
        <v>2147768825.3000002</v>
      </c>
      <c r="BE264" s="164">
        <f t="shared" si="72"/>
        <v>1726795309</v>
      </c>
      <c r="BF264" s="164">
        <f t="shared" si="72"/>
        <v>1693717017</v>
      </c>
      <c r="BG264" s="164">
        <f t="shared" si="72"/>
        <v>49515588163.32</v>
      </c>
      <c r="BH264" s="164">
        <f t="shared" si="72"/>
        <v>42853606184.770004</v>
      </c>
      <c r="BI264" s="164">
        <f t="shared" si="72"/>
        <v>42307722381.770004</v>
      </c>
      <c r="BJ264" s="608"/>
      <c r="BK264" s="608"/>
      <c r="BL264" s="608"/>
    </row>
    <row r="265" spans="1:64" ht="15.75" x14ac:dyDescent="0.2">
      <c r="A265" s="382"/>
      <c r="B265" s="222">
        <v>1</v>
      </c>
      <c r="C265" s="138" t="s">
        <v>1</v>
      </c>
      <c r="D265" s="139"/>
      <c r="E265" s="139"/>
      <c r="F265" s="140"/>
      <c r="G265" s="141"/>
      <c r="H265" s="142"/>
      <c r="I265" s="140"/>
      <c r="J265" s="141"/>
      <c r="K265" s="141"/>
      <c r="L265" s="140"/>
      <c r="M265" s="143"/>
      <c r="N265" s="143"/>
      <c r="O265" s="141"/>
      <c r="P265" s="141"/>
      <c r="Q265" s="139"/>
      <c r="R265" s="141"/>
      <c r="S265" s="140"/>
      <c r="T265" s="144">
        <f>+T266+T290+T321</f>
        <v>0</v>
      </c>
      <c r="U265" s="144">
        <f t="shared" ref="U265:BI265" si="73">+U266+U290+U321</f>
        <v>0</v>
      </c>
      <c r="V265" s="144">
        <f t="shared" si="73"/>
        <v>0</v>
      </c>
      <c r="W265" s="144">
        <f t="shared" si="73"/>
        <v>0</v>
      </c>
      <c r="X265" s="144">
        <f t="shared" si="73"/>
        <v>0</v>
      </c>
      <c r="Y265" s="144">
        <f t="shared" si="73"/>
        <v>0</v>
      </c>
      <c r="Z265" s="144">
        <f t="shared" si="73"/>
        <v>0</v>
      </c>
      <c r="AA265" s="144">
        <f t="shared" si="73"/>
        <v>0</v>
      </c>
      <c r="AB265" s="144">
        <f t="shared" si="73"/>
        <v>0</v>
      </c>
      <c r="AC265" s="144">
        <f t="shared" si="73"/>
        <v>400000000</v>
      </c>
      <c r="AD265" s="144">
        <f t="shared" si="73"/>
        <v>0</v>
      </c>
      <c r="AE265" s="144">
        <f t="shared" si="73"/>
        <v>0</v>
      </c>
      <c r="AF265" s="144">
        <f t="shared" si="73"/>
        <v>6648246009.5</v>
      </c>
      <c r="AG265" s="144">
        <f t="shared" si="73"/>
        <v>5019138342</v>
      </c>
      <c r="AH265" s="144">
        <f t="shared" si="73"/>
        <v>4930531676</v>
      </c>
      <c r="AI265" s="144">
        <f t="shared" si="73"/>
        <v>30215921696.520004</v>
      </c>
      <c r="AJ265" s="144">
        <f t="shared" si="73"/>
        <v>27423772761.440002</v>
      </c>
      <c r="AK265" s="144">
        <f t="shared" si="73"/>
        <v>27423772761.440002</v>
      </c>
      <c r="AL265" s="144">
        <f t="shared" si="73"/>
        <v>0</v>
      </c>
      <c r="AM265" s="144">
        <f t="shared" si="73"/>
        <v>0</v>
      </c>
      <c r="AN265" s="144">
        <f t="shared" si="73"/>
        <v>0</v>
      </c>
      <c r="AO265" s="144">
        <f t="shared" si="73"/>
        <v>0</v>
      </c>
      <c r="AP265" s="144">
        <f t="shared" si="73"/>
        <v>0</v>
      </c>
      <c r="AQ265" s="144">
        <f t="shared" si="73"/>
        <v>0</v>
      </c>
      <c r="AR265" s="144">
        <f t="shared" si="73"/>
        <v>0</v>
      </c>
      <c r="AS265" s="144">
        <f t="shared" si="73"/>
        <v>0</v>
      </c>
      <c r="AT265" s="144">
        <f t="shared" si="73"/>
        <v>0</v>
      </c>
      <c r="AU265" s="144">
        <f t="shared" si="73"/>
        <v>0</v>
      </c>
      <c r="AV265" s="144">
        <f t="shared" si="73"/>
        <v>0</v>
      </c>
      <c r="AW265" s="144">
        <f t="shared" si="73"/>
        <v>0</v>
      </c>
      <c r="AX265" s="144">
        <f t="shared" si="73"/>
        <v>4628050740</v>
      </c>
      <c r="AY265" s="144">
        <f t="shared" si="73"/>
        <v>3366143380.3299999</v>
      </c>
      <c r="AZ265" s="144">
        <f t="shared" si="73"/>
        <v>2954468035.3299999</v>
      </c>
      <c r="BA265" s="144">
        <f t="shared" si="73"/>
        <v>5475600892</v>
      </c>
      <c r="BB265" s="144">
        <f t="shared" si="73"/>
        <v>0</v>
      </c>
      <c r="BC265" s="144">
        <f t="shared" si="73"/>
        <v>0</v>
      </c>
      <c r="BD265" s="144">
        <f t="shared" si="73"/>
        <v>2147768825.3000002</v>
      </c>
      <c r="BE265" s="144">
        <f t="shared" si="73"/>
        <v>1726795309</v>
      </c>
      <c r="BF265" s="144">
        <f t="shared" si="73"/>
        <v>1693717017</v>
      </c>
      <c r="BG265" s="144">
        <f t="shared" si="73"/>
        <v>49515588163.32</v>
      </c>
      <c r="BH265" s="144">
        <f t="shared" si="73"/>
        <v>42853606184.770004</v>
      </c>
      <c r="BI265" s="144">
        <f t="shared" si="73"/>
        <v>42307722381.770004</v>
      </c>
      <c r="BK265" s="608"/>
    </row>
    <row r="266" spans="1:64" ht="15.75" x14ac:dyDescent="0.2">
      <c r="A266" s="377"/>
      <c r="B266" s="379"/>
      <c r="C266" s="171">
        <v>11</v>
      </c>
      <c r="D266" s="146">
        <v>1903</v>
      </c>
      <c r="E266" s="308" t="s">
        <v>976</v>
      </c>
      <c r="F266" s="145"/>
      <c r="G266" s="146"/>
      <c r="H266" s="147"/>
      <c r="I266" s="145"/>
      <c r="J266" s="146"/>
      <c r="K266" s="146"/>
      <c r="L266" s="145"/>
      <c r="M266" s="148"/>
      <c r="N266" s="148"/>
      <c r="O266" s="146"/>
      <c r="P266" s="146"/>
      <c r="Q266" s="149"/>
      <c r="R266" s="146"/>
      <c r="S266" s="145"/>
      <c r="T266" s="150">
        <f>SUM(T267:T289)</f>
        <v>0</v>
      </c>
      <c r="U266" s="150">
        <f t="shared" ref="U266:BI266" si="74">SUM(U267:U289)</f>
        <v>0</v>
      </c>
      <c r="V266" s="150">
        <f t="shared" si="74"/>
        <v>0</v>
      </c>
      <c r="W266" s="150">
        <f t="shared" si="74"/>
        <v>0</v>
      </c>
      <c r="X266" s="150">
        <f t="shared" si="74"/>
        <v>0</v>
      </c>
      <c r="Y266" s="150">
        <f t="shared" si="74"/>
        <v>0</v>
      </c>
      <c r="Z266" s="150">
        <f t="shared" si="74"/>
        <v>0</v>
      </c>
      <c r="AA266" s="150">
        <f t="shared" si="74"/>
        <v>0</v>
      </c>
      <c r="AB266" s="150">
        <f t="shared" si="74"/>
        <v>0</v>
      </c>
      <c r="AC266" s="150">
        <f t="shared" si="74"/>
        <v>0</v>
      </c>
      <c r="AD266" s="150">
        <f t="shared" si="74"/>
        <v>0</v>
      </c>
      <c r="AE266" s="150">
        <f t="shared" si="74"/>
        <v>0</v>
      </c>
      <c r="AF266" s="150">
        <f t="shared" si="74"/>
        <v>1887781718</v>
      </c>
      <c r="AG266" s="150">
        <f t="shared" si="74"/>
        <v>1137544486</v>
      </c>
      <c r="AH266" s="150">
        <f t="shared" si="74"/>
        <v>1137544486</v>
      </c>
      <c r="AI266" s="150">
        <f t="shared" si="74"/>
        <v>1306328216.8600001</v>
      </c>
      <c r="AJ266" s="150">
        <f t="shared" si="74"/>
        <v>803522454</v>
      </c>
      <c r="AK266" s="150">
        <f t="shared" si="74"/>
        <v>803522454</v>
      </c>
      <c r="AL266" s="150">
        <f t="shared" si="74"/>
        <v>0</v>
      </c>
      <c r="AM266" s="150">
        <f t="shared" si="74"/>
        <v>0</v>
      </c>
      <c r="AN266" s="150">
        <f t="shared" si="74"/>
        <v>0</v>
      </c>
      <c r="AO266" s="150">
        <f t="shared" si="74"/>
        <v>0</v>
      </c>
      <c r="AP266" s="150">
        <f t="shared" si="74"/>
        <v>0</v>
      </c>
      <c r="AQ266" s="150">
        <f t="shared" si="74"/>
        <v>0</v>
      </c>
      <c r="AR266" s="150">
        <f t="shared" si="74"/>
        <v>0</v>
      </c>
      <c r="AS266" s="150">
        <f t="shared" si="74"/>
        <v>0</v>
      </c>
      <c r="AT266" s="150">
        <f t="shared" si="74"/>
        <v>0</v>
      </c>
      <c r="AU266" s="150">
        <f t="shared" si="74"/>
        <v>0</v>
      </c>
      <c r="AV266" s="150">
        <f t="shared" si="74"/>
        <v>0</v>
      </c>
      <c r="AW266" s="150">
        <f t="shared" si="74"/>
        <v>0</v>
      </c>
      <c r="AX266" s="150">
        <f t="shared" si="74"/>
        <v>161590000</v>
      </c>
      <c r="AY266" s="150">
        <f t="shared" si="74"/>
        <v>110554666</v>
      </c>
      <c r="AZ266" s="150">
        <f t="shared" si="74"/>
        <v>110554666</v>
      </c>
      <c r="BA266" s="150">
        <f t="shared" si="74"/>
        <v>0</v>
      </c>
      <c r="BB266" s="150">
        <f t="shared" si="74"/>
        <v>0</v>
      </c>
      <c r="BC266" s="150">
        <f t="shared" si="74"/>
        <v>0</v>
      </c>
      <c r="BD266" s="150">
        <f t="shared" si="74"/>
        <v>351200000</v>
      </c>
      <c r="BE266" s="150">
        <f t="shared" si="74"/>
        <v>299167366</v>
      </c>
      <c r="BF266" s="150">
        <f t="shared" si="74"/>
        <v>266089074</v>
      </c>
      <c r="BG266" s="150">
        <f t="shared" si="74"/>
        <v>3706899934.8600001</v>
      </c>
      <c r="BH266" s="150">
        <f t="shared" si="74"/>
        <v>2350788972</v>
      </c>
      <c r="BI266" s="150">
        <f t="shared" si="74"/>
        <v>2317710680</v>
      </c>
      <c r="BK266" s="608"/>
    </row>
    <row r="267" spans="1:64" ht="92.25" customHeight="1" x14ac:dyDescent="0.2">
      <c r="A267" s="377"/>
      <c r="B267" s="390"/>
      <c r="C267" s="324"/>
      <c r="D267" s="305"/>
      <c r="E267" s="305">
        <v>1903</v>
      </c>
      <c r="F267" s="307" t="s">
        <v>977</v>
      </c>
      <c r="G267" s="302" t="s">
        <v>978</v>
      </c>
      <c r="H267" s="305" t="s">
        <v>83</v>
      </c>
      <c r="I267" s="306" t="s">
        <v>997</v>
      </c>
      <c r="J267" s="277" t="s">
        <v>979</v>
      </c>
      <c r="K267" s="261" t="s">
        <v>83</v>
      </c>
      <c r="L267" s="267" t="s">
        <v>980</v>
      </c>
      <c r="M267" s="261" t="s">
        <v>89</v>
      </c>
      <c r="N267" s="261">
        <v>1</v>
      </c>
      <c r="O267" s="261">
        <v>1</v>
      </c>
      <c r="P267" s="261">
        <v>0.85</v>
      </c>
      <c r="Q267" s="313" t="s">
        <v>188</v>
      </c>
      <c r="R267" s="305" t="s">
        <v>981</v>
      </c>
      <c r="S267" s="306" t="s">
        <v>10</v>
      </c>
      <c r="T267" s="27"/>
      <c r="U267" s="27"/>
      <c r="V267" s="27"/>
      <c r="W267" s="27"/>
      <c r="X267" s="27"/>
      <c r="Y267" s="27"/>
      <c r="Z267" s="27"/>
      <c r="AA267" s="27"/>
      <c r="AB267" s="27"/>
      <c r="AC267" s="27"/>
      <c r="AD267" s="27"/>
      <c r="AE267" s="27"/>
      <c r="AF267" s="27">
        <f>50000000</f>
        <v>50000000</v>
      </c>
      <c r="AG267" s="27">
        <v>5600000</v>
      </c>
      <c r="AH267" s="27">
        <v>5600000</v>
      </c>
      <c r="AI267" s="27"/>
      <c r="AJ267" s="27"/>
      <c r="AK267" s="27"/>
      <c r="AL267" s="27"/>
      <c r="AM267" s="27"/>
      <c r="AN267" s="27"/>
      <c r="AO267" s="27"/>
      <c r="AP267" s="27"/>
      <c r="AQ267" s="27"/>
      <c r="AR267" s="27"/>
      <c r="AS267" s="27"/>
      <c r="AT267" s="27"/>
      <c r="AU267" s="27"/>
      <c r="AV267" s="27"/>
      <c r="AW267" s="27"/>
      <c r="AX267" s="33"/>
      <c r="AY267" s="33"/>
      <c r="AZ267" s="33"/>
      <c r="BA267" s="27"/>
      <c r="BB267" s="27"/>
      <c r="BC267" s="27"/>
      <c r="BD267" s="27"/>
      <c r="BE267" s="27"/>
      <c r="BF267" s="27"/>
      <c r="BG267" s="259">
        <f t="shared" ref="BG267:BI289" si="75">+T267+W267+Z267+AC267+AF267+AI267+AL267+AO267+AR267+AU267+AX267+BA267+BD267</f>
        <v>50000000</v>
      </c>
      <c r="BH267" s="259">
        <f t="shared" si="75"/>
        <v>5600000</v>
      </c>
      <c r="BI267" s="259">
        <f t="shared" si="75"/>
        <v>5600000</v>
      </c>
      <c r="BK267" s="608"/>
    </row>
    <row r="268" spans="1:64" s="178" customFormat="1" ht="66" customHeight="1" x14ac:dyDescent="0.2">
      <c r="A268" s="386"/>
      <c r="B268" s="581"/>
      <c r="C268" s="583"/>
      <c r="D268" s="304"/>
      <c r="E268" s="577">
        <v>1903</v>
      </c>
      <c r="F268" s="579" t="s">
        <v>977</v>
      </c>
      <c r="G268" s="577" t="s">
        <v>982</v>
      </c>
      <c r="H268" s="577">
        <v>1903009</v>
      </c>
      <c r="I268" s="578" t="s">
        <v>983</v>
      </c>
      <c r="J268" s="589" t="s">
        <v>984</v>
      </c>
      <c r="K268" s="266">
        <v>190300900</v>
      </c>
      <c r="L268" s="271" t="s">
        <v>985</v>
      </c>
      <c r="M268" s="266" t="s">
        <v>179</v>
      </c>
      <c r="N268" s="266">
        <v>2900</v>
      </c>
      <c r="O268" s="266">
        <v>380</v>
      </c>
      <c r="P268" s="266">
        <v>352</v>
      </c>
      <c r="Q268" s="633" t="s">
        <v>188</v>
      </c>
      <c r="R268" s="634" t="s">
        <v>986</v>
      </c>
      <c r="S268" s="633" t="s">
        <v>987</v>
      </c>
      <c r="T268" s="27"/>
      <c r="U268" s="27"/>
      <c r="V268" s="27"/>
      <c r="W268" s="27"/>
      <c r="X268" s="27"/>
      <c r="Y268" s="27"/>
      <c r="Z268" s="27"/>
      <c r="AA268" s="27"/>
      <c r="AB268" s="27"/>
      <c r="AC268" s="27"/>
      <c r="AD268" s="27"/>
      <c r="AE268" s="27"/>
      <c r="AF268" s="27">
        <f>70000000-33600000</f>
        <v>36400000</v>
      </c>
      <c r="AG268" s="27">
        <v>31733333</v>
      </c>
      <c r="AH268" s="27">
        <v>31733333</v>
      </c>
      <c r="AI268" s="27"/>
      <c r="AJ268" s="27"/>
      <c r="AK268" s="27"/>
      <c r="AL268" s="27"/>
      <c r="AM268" s="27"/>
      <c r="AN268" s="27"/>
      <c r="AO268" s="27"/>
      <c r="AP268" s="27"/>
      <c r="AQ268" s="27"/>
      <c r="AR268" s="27"/>
      <c r="AS268" s="27"/>
      <c r="AT268" s="27"/>
      <c r="AU268" s="27"/>
      <c r="AV268" s="27"/>
      <c r="AW268" s="27"/>
      <c r="AX268" s="33">
        <f>40000000-40000000</f>
        <v>0</v>
      </c>
      <c r="AY268" s="33"/>
      <c r="AZ268" s="33"/>
      <c r="BA268" s="27"/>
      <c r="BB268" s="27"/>
      <c r="BC268" s="27"/>
      <c r="BD268" s="27"/>
      <c r="BE268" s="27"/>
      <c r="BF268" s="27"/>
      <c r="BG268" s="177">
        <f t="shared" si="75"/>
        <v>36400000</v>
      </c>
      <c r="BH268" s="177">
        <f t="shared" si="75"/>
        <v>31733333</v>
      </c>
      <c r="BI268" s="177">
        <f t="shared" si="75"/>
        <v>31733333</v>
      </c>
      <c r="BK268" s="608"/>
    </row>
    <row r="269" spans="1:64" s="178" customFormat="1" ht="69" customHeight="1" x14ac:dyDescent="0.2">
      <c r="A269" s="386"/>
      <c r="B269" s="581"/>
      <c r="C269" s="583"/>
      <c r="D269" s="304"/>
      <c r="E269" s="577">
        <v>1903</v>
      </c>
      <c r="F269" s="579" t="s">
        <v>988</v>
      </c>
      <c r="G269" s="577" t="s">
        <v>989</v>
      </c>
      <c r="H269" s="577">
        <v>1903023</v>
      </c>
      <c r="I269" s="578" t="s">
        <v>990</v>
      </c>
      <c r="J269" s="589" t="s">
        <v>991</v>
      </c>
      <c r="K269" s="266">
        <v>190302300</v>
      </c>
      <c r="L269" s="271" t="s">
        <v>992</v>
      </c>
      <c r="M269" s="266" t="s">
        <v>89</v>
      </c>
      <c r="N269" s="266">
        <v>12</v>
      </c>
      <c r="O269" s="266">
        <v>12</v>
      </c>
      <c r="P269" s="266">
        <v>3</v>
      </c>
      <c r="Q269" s="633"/>
      <c r="R269" s="634"/>
      <c r="S269" s="633"/>
      <c r="T269" s="27"/>
      <c r="U269" s="27"/>
      <c r="V269" s="27"/>
      <c r="W269" s="27"/>
      <c r="X269" s="27"/>
      <c r="Y269" s="27"/>
      <c r="Z269" s="27"/>
      <c r="AA269" s="27"/>
      <c r="AB269" s="27"/>
      <c r="AC269" s="27"/>
      <c r="AD269" s="27"/>
      <c r="AE269" s="27"/>
      <c r="AF269" s="27">
        <f>2800528+79027689-0.14-2800528-67827688.86</f>
        <v>11200000</v>
      </c>
      <c r="AG269" s="27">
        <v>6016667</v>
      </c>
      <c r="AH269" s="27">
        <v>6016667</v>
      </c>
      <c r="AI269" s="193"/>
      <c r="AJ269" s="193"/>
      <c r="AK269" s="193"/>
      <c r="AL269" s="27"/>
      <c r="AM269" s="27"/>
      <c r="AN269" s="27"/>
      <c r="AO269" s="27"/>
      <c r="AP269" s="27"/>
      <c r="AQ269" s="27"/>
      <c r="AR269" s="27"/>
      <c r="AS269" s="27"/>
      <c r="AT269" s="27"/>
      <c r="AU269" s="27"/>
      <c r="AV269" s="27"/>
      <c r="AW269" s="27"/>
      <c r="AX269" s="444"/>
      <c r="AY269" s="444"/>
      <c r="AZ269" s="444"/>
      <c r="BA269" s="27"/>
      <c r="BB269" s="27"/>
      <c r="BC269" s="27"/>
      <c r="BD269" s="27"/>
      <c r="BE269" s="27"/>
      <c r="BF269" s="27"/>
      <c r="BG269" s="177">
        <f t="shared" si="75"/>
        <v>11200000</v>
      </c>
      <c r="BH269" s="177">
        <f t="shared" si="75"/>
        <v>6016667</v>
      </c>
      <c r="BI269" s="177">
        <f t="shared" si="75"/>
        <v>6016667</v>
      </c>
      <c r="BK269" s="608"/>
    </row>
    <row r="270" spans="1:64" s="178" customFormat="1" ht="146.25" customHeight="1" x14ac:dyDescent="0.2">
      <c r="A270" s="386"/>
      <c r="B270" s="581"/>
      <c r="C270" s="583"/>
      <c r="D270" s="304"/>
      <c r="E270" s="577">
        <v>1903</v>
      </c>
      <c r="F270" s="579" t="s">
        <v>993</v>
      </c>
      <c r="G270" s="277" t="s">
        <v>994</v>
      </c>
      <c r="H270" s="577" t="s">
        <v>83</v>
      </c>
      <c r="I270" s="578" t="s">
        <v>1481</v>
      </c>
      <c r="J270" s="277" t="s">
        <v>995</v>
      </c>
      <c r="K270" s="266" t="s">
        <v>83</v>
      </c>
      <c r="L270" s="271" t="s">
        <v>996</v>
      </c>
      <c r="M270" s="266" t="s">
        <v>89</v>
      </c>
      <c r="N270" s="266">
        <v>12</v>
      </c>
      <c r="O270" s="266">
        <v>12</v>
      </c>
      <c r="P270" s="266">
        <v>6</v>
      </c>
      <c r="Q270" s="633"/>
      <c r="R270" s="634"/>
      <c r="S270" s="633"/>
      <c r="T270" s="27"/>
      <c r="U270" s="27"/>
      <c r="V270" s="27"/>
      <c r="W270" s="27"/>
      <c r="X270" s="27"/>
      <c r="Y270" s="27"/>
      <c r="Z270" s="27"/>
      <c r="AA270" s="27"/>
      <c r="AB270" s="27"/>
      <c r="AC270" s="27"/>
      <c r="AD270" s="27"/>
      <c r="AE270" s="27"/>
      <c r="AF270" s="27">
        <f>70000000-1700000</f>
        <v>68300000</v>
      </c>
      <c r="AG270" s="27">
        <v>42906666</v>
      </c>
      <c r="AH270" s="27">
        <v>42906666</v>
      </c>
      <c r="AI270" s="210"/>
      <c r="AJ270" s="210"/>
      <c r="AK270" s="210"/>
      <c r="AL270" s="27"/>
      <c r="AM270" s="27"/>
      <c r="AN270" s="27"/>
      <c r="AO270" s="27"/>
      <c r="AP270" s="27"/>
      <c r="AQ270" s="27"/>
      <c r="AR270" s="27"/>
      <c r="AS270" s="27"/>
      <c r="AT270" s="27"/>
      <c r="AU270" s="27"/>
      <c r="AV270" s="27"/>
      <c r="AW270" s="27"/>
      <c r="AX270" s="444"/>
      <c r="AY270" s="444"/>
      <c r="AZ270" s="444"/>
      <c r="BA270" s="27"/>
      <c r="BB270" s="27"/>
      <c r="BC270" s="27"/>
      <c r="BD270" s="27"/>
      <c r="BE270" s="27"/>
      <c r="BF270" s="27"/>
      <c r="BG270" s="177">
        <f t="shared" si="75"/>
        <v>68300000</v>
      </c>
      <c r="BH270" s="177">
        <f t="shared" si="75"/>
        <v>42906666</v>
      </c>
      <c r="BI270" s="177">
        <f t="shared" si="75"/>
        <v>42906666</v>
      </c>
      <c r="BK270" s="608"/>
    </row>
    <row r="271" spans="1:64" s="178" customFormat="1" ht="94.5" customHeight="1" x14ac:dyDescent="0.2">
      <c r="A271" s="386"/>
      <c r="B271" s="581"/>
      <c r="C271" s="583"/>
      <c r="D271" s="304"/>
      <c r="E271" s="577">
        <v>1903</v>
      </c>
      <c r="F271" s="579" t="s">
        <v>977</v>
      </c>
      <c r="G271" s="577" t="s">
        <v>978</v>
      </c>
      <c r="H271" s="577" t="s">
        <v>83</v>
      </c>
      <c r="I271" s="578" t="s">
        <v>997</v>
      </c>
      <c r="J271" s="589" t="s">
        <v>979</v>
      </c>
      <c r="K271" s="266" t="s">
        <v>83</v>
      </c>
      <c r="L271" s="578" t="s">
        <v>980</v>
      </c>
      <c r="M271" s="266" t="s">
        <v>89</v>
      </c>
      <c r="N271" s="266">
        <v>1</v>
      </c>
      <c r="O271" s="577">
        <v>1</v>
      </c>
      <c r="P271" s="577">
        <v>0.9</v>
      </c>
      <c r="Q271" s="633"/>
      <c r="R271" s="634"/>
      <c r="S271" s="633"/>
      <c r="T271" s="27"/>
      <c r="U271" s="27"/>
      <c r="V271" s="27"/>
      <c r="W271" s="27"/>
      <c r="X271" s="27"/>
      <c r="Y271" s="27"/>
      <c r="Z271" s="27"/>
      <c r="AA271" s="27"/>
      <c r="AB271" s="27"/>
      <c r="AC271" s="27"/>
      <c r="AD271" s="27"/>
      <c r="AE271" s="27"/>
      <c r="AF271" s="27"/>
      <c r="AG271" s="27"/>
      <c r="AH271" s="27"/>
      <c r="AI271" s="27">
        <f>824500000+2800528+329027688.86</f>
        <v>1156328216.8600001</v>
      </c>
      <c r="AJ271" s="27">
        <v>765935787</v>
      </c>
      <c r="AK271" s="27">
        <v>765935787</v>
      </c>
      <c r="AL271" s="27"/>
      <c r="AM271" s="27"/>
      <c r="AN271" s="27"/>
      <c r="AO271" s="27"/>
      <c r="AP271" s="27"/>
      <c r="AQ271" s="27"/>
      <c r="AR271" s="27"/>
      <c r="AS271" s="27"/>
      <c r="AT271" s="27"/>
      <c r="AU271" s="27"/>
      <c r="AV271" s="27"/>
      <c r="AW271" s="27"/>
      <c r="AX271" s="444"/>
      <c r="AY271" s="444"/>
      <c r="AZ271" s="444"/>
      <c r="BA271" s="27"/>
      <c r="BB271" s="27"/>
      <c r="BC271" s="27"/>
      <c r="BD271" s="193"/>
      <c r="BE271" s="193"/>
      <c r="BF271" s="193"/>
      <c r="BG271" s="177">
        <f t="shared" si="75"/>
        <v>1156328216.8600001</v>
      </c>
      <c r="BH271" s="177">
        <f t="shared" si="75"/>
        <v>765935787</v>
      </c>
      <c r="BI271" s="177">
        <f t="shared" si="75"/>
        <v>765935787</v>
      </c>
      <c r="BK271" s="608"/>
    </row>
    <row r="272" spans="1:64" s="178" customFormat="1" ht="138.75" customHeight="1" x14ac:dyDescent="0.2">
      <c r="A272" s="386"/>
      <c r="B272" s="581"/>
      <c r="C272" s="583"/>
      <c r="D272" s="304"/>
      <c r="E272" s="577">
        <v>1903</v>
      </c>
      <c r="F272" s="579" t="s">
        <v>998</v>
      </c>
      <c r="G272" s="577" t="s">
        <v>999</v>
      </c>
      <c r="H272" s="577">
        <v>1903038</v>
      </c>
      <c r="I272" s="578" t="s">
        <v>1000</v>
      </c>
      <c r="J272" s="589" t="s">
        <v>1001</v>
      </c>
      <c r="K272" s="266">
        <v>190303801</v>
      </c>
      <c r="L272" s="578" t="s">
        <v>1002</v>
      </c>
      <c r="M272" s="266" t="s">
        <v>89</v>
      </c>
      <c r="N272" s="266">
        <v>11</v>
      </c>
      <c r="O272" s="266">
        <v>11</v>
      </c>
      <c r="P272" s="266">
        <v>11</v>
      </c>
      <c r="Q272" s="633"/>
      <c r="R272" s="634"/>
      <c r="S272" s="633"/>
      <c r="T272" s="27"/>
      <c r="U272" s="27"/>
      <c r="V272" s="27"/>
      <c r="W272" s="27"/>
      <c r="X272" s="27"/>
      <c r="Y272" s="27"/>
      <c r="Z272" s="27"/>
      <c r="AA272" s="27"/>
      <c r="AB272" s="27"/>
      <c r="AC272" s="27"/>
      <c r="AD272" s="27"/>
      <c r="AE272" s="27"/>
      <c r="AF272" s="27">
        <f>50000000-38800000</f>
        <v>11200000</v>
      </c>
      <c r="AG272" s="27"/>
      <c r="AH272" s="27"/>
      <c r="AI272" s="193"/>
      <c r="AJ272" s="193"/>
      <c r="AK272" s="193"/>
      <c r="AL272" s="27"/>
      <c r="AM272" s="27"/>
      <c r="AN272" s="27"/>
      <c r="AO272" s="27"/>
      <c r="AP272" s="27"/>
      <c r="AQ272" s="27"/>
      <c r="AR272" s="27"/>
      <c r="AS272" s="27"/>
      <c r="AT272" s="27"/>
      <c r="AU272" s="27"/>
      <c r="AV272" s="27"/>
      <c r="AW272" s="27"/>
      <c r="AX272" s="444"/>
      <c r="AY272" s="444"/>
      <c r="AZ272" s="444"/>
      <c r="BA272" s="27"/>
      <c r="BB272" s="27"/>
      <c r="BC272" s="27"/>
      <c r="BD272" s="27"/>
      <c r="BE272" s="27"/>
      <c r="BF272" s="27"/>
      <c r="BG272" s="177">
        <f t="shared" si="75"/>
        <v>11200000</v>
      </c>
      <c r="BH272" s="177">
        <f t="shared" si="75"/>
        <v>0</v>
      </c>
      <c r="BI272" s="177">
        <f t="shared" si="75"/>
        <v>0</v>
      </c>
      <c r="BK272" s="608"/>
    </row>
    <row r="273" spans="1:63" s="178" customFormat="1" ht="80.25" customHeight="1" x14ac:dyDescent="0.2">
      <c r="A273" s="386"/>
      <c r="B273" s="581"/>
      <c r="C273" s="583"/>
      <c r="D273" s="304"/>
      <c r="E273" s="577">
        <v>1903</v>
      </c>
      <c r="F273" s="579" t="s">
        <v>1003</v>
      </c>
      <c r="G273" s="277" t="s">
        <v>1004</v>
      </c>
      <c r="H273" s="577">
        <v>1903027</v>
      </c>
      <c r="I273" s="578" t="s">
        <v>1005</v>
      </c>
      <c r="J273" s="277" t="s">
        <v>1006</v>
      </c>
      <c r="K273" s="266">
        <v>190302700</v>
      </c>
      <c r="L273" s="279" t="s">
        <v>1007</v>
      </c>
      <c r="M273" s="266" t="s">
        <v>89</v>
      </c>
      <c r="N273" s="266">
        <v>5</v>
      </c>
      <c r="O273" s="266">
        <v>5</v>
      </c>
      <c r="P273" s="266">
        <v>1</v>
      </c>
      <c r="Q273" s="633"/>
      <c r="R273" s="634"/>
      <c r="S273" s="633"/>
      <c r="T273" s="27"/>
      <c r="U273" s="27"/>
      <c r="V273" s="27"/>
      <c r="W273" s="27"/>
      <c r="X273" s="27"/>
      <c r="Y273" s="27"/>
      <c r="Z273" s="27"/>
      <c r="AA273" s="27"/>
      <c r="AB273" s="27"/>
      <c r="AC273" s="27"/>
      <c r="AD273" s="27"/>
      <c r="AE273" s="27"/>
      <c r="AF273" s="27">
        <f>200000000-188800000</f>
        <v>11200000</v>
      </c>
      <c r="AG273" s="27">
        <v>5133331</v>
      </c>
      <c r="AH273" s="27">
        <v>5133331</v>
      </c>
      <c r="AI273" s="193"/>
      <c r="AJ273" s="193"/>
      <c r="AK273" s="193"/>
      <c r="AL273" s="27"/>
      <c r="AM273" s="27"/>
      <c r="AN273" s="27"/>
      <c r="AO273" s="27"/>
      <c r="AP273" s="27"/>
      <c r="AQ273" s="27"/>
      <c r="AR273" s="27"/>
      <c r="AS273" s="27"/>
      <c r="AT273" s="27"/>
      <c r="AU273" s="27"/>
      <c r="AV273" s="27"/>
      <c r="AW273" s="27"/>
      <c r="AX273" s="444"/>
      <c r="AY273" s="444"/>
      <c r="AZ273" s="444"/>
      <c r="BA273" s="27"/>
      <c r="BB273" s="27"/>
      <c r="BC273" s="27"/>
      <c r="BD273" s="27"/>
      <c r="BE273" s="27"/>
      <c r="BF273" s="27"/>
      <c r="BG273" s="177">
        <f t="shared" si="75"/>
        <v>11200000</v>
      </c>
      <c r="BH273" s="177">
        <f t="shared" si="75"/>
        <v>5133331</v>
      </c>
      <c r="BI273" s="177">
        <f t="shared" si="75"/>
        <v>5133331</v>
      </c>
      <c r="BK273" s="608"/>
    </row>
    <row r="274" spans="1:63" s="178" customFormat="1" ht="62.25" customHeight="1" x14ac:dyDescent="0.2">
      <c r="A274" s="386"/>
      <c r="B274" s="581"/>
      <c r="C274" s="583"/>
      <c r="D274" s="304"/>
      <c r="E274" s="577">
        <v>1903</v>
      </c>
      <c r="F274" s="579" t="s">
        <v>1056</v>
      </c>
      <c r="G274" s="278" t="s">
        <v>1009</v>
      </c>
      <c r="H274" s="577">
        <v>1903011</v>
      </c>
      <c r="I274" s="578" t="s">
        <v>1010</v>
      </c>
      <c r="J274" s="278" t="s">
        <v>1011</v>
      </c>
      <c r="K274" s="266">
        <v>190301100</v>
      </c>
      <c r="L274" s="279" t="s">
        <v>1012</v>
      </c>
      <c r="M274" s="266" t="s">
        <v>89</v>
      </c>
      <c r="N274" s="266">
        <v>140</v>
      </c>
      <c r="O274" s="266">
        <v>140</v>
      </c>
      <c r="P274" s="266">
        <v>103</v>
      </c>
      <c r="Q274" s="633"/>
      <c r="R274" s="634"/>
      <c r="S274" s="633"/>
      <c r="T274" s="27"/>
      <c r="U274" s="27"/>
      <c r="V274" s="27"/>
      <c r="W274" s="27"/>
      <c r="X274" s="27"/>
      <c r="Y274" s="27"/>
      <c r="Z274" s="27"/>
      <c r="AA274" s="27"/>
      <c r="AB274" s="27"/>
      <c r="AC274" s="27"/>
      <c r="AD274" s="27"/>
      <c r="AE274" s="27"/>
      <c r="AF274" s="27">
        <v>20000000</v>
      </c>
      <c r="AG274" s="27"/>
      <c r="AH274" s="27"/>
      <c r="AI274" s="27"/>
      <c r="AJ274" s="27"/>
      <c r="AK274" s="27"/>
      <c r="AL274" s="27"/>
      <c r="AM274" s="27"/>
      <c r="AN274" s="27"/>
      <c r="AO274" s="27"/>
      <c r="AP274" s="27"/>
      <c r="AQ274" s="27"/>
      <c r="AR274" s="27"/>
      <c r="AS274" s="27"/>
      <c r="AT274" s="27"/>
      <c r="AU274" s="27"/>
      <c r="AV274" s="27"/>
      <c r="AW274" s="27"/>
      <c r="AX274" s="444"/>
      <c r="AY274" s="444"/>
      <c r="AZ274" s="444"/>
      <c r="BA274" s="27"/>
      <c r="BB274" s="27"/>
      <c r="BC274" s="27"/>
      <c r="BD274" s="27"/>
      <c r="BE274" s="27"/>
      <c r="BF274" s="27"/>
      <c r="BG274" s="177">
        <f t="shared" si="75"/>
        <v>20000000</v>
      </c>
      <c r="BH274" s="177">
        <f t="shared" si="75"/>
        <v>0</v>
      </c>
      <c r="BI274" s="177">
        <f t="shared" si="75"/>
        <v>0</v>
      </c>
      <c r="BK274" s="608"/>
    </row>
    <row r="275" spans="1:63" s="178" customFormat="1" ht="103.5" customHeight="1" x14ac:dyDescent="0.2">
      <c r="A275" s="386"/>
      <c r="B275" s="581"/>
      <c r="C275" s="583"/>
      <c r="D275" s="304"/>
      <c r="E275" s="577">
        <v>1903</v>
      </c>
      <c r="F275" s="579" t="s">
        <v>1442</v>
      </c>
      <c r="G275" s="278" t="s">
        <v>1013</v>
      </c>
      <c r="H275" s="577">
        <v>1903001</v>
      </c>
      <c r="I275" s="578" t="s">
        <v>580</v>
      </c>
      <c r="J275" s="278" t="s">
        <v>1014</v>
      </c>
      <c r="K275" s="266">
        <v>190300100</v>
      </c>
      <c r="L275" s="271" t="s">
        <v>1015</v>
      </c>
      <c r="M275" s="266" t="s">
        <v>89</v>
      </c>
      <c r="N275" s="266">
        <v>1</v>
      </c>
      <c r="O275" s="266">
        <v>1</v>
      </c>
      <c r="P275" s="266">
        <v>1</v>
      </c>
      <c r="Q275" s="635" t="s">
        <v>188</v>
      </c>
      <c r="R275" s="634" t="s">
        <v>1016</v>
      </c>
      <c r="S275" s="633" t="s">
        <v>1017</v>
      </c>
      <c r="T275" s="27"/>
      <c r="U275" s="27"/>
      <c r="V275" s="27"/>
      <c r="W275" s="27"/>
      <c r="X275" s="27"/>
      <c r="Y275" s="27"/>
      <c r="Z275" s="27"/>
      <c r="AA275" s="27"/>
      <c r="AB275" s="27"/>
      <c r="AC275" s="27"/>
      <c r="AD275" s="27"/>
      <c r="AE275" s="27"/>
      <c r="AF275" s="27">
        <v>81470000</v>
      </c>
      <c r="AG275" s="27">
        <f>'[8]F-PLA-47 MP SALUD DIC'!$R$30+'[8]F-PLA-47 MP SALUD DIC'!$R$31</f>
        <v>56599998</v>
      </c>
      <c r="AH275" s="27">
        <f>'[8]F-PLA-47 MP SALUD DIC'!$S$30+'[8]F-PLA-47 MP SALUD DIC'!$S$31</f>
        <v>56599998</v>
      </c>
      <c r="AI275" s="27"/>
      <c r="AJ275" s="27"/>
      <c r="AK275" s="27"/>
      <c r="AL275" s="27"/>
      <c r="AM275" s="27"/>
      <c r="AN275" s="27"/>
      <c r="AO275" s="27"/>
      <c r="AP275" s="27"/>
      <c r="AQ275" s="27"/>
      <c r="AR275" s="27"/>
      <c r="AS275" s="27"/>
      <c r="AT275" s="27"/>
      <c r="AU275" s="27"/>
      <c r="AV275" s="27"/>
      <c r="AW275" s="27"/>
      <c r="AX275" s="33"/>
      <c r="AY275" s="33"/>
      <c r="AZ275" s="33"/>
      <c r="BA275" s="27"/>
      <c r="BB275" s="27"/>
      <c r="BC275" s="27"/>
      <c r="BD275" s="27"/>
      <c r="BE275" s="27"/>
      <c r="BF275" s="27"/>
      <c r="BG275" s="177">
        <f t="shared" si="75"/>
        <v>81470000</v>
      </c>
      <c r="BH275" s="177">
        <f t="shared" si="75"/>
        <v>56599998</v>
      </c>
      <c r="BI275" s="177">
        <f t="shared" si="75"/>
        <v>56599998</v>
      </c>
      <c r="BK275" s="608"/>
    </row>
    <row r="276" spans="1:63" s="178" customFormat="1" ht="74.25" customHeight="1" x14ac:dyDescent="0.2">
      <c r="A276" s="386"/>
      <c r="B276" s="581"/>
      <c r="C276" s="583"/>
      <c r="D276" s="304"/>
      <c r="E276" s="577">
        <v>1903</v>
      </c>
      <c r="F276" s="579" t="s">
        <v>1018</v>
      </c>
      <c r="G276" s="577" t="s">
        <v>1019</v>
      </c>
      <c r="H276" s="577">
        <v>1903015</v>
      </c>
      <c r="I276" s="578" t="s">
        <v>1020</v>
      </c>
      <c r="J276" s="589" t="s">
        <v>1021</v>
      </c>
      <c r="K276" s="266">
        <v>190301500</v>
      </c>
      <c r="L276" s="578" t="s">
        <v>1022</v>
      </c>
      <c r="M276" s="266" t="s">
        <v>89</v>
      </c>
      <c r="N276" s="266">
        <v>12</v>
      </c>
      <c r="O276" s="266">
        <v>12</v>
      </c>
      <c r="P276" s="266">
        <v>12</v>
      </c>
      <c r="Q276" s="635"/>
      <c r="R276" s="634"/>
      <c r="S276" s="633"/>
      <c r="T276" s="27"/>
      <c r="U276" s="27"/>
      <c r="V276" s="27"/>
      <c r="W276" s="27"/>
      <c r="X276" s="27"/>
      <c r="Y276" s="27"/>
      <c r="Z276" s="27"/>
      <c r="AA276" s="27"/>
      <c r="AB276" s="27"/>
      <c r="AC276" s="27"/>
      <c r="AD276" s="27"/>
      <c r="AE276" s="27"/>
      <c r="AF276" s="27">
        <f>236000000-2000000</f>
        <v>234000000</v>
      </c>
      <c r="AG276" s="27">
        <v>150406659</v>
      </c>
      <c r="AH276" s="27">
        <v>150406659</v>
      </c>
      <c r="AI276" s="27"/>
      <c r="AJ276" s="27"/>
      <c r="AK276" s="27"/>
      <c r="AL276" s="27"/>
      <c r="AM276" s="27"/>
      <c r="AN276" s="27"/>
      <c r="AO276" s="27"/>
      <c r="AP276" s="27"/>
      <c r="AQ276" s="27"/>
      <c r="AR276" s="27"/>
      <c r="AS276" s="27"/>
      <c r="AT276" s="27"/>
      <c r="AU276" s="27"/>
      <c r="AV276" s="27"/>
      <c r="AW276" s="27"/>
      <c r="AX276" s="33"/>
      <c r="AY276" s="33"/>
      <c r="AZ276" s="33"/>
      <c r="BA276" s="27"/>
      <c r="BB276" s="27"/>
      <c r="BC276" s="27"/>
      <c r="BD276" s="27"/>
      <c r="BE276" s="27"/>
      <c r="BF276" s="27"/>
      <c r="BG276" s="177">
        <f t="shared" si="75"/>
        <v>234000000</v>
      </c>
      <c r="BH276" s="177">
        <f t="shared" si="75"/>
        <v>150406659</v>
      </c>
      <c r="BI276" s="177">
        <f t="shared" si="75"/>
        <v>150406659</v>
      </c>
      <c r="BK276" s="608"/>
    </row>
    <row r="277" spans="1:63" s="178" customFormat="1" ht="98.25" customHeight="1" x14ac:dyDescent="0.2">
      <c r="A277" s="386"/>
      <c r="B277" s="581"/>
      <c r="C277" s="583"/>
      <c r="D277" s="304"/>
      <c r="E277" s="577">
        <v>1903</v>
      </c>
      <c r="F277" s="579" t="s">
        <v>1443</v>
      </c>
      <c r="G277" s="577" t="s">
        <v>1023</v>
      </c>
      <c r="H277" s="577">
        <v>1903012</v>
      </c>
      <c r="I277" s="578" t="s">
        <v>1024</v>
      </c>
      <c r="J277" s="589" t="s">
        <v>1025</v>
      </c>
      <c r="K277" s="266">
        <v>190301200</v>
      </c>
      <c r="L277" s="578" t="s">
        <v>1026</v>
      </c>
      <c r="M277" s="266" t="s">
        <v>89</v>
      </c>
      <c r="N277" s="266">
        <v>4000</v>
      </c>
      <c r="O277" s="266">
        <v>4000</v>
      </c>
      <c r="P277" s="266">
        <v>16981</v>
      </c>
      <c r="Q277" s="636" t="s">
        <v>188</v>
      </c>
      <c r="R277" s="634" t="s">
        <v>1027</v>
      </c>
      <c r="S277" s="633" t="s">
        <v>1028</v>
      </c>
      <c r="T277" s="27"/>
      <c r="U277" s="27"/>
      <c r="V277" s="27"/>
      <c r="W277" s="27"/>
      <c r="X277" s="27"/>
      <c r="Y277" s="27"/>
      <c r="Z277" s="27"/>
      <c r="AA277" s="27"/>
      <c r="AB277" s="27"/>
      <c r="AC277" s="27"/>
      <c r="AD277" s="27"/>
      <c r="AE277" s="27"/>
      <c r="AF277" s="45">
        <f>803501477-19489759-11348333</f>
        <v>772663385</v>
      </c>
      <c r="AG277" s="45">
        <f>'[8]F-PLA-47 MP SALUD DIC'!$R$35+'[8]F-PLA-47 MP SALUD DIC'!$R$36</f>
        <v>494923240</v>
      </c>
      <c r="AH277" s="45">
        <f>'[8]F-PLA-47 MP SALUD DIC'!$S$35+'[8]F-PLA-47 MP SALUD DIC'!$S$36</f>
        <v>494923240</v>
      </c>
      <c r="AI277" s="45"/>
      <c r="AJ277" s="45"/>
      <c r="AK277" s="45"/>
      <c r="AL277" s="27"/>
      <c r="AM277" s="27"/>
      <c r="AN277" s="27"/>
      <c r="AO277" s="27"/>
      <c r="AP277" s="27"/>
      <c r="AQ277" s="27"/>
      <c r="AR277" s="27"/>
      <c r="AS277" s="27"/>
      <c r="AT277" s="27"/>
      <c r="AU277" s="27"/>
      <c r="AV277" s="27"/>
      <c r="AW277" s="27"/>
      <c r="AX277" s="33">
        <f>243062000-243062000</f>
        <v>0</v>
      </c>
      <c r="AY277" s="33"/>
      <c r="AZ277" s="33"/>
      <c r="BA277" s="27"/>
      <c r="BB277" s="27"/>
      <c r="BC277" s="27"/>
      <c r="BD277" s="27">
        <v>95200000</v>
      </c>
      <c r="BE277" s="27">
        <v>71664948</v>
      </c>
      <c r="BF277" s="27">
        <v>38586656</v>
      </c>
      <c r="BG277" s="177">
        <f t="shared" si="75"/>
        <v>867863385</v>
      </c>
      <c r="BH277" s="177">
        <f t="shared" si="75"/>
        <v>566588188</v>
      </c>
      <c r="BI277" s="177">
        <f t="shared" si="75"/>
        <v>533509896</v>
      </c>
      <c r="BK277" s="608"/>
    </row>
    <row r="278" spans="1:63" s="178" customFormat="1" ht="82.5" customHeight="1" x14ac:dyDescent="0.2">
      <c r="A278" s="386"/>
      <c r="B278" s="581"/>
      <c r="C278" s="583"/>
      <c r="D278" s="304"/>
      <c r="E278" s="577">
        <v>1903</v>
      </c>
      <c r="F278" s="579" t="s">
        <v>1029</v>
      </c>
      <c r="G278" s="577" t="s">
        <v>1030</v>
      </c>
      <c r="H278" s="577">
        <v>1903016</v>
      </c>
      <c r="I278" s="578" t="s">
        <v>1031</v>
      </c>
      <c r="J278" s="589" t="s">
        <v>1032</v>
      </c>
      <c r="K278" s="266">
        <v>190301600</v>
      </c>
      <c r="L278" s="271" t="s">
        <v>1033</v>
      </c>
      <c r="M278" s="266" t="s">
        <v>89</v>
      </c>
      <c r="N278" s="266">
        <v>240</v>
      </c>
      <c r="O278" s="266">
        <v>240</v>
      </c>
      <c r="P278" s="266">
        <v>120</v>
      </c>
      <c r="Q278" s="636"/>
      <c r="R278" s="634"/>
      <c r="S278" s="633"/>
      <c r="T278" s="27"/>
      <c r="U278" s="27"/>
      <c r="V278" s="27"/>
      <c r="W278" s="27"/>
      <c r="X278" s="27"/>
      <c r="Y278" s="27"/>
      <c r="Z278" s="27"/>
      <c r="AA278" s="27"/>
      <c r="AB278" s="27"/>
      <c r="AC278" s="27"/>
      <c r="AD278" s="27"/>
      <c r="AE278" s="27"/>
      <c r="AF278" s="45">
        <f>100000000+11348333</f>
        <v>111348333</v>
      </c>
      <c r="AG278" s="45">
        <v>39957933</v>
      </c>
      <c r="AH278" s="45">
        <v>39957933</v>
      </c>
      <c r="AI278" s="27"/>
      <c r="AJ278" s="27"/>
      <c r="AK278" s="27"/>
      <c r="AL278" s="27"/>
      <c r="AM278" s="27"/>
      <c r="AN278" s="27"/>
      <c r="AO278" s="27"/>
      <c r="AP278" s="27"/>
      <c r="AQ278" s="27"/>
      <c r="AR278" s="27"/>
      <c r="AS278" s="27"/>
      <c r="AT278" s="27"/>
      <c r="AU278" s="27"/>
      <c r="AV278" s="27"/>
      <c r="AW278" s="27"/>
      <c r="AX278" s="33"/>
      <c r="AY278" s="33"/>
      <c r="AZ278" s="33"/>
      <c r="BA278" s="27"/>
      <c r="BB278" s="27"/>
      <c r="BC278" s="27"/>
      <c r="BD278" s="27"/>
      <c r="BE278" s="27"/>
      <c r="BF278" s="27"/>
      <c r="BG278" s="177">
        <f t="shared" si="75"/>
        <v>111348333</v>
      </c>
      <c r="BH278" s="177">
        <f t="shared" si="75"/>
        <v>39957933</v>
      </c>
      <c r="BI278" s="177">
        <f t="shared" si="75"/>
        <v>39957933</v>
      </c>
      <c r="BK278" s="608"/>
    </row>
    <row r="279" spans="1:63" s="178" customFormat="1" ht="88.5" customHeight="1" x14ac:dyDescent="0.2">
      <c r="A279" s="386"/>
      <c r="B279" s="581"/>
      <c r="C279" s="583"/>
      <c r="D279" s="304"/>
      <c r="E279" s="577">
        <v>1903</v>
      </c>
      <c r="F279" s="579" t="s">
        <v>1008</v>
      </c>
      <c r="G279" s="278" t="s">
        <v>1009</v>
      </c>
      <c r="H279" s="577">
        <v>1903011</v>
      </c>
      <c r="I279" s="578" t="s">
        <v>1010</v>
      </c>
      <c r="J279" s="278" t="s">
        <v>1034</v>
      </c>
      <c r="K279" s="266">
        <v>190301101</v>
      </c>
      <c r="L279" s="578" t="s">
        <v>1035</v>
      </c>
      <c r="M279" s="266" t="s">
        <v>89</v>
      </c>
      <c r="N279" s="266">
        <v>12</v>
      </c>
      <c r="O279" s="266">
        <v>12</v>
      </c>
      <c r="P279" s="266">
        <v>10</v>
      </c>
      <c r="Q279" s="636"/>
      <c r="R279" s="634"/>
      <c r="S279" s="633"/>
      <c r="T279" s="27"/>
      <c r="U279" s="27"/>
      <c r="V279" s="27"/>
      <c r="W279" s="27"/>
      <c r="X279" s="27"/>
      <c r="Y279" s="27"/>
      <c r="Z279" s="27"/>
      <c r="AA279" s="27"/>
      <c r="AB279" s="27"/>
      <c r="AC279" s="27"/>
      <c r="AD279" s="27"/>
      <c r="AE279" s="27"/>
      <c r="AF279" s="45">
        <v>100000000</v>
      </c>
      <c r="AG279" s="45">
        <v>100000000</v>
      </c>
      <c r="AH279" s="45">
        <v>100000000</v>
      </c>
      <c r="AI279" s="27"/>
      <c r="AJ279" s="27"/>
      <c r="AK279" s="27"/>
      <c r="AL279" s="27"/>
      <c r="AM279" s="27"/>
      <c r="AN279" s="27"/>
      <c r="AO279" s="27"/>
      <c r="AP279" s="27"/>
      <c r="AQ279" s="27"/>
      <c r="AR279" s="27"/>
      <c r="AS279" s="27"/>
      <c r="AT279" s="27"/>
      <c r="AU279" s="27"/>
      <c r="AV279" s="27"/>
      <c r="AW279" s="27"/>
      <c r="AX279" s="33"/>
      <c r="AY279" s="33"/>
      <c r="AZ279" s="33"/>
      <c r="BA279" s="27"/>
      <c r="BB279" s="27"/>
      <c r="BC279" s="27"/>
      <c r="BD279" s="27"/>
      <c r="BE279" s="27"/>
      <c r="BF279" s="27"/>
      <c r="BG279" s="177">
        <f t="shared" si="75"/>
        <v>100000000</v>
      </c>
      <c r="BH279" s="177">
        <f t="shared" si="75"/>
        <v>100000000</v>
      </c>
      <c r="BI279" s="177">
        <f t="shared" si="75"/>
        <v>100000000</v>
      </c>
      <c r="BK279" s="608"/>
    </row>
    <row r="280" spans="1:63" s="178" customFormat="1" ht="66" customHeight="1" x14ac:dyDescent="0.2">
      <c r="A280" s="386"/>
      <c r="B280" s="581"/>
      <c r="C280" s="583"/>
      <c r="D280" s="304"/>
      <c r="E280" s="577">
        <v>1903</v>
      </c>
      <c r="F280" s="579" t="s">
        <v>1003</v>
      </c>
      <c r="G280" s="277" t="s">
        <v>1495</v>
      </c>
      <c r="H280" s="577">
        <v>1903031</v>
      </c>
      <c r="I280" s="578" t="s">
        <v>1036</v>
      </c>
      <c r="J280" s="277" t="s">
        <v>1037</v>
      </c>
      <c r="K280" s="266">
        <v>190303100</v>
      </c>
      <c r="L280" s="279" t="s">
        <v>1038</v>
      </c>
      <c r="M280" s="266" t="s">
        <v>89</v>
      </c>
      <c r="N280" s="266">
        <v>12</v>
      </c>
      <c r="O280" s="266">
        <v>12</v>
      </c>
      <c r="P280" s="266">
        <v>12</v>
      </c>
      <c r="Q280" s="579" t="s">
        <v>188</v>
      </c>
      <c r="R280" s="577" t="s">
        <v>1039</v>
      </c>
      <c r="S280" s="578" t="s">
        <v>1040</v>
      </c>
      <c r="T280" s="27"/>
      <c r="U280" s="27"/>
      <c r="V280" s="27"/>
      <c r="W280" s="27"/>
      <c r="X280" s="27"/>
      <c r="Y280" s="27"/>
      <c r="Z280" s="27"/>
      <c r="AA280" s="27"/>
      <c r="AB280" s="27"/>
      <c r="AC280" s="27"/>
      <c r="AD280" s="27"/>
      <c r="AE280" s="27"/>
      <c r="AF280" s="45">
        <f>400000000-20000000</f>
        <v>380000000</v>
      </c>
      <c r="AG280" s="45">
        <v>204266659</v>
      </c>
      <c r="AH280" s="45">
        <v>204266659</v>
      </c>
      <c r="AI280" s="27"/>
      <c r="AJ280" s="27"/>
      <c r="AK280" s="27"/>
      <c r="AL280" s="27"/>
      <c r="AM280" s="27"/>
      <c r="AN280" s="27"/>
      <c r="AO280" s="27"/>
      <c r="AP280" s="27"/>
      <c r="AQ280" s="27"/>
      <c r="AR280" s="27"/>
      <c r="AS280" s="27"/>
      <c r="AT280" s="27"/>
      <c r="AU280" s="27"/>
      <c r="AV280" s="27"/>
      <c r="AW280" s="27"/>
      <c r="AX280" s="33"/>
      <c r="AY280" s="33"/>
      <c r="AZ280" s="33"/>
      <c r="BA280" s="27"/>
      <c r="BB280" s="27"/>
      <c r="BC280" s="27"/>
      <c r="BD280" s="27">
        <v>256000000</v>
      </c>
      <c r="BE280" s="27">
        <v>227502418</v>
      </c>
      <c r="BF280" s="27">
        <v>227502418</v>
      </c>
      <c r="BG280" s="177">
        <f t="shared" si="75"/>
        <v>636000000</v>
      </c>
      <c r="BH280" s="177">
        <f t="shared" si="75"/>
        <v>431769077</v>
      </c>
      <c r="BI280" s="177">
        <f t="shared" si="75"/>
        <v>431769077</v>
      </c>
      <c r="BK280" s="608"/>
    </row>
    <row r="281" spans="1:63" s="178" customFormat="1" ht="77.25" customHeight="1" x14ac:dyDescent="0.2">
      <c r="A281" s="386"/>
      <c r="B281" s="581"/>
      <c r="C281" s="346"/>
      <c r="D281" s="577"/>
      <c r="E281" s="577">
        <v>1903</v>
      </c>
      <c r="F281" s="579" t="s">
        <v>1008</v>
      </c>
      <c r="G281" s="577" t="s">
        <v>1041</v>
      </c>
      <c r="H281" s="577">
        <v>1903034</v>
      </c>
      <c r="I281" s="578" t="s">
        <v>358</v>
      </c>
      <c r="J281" s="589" t="s">
        <v>1042</v>
      </c>
      <c r="K281" s="266">
        <v>190303400</v>
      </c>
      <c r="L281" s="578" t="s">
        <v>1043</v>
      </c>
      <c r="M281" s="266" t="s">
        <v>89</v>
      </c>
      <c r="N281" s="266">
        <v>12</v>
      </c>
      <c r="O281" s="266">
        <v>12</v>
      </c>
      <c r="P281" s="266">
        <v>12</v>
      </c>
      <c r="Q281" s="579" t="s">
        <v>188</v>
      </c>
      <c r="R281" s="577" t="s">
        <v>1044</v>
      </c>
      <c r="S281" s="578" t="s">
        <v>1045</v>
      </c>
      <c r="T281" s="27"/>
      <c r="U281" s="27"/>
      <c r="V281" s="27"/>
      <c r="W281" s="27"/>
      <c r="X281" s="27"/>
      <c r="Y281" s="27"/>
      <c r="Z281" s="27"/>
      <c r="AA281" s="27"/>
      <c r="AB281" s="27"/>
      <c r="AC281" s="27"/>
      <c r="AD281" s="27"/>
      <c r="AE281" s="27"/>
      <c r="AF281" s="27"/>
      <c r="AG281" s="27"/>
      <c r="AH281" s="27"/>
      <c r="AI281" s="45"/>
      <c r="AJ281" s="45"/>
      <c r="AK281" s="45"/>
      <c r="AL281" s="27"/>
      <c r="AM281" s="27"/>
      <c r="AN281" s="27"/>
      <c r="AO281" s="27"/>
      <c r="AP281" s="27"/>
      <c r="AQ281" s="27"/>
      <c r="AR281" s="27"/>
      <c r="AS281" s="27"/>
      <c r="AT281" s="27"/>
      <c r="AU281" s="27"/>
      <c r="AV281" s="27"/>
      <c r="AW281" s="27"/>
      <c r="AX281" s="33">
        <v>96954000</v>
      </c>
      <c r="AY281" s="33">
        <v>56840000</v>
      </c>
      <c r="AZ281" s="33">
        <v>56840000</v>
      </c>
      <c r="BA281" s="27"/>
      <c r="BB281" s="27"/>
      <c r="BC281" s="27"/>
      <c r="BD281" s="27"/>
      <c r="BE281" s="27"/>
      <c r="BF281" s="27"/>
      <c r="BG281" s="177">
        <f t="shared" si="75"/>
        <v>96954000</v>
      </c>
      <c r="BH281" s="177">
        <f t="shared" si="75"/>
        <v>56840000</v>
      </c>
      <c r="BI281" s="177">
        <f t="shared" si="75"/>
        <v>56840000</v>
      </c>
      <c r="BK281" s="608"/>
    </row>
    <row r="282" spans="1:63" s="178" customFormat="1" ht="75" customHeight="1" x14ac:dyDescent="0.2">
      <c r="A282" s="386"/>
      <c r="B282" s="581"/>
      <c r="C282" s="346"/>
      <c r="D282" s="577"/>
      <c r="E282" s="577">
        <v>1903</v>
      </c>
      <c r="F282" s="579" t="s">
        <v>1444</v>
      </c>
      <c r="G282" s="277" t="s">
        <v>1494</v>
      </c>
      <c r="H282" s="577">
        <v>1903045</v>
      </c>
      <c r="I282" s="578" t="s">
        <v>1046</v>
      </c>
      <c r="J282" s="277" t="s">
        <v>1047</v>
      </c>
      <c r="K282" s="266">
        <v>190304500</v>
      </c>
      <c r="L282" s="271" t="s">
        <v>1048</v>
      </c>
      <c r="M282" s="266" t="s">
        <v>179</v>
      </c>
      <c r="N282" s="266">
        <v>2900</v>
      </c>
      <c r="O282" s="266">
        <v>60</v>
      </c>
      <c r="P282" s="266">
        <v>57</v>
      </c>
      <c r="Q282" s="636" t="s">
        <v>188</v>
      </c>
      <c r="R282" s="634" t="s">
        <v>1049</v>
      </c>
      <c r="S282" s="633" t="s">
        <v>1050</v>
      </c>
      <c r="T282" s="27"/>
      <c r="U282" s="27"/>
      <c r="V282" s="27"/>
      <c r="W282" s="27"/>
      <c r="X282" s="27"/>
      <c r="Y282" s="27"/>
      <c r="Z282" s="27"/>
      <c r="AA282" s="27"/>
      <c r="AB282" s="27"/>
      <c r="AC282" s="27"/>
      <c r="AD282" s="27"/>
      <c r="AE282" s="27"/>
      <c r="AF282" s="27"/>
      <c r="AG282" s="27"/>
      <c r="AH282" s="27"/>
      <c r="AI282" s="45"/>
      <c r="AJ282" s="45"/>
      <c r="AK282" s="45"/>
      <c r="AL282" s="27"/>
      <c r="AM282" s="27"/>
      <c r="AN282" s="27"/>
      <c r="AO282" s="27"/>
      <c r="AP282" s="27"/>
      <c r="AQ282" s="27"/>
      <c r="AR282" s="27"/>
      <c r="AS282" s="27"/>
      <c r="AT282" s="27"/>
      <c r="AU282" s="27"/>
      <c r="AV282" s="27"/>
      <c r="AW282" s="27"/>
      <c r="AX282" s="33">
        <f>19636000-7560000+15000000+7560000</f>
        <v>34636000</v>
      </c>
      <c r="AY282" s="33">
        <v>24714666</v>
      </c>
      <c r="AZ282" s="33">
        <v>24714666</v>
      </c>
      <c r="BA282" s="27"/>
      <c r="BB282" s="27"/>
      <c r="BC282" s="27"/>
      <c r="BD282" s="27"/>
      <c r="BE282" s="27"/>
      <c r="BF282" s="27"/>
      <c r="BG282" s="177">
        <f>+T282+W282+Z282+AC282+AF282+AI282+AL282+AO282+AR282+AU282+AX282+BA282+BD282</f>
        <v>34636000</v>
      </c>
      <c r="BH282" s="177">
        <f t="shared" si="75"/>
        <v>24714666</v>
      </c>
      <c r="BI282" s="177">
        <f t="shared" si="75"/>
        <v>24714666</v>
      </c>
      <c r="BK282" s="608"/>
    </row>
    <row r="283" spans="1:63" s="178" customFormat="1" ht="99.75" customHeight="1" x14ac:dyDescent="0.2">
      <c r="A283" s="386"/>
      <c r="B283" s="581"/>
      <c r="C283" s="346"/>
      <c r="D283" s="577"/>
      <c r="E283" s="577">
        <v>1903</v>
      </c>
      <c r="F283" s="579" t="s">
        <v>1442</v>
      </c>
      <c r="G283" s="278" t="s">
        <v>1013</v>
      </c>
      <c r="H283" s="577">
        <v>1903001</v>
      </c>
      <c r="I283" s="578" t="s">
        <v>580</v>
      </c>
      <c r="J283" s="278" t="s">
        <v>1014</v>
      </c>
      <c r="K283" s="266">
        <v>190300100</v>
      </c>
      <c r="L283" s="271" t="s">
        <v>1015</v>
      </c>
      <c r="M283" s="266" t="s">
        <v>89</v>
      </c>
      <c r="N283" s="266">
        <v>1</v>
      </c>
      <c r="O283" s="577">
        <v>1</v>
      </c>
      <c r="P283" s="577">
        <v>1</v>
      </c>
      <c r="Q283" s="636"/>
      <c r="R283" s="634"/>
      <c r="S283" s="633"/>
      <c r="T283" s="27"/>
      <c r="U283" s="27"/>
      <c r="V283" s="27"/>
      <c r="W283" s="27"/>
      <c r="X283" s="27"/>
      <c r="Y283" s="27"/>
      <c r="Z283" s="27"/>
      <c r="AA283" s="27"/>
      <c r="AB283" s="27"/>
      <c r="AC283" s="27"/>
      <c r="AD283" s="27"/>
      <c r="AE283" s="27"/>
      <c r="AF283" s="27"/>
      <c r="AG283" s="27"/>
      <c r="AH283" s="27"/>
      <c r="AI283" s="45"/>
      <c r="AJ283" s="45"/>
      <c r="AK283" s="45"/>
      <c r="AL283" s="27"/>
      <c r="AM283" s="27"/>
      <c r="AN283" s="27"/>
      <c r="AO283" s="27"/>
      <c r="AP283" s="27"/>
      <c r="AQ283" s="27"/>
      <c r="AR283" s="27"/>
      <c r="AS283" s="27"/>
      <c r="AT283" s="27"/>
      <c r="AU283" s="27"/>
      <c r="AV283" s="27"/>
      <c r="AW283" s="27"/>
      <c r="AX283" s="33"/>
      <c r="AY283" s="33"/>
      <c r="AZ283" s="33"/>
      <c r="BA283" s="27"/>
      <c r="BB283" s="27"/>
      <c r="BC283" s="27"/>
      <c r="BD283" s="27"/>
      <c r="BE283" s="27"/>
      <c r="BF283" s="27"/>
      <c r="BG283" s="177">
        <f t="shared" si="75"/>
        <v>0</v>
      </c>
      <c r="BH283" s="177">
        <f t="shared" si="75"/>
        <v>0</v>
      </c>
      <c r="BI283" s="177">
        <f t="shared" si="75"/>
        <v>0</v>
      </c>
      <c r="BK283" s="608"/>
    </row>
    <row r="284" spans="1:63" s="178" customFormat="1" ht="71.25" customHeight="1" x14ac:dyDescent="0.2">
      <c r="A284" s="386"/>
      <c r="B284" s="581"/>
      <c r="C284" s="346"/>
      <c r="D284" s="577"/>
      <c r="E284" s="577">
        <v>1903</v>
      </c>
      <c r="F284" s="279" t="s">
        <v>1051</v>
      </c>
      <c r="G284" s="278" t="s">
        <v>1052</v>
      </c>
      <c r="H284" s="266">
        <v>1903010</v>
      </c>
      <c r="I284" s="279" t="s">
        <v>1053</v>
      </c>
      <c r="J284" s="278" t="s">
        <v>1054</v>
      </c>
      <c r="K284" s="266">
        <v>190301000</v>
      </c>
      <c r="L284" s="279" t="s">
        <v>1055</v>
      </c>
      <c r="M284" s="266" t="s">
        <v>89</v>
      </c>
      <c r="N284" s="266">
        <v>12</v>
      </c>
      <c r="O284" s="266">
        <v>12</v>
      </c>
      <c r="P284" s="266">
        <v>12</v>
      </c>
      <c r="Q284" s="636"/>
      <c r="R284" s="634"/>
      <c r="S284" s="633"/>
      <c r="T284" s="27"/>
      <c r="U284" s="27"/>
      <c r="V284" s="27"/>
      <c r="W284" s="27"/>
      <c r="X284" s="27"/>
      <c r="Y284" s="27"/>
      <c r="Z284" s="27"/>
      <c r="AA284" s="27"/>
      <c r="AB284" s="27"/>
      <c r="AC284" s="27"/>
      <c r="AD284" s="27"/>
      <c r="AE284" s="27"/>
      <c r="AF284" s="27"/>
      <c r="AG284" s="27"/>
      <c r="AH284" s="27"/>
      <c r="AI284" s="45"/>
      <c r="AJ284" s="45"/>
      <c r="AK284" s="45"/>
      <c r="AL284" s="27"/>
      <c r="AM284" s="27"/>
      <c r="AN284" s="27"/>
      <c r="AO284" s="27"/>
      <c r="AP284" s="27"/>
      <c r="AQ284" s="27"/>
      <c r="AR284" s="27"/>
      <c r="AS284" s="27"/>
      <c r="AT284" s="27"/>
      <c r="AU284" s="27"/>
      <c r="AV284" s="27"/>
      <c r="AW284" s="27"/>
      <c r="AX284" s="33">
        <v>15000000</v>
      </c>
      <c r="AY284" s="33">
        <v>14200000</v>
      </c>
      <c r="AZ284" s="33">
        <v>14200000</v>
      </c>
      <c r="BA284" s="27"/>
      <c r="BB284" s="27"/>
      <c r="BC284" s="27"/>
      <c r="BD284" s="27"/>
      <c r="BE284" s="27"/>
      <c r="BF284" s="27"/>
      <c r="BG284" s="177">
        <f t="shared" si="75"/>
        <v>15000000</v>
      </c>
      <c r="BH284" s="177">
        <f t="shared" si="75"/>
        <v>14200000</v>
      </c>
      <c r="BI284" s="177">
        <f t="shared" si="75"/>
        <v>14200000</v>
      </c>
      <c r="BK284" s="608"/>
    </row>
    <row r="285" spans="1:63" s="178" customFormat="1" ht="71.25" customHeight="1" x14ac:dyDescent="0.2">
      <c r="A285" s="386"/>
      <c r="B285" s="581"/>
      <c r="C285" s="583"/>
      <c r="D285" s="577"/>
      <c r="E285" s="577">
        <v>1903</v>
      </c>
      <c r="F285" s="579" t="s">
        <v>1056</v>
      </c>
      <c r="G285" s="278" t="s">
        <v>1009</v>
      </c>
      <c r="H285" s="577">
        <v>1903011</v>
      </c>
      <c r="I285" s="578" t="s">
        <v>1010</v>
      </c>
      <c r="J285" s="278" t="s">
        <v>1034</v>
      </c>
      <c r="K285" s="266">
        <v>190301101</v>
      </c>
      <c r="L285" s="578" t="s">
        <v>1035</v>
      </c>
      <c r="M285" s="266" t="s">
        <v>89</v>
      </c>
      <c r="N285" s="266">
        <v>12</v>
      </c>
      <c r="O285" s="266">
        <v>12</v>
      </c>
      <c r="P285" s="266">
        <v>8</v>
      </c>
      <c r="Q285" s="636"/>
      <c r="R285" s="634"/>
      <c r="S285" s="633"/>
      <c r="T285" s="27"/>
      <c r="U285" s="27"/>
      <c r="V285" s="27"/>
      <c r="W285" s="27"/>
      <c r="X285" s="27"/>
      <c r="Y285" s="27"/>
      <c r="Z285" s="27"/>
      <c r="AA285" s="27"/>
      <c r="AB285" s="27"/>
      <c r="AC285" s="27"/>
      <c r="AD285" s="27"/>
      <c r="AE285" s="27"/>
      <c r="AF285" s="27"/>
      <c r="AG285" s="27"/>
      <c r="AH285" s="27"/>
      <c r="AI285" s="45"/>
      <c r="AJ285" s="45"/>
      <c r="AK285" s="45"/>
      <c r="AL285" s="27"/>
      <c r="AM285" s="27"/>
      <c r="AN285" s="27"/>
      <c r="AO285" s="27"/>
      <c r="AP285" s="27"/>
      <c r="AQ285" s="27"/>
      <c r="AR285" s="27"/>
      <c r="AS285" s="27"/>
      <c r="AT285" s="27"/>
      <c r="AU285" s="27"/>
      <c r="AV285" s="27"/>
      <c r="AW285" s="27"/>
      <c r="AX285" s="33">
        <v>15000000</v>
      </c>
      <c r="AY285" s="33">
        <v>14800000</v>
      </c>
      <c r="AZ285" s="33">
        <v>14800000</v>
      </c>
      <c r="BA285" s="27"/>
      <c r="BB285" s="27"/>
      <c r="BC285" s="27"/>
      <c r="BD285" s="27"/>
      <c r="BE285" s="27"/>
      <c r="BF285" s="27"/>
      <c r="BG285" s="177">
        <f t="shared" si="75"/>
        <v>15000000</v>
      </c>
      <c r="BH285" s="177">
        <f t="shared" si="75"/>
        <v>14800000</v>
      </c>
      <c r="BI285" s="177">
        <f t="shared" si="75"/>
        <v>14800000</v>
      </c>
      <c r="BK285" s="608"/>
    </row>
    <row r="286" spans="1:63" s="178" customFormat="1" ht="66" customHeight="1" x14ac:dyDescent="0.2">
      <c r="A286" s="386"/>
      <c r="B286" s="581"/>
      <c r="C286" s="346"/>
      <c r="D286" s="577"/>
      <c r="E286" s="577">
        <v>1903</v>
      </c>
      <c r="F286" s="579" t="s">
        <v>1057</v>
      </c>
      <c r="G286" s="277" t="s">
        <v>1058</v>
      </c>
      <c r="H286" s="577">
        <v>1903047</v>
      </c>
      <c r="I286" s="578" t="s">
        <v>1059</v>
      </c>
      <c r="J286" s="277" t="s">
        <v>1060</v>
      </c>
      <c r="K286" s="266">
        <v>190304701</v>
      </c>
      <c r="L286" s="271" t="s">
        <v>1061</v>
      </c>
      <c r="M286" s="266" t="s">
        <v>89</v>
      </c>
      <c r="N286" s="266">
        <v>1</v>
      </c>
      <c r="O286" s="266">
        <v>1</v>
      </c>
      <c r="P286" s="266">
        <v>1</v>
      </c>
      <c r="Q286" s="636" t="s">
        <v>188</v>
      </c>
      <c r="R286" s="634" t="s">
        <v>1062</v>
      </c>
      <c r="S286" s="633" t="s">
        <v>1063</v>
      </c>
      <c r="T286" s="27"/>
      <c r="U286" s="27"/>
      <c r="V286" s="27"/>
      <c r="W286" s="27"/>
      <c r="X286" s="27"/>
      <c r="Y286" s="27"/>
      <c r="Z286" s="27"/>
      <c r="AA286" s="27"/>
      <c r="AB286" s="27"/>
      <c r="AC286" s="27"/>
      <c r="AD286" s="27"/>
      <c r="AE286" s="27"/>
      <c r="AF286" s="27"/>
      <c r="AG286" s="27"/>
      <c r="AH286" s="27"/>
      <c r="AI286" s="585">
        <v>20000000</v>
      </c>
      <c r="AJ286" s="585">
        <v>3871334</v>
      </c>
      <c r="AK286" s="585">
        <v>3871334</v>
      </c>
      <c r="AL286" s="27"/>
      <c r="AM286" s="27"/>
      <c r="AN286" s="27"/>
      <c r="AO286" s="27"/>
      <c r="AP286" s="27"/>
      <c r="AQ286" s="27"/>
      <c r="AR286" s="27"/>
      <c r="AS286" s="27"/>
      <c r="AT286" s="27"/>
      <c r="AU286" s="27"/>
      <c r="AV286" s="27"/>
      <c r="AW286" s="27"/>
      <c r="AX286" s="33"/>
      <c r="AY286" s="33"/>
      <c r="AZ286" s="33"/>
      <c r="BA286" s="27"/>
      <c r="BB286" s="27"/>
      <c r="BC286" s="27"/>
      <c r="BD286" s="27"/>
      <c r="BE286" s="27"/>
      <c r="BF286" s="27"/>
      <c r="BG286" s="177">
        <f t="shared" si="75"/>
        <v>20000000</v>
      </c>
      <c r="BH286" s="177">
        <f t="shared" si="75"/>
        <v>3871334</v>
      </c>
      <c r="BI286" s="177">
        <f t="shared" si="75"/>
        <v>3871334</v>
      </c>
      <c r="BK286" s="608"/>
    </row>
    <row r="287" spans="1:63" s="178" customFormat="1" ht="102" customHeight="1" x14ac:dyDescent="0.2">
      <c r="A287" s="386"/>
      <c r="B287" s="581"/>
      <c r="C287" s="346"/>
      <c r="D287" s="577"/>
      <c r="E287" s="577">
        <v>1903</v>
      </c>
      <c r="F287" s="579" t="s">
        <v>1064</v>
      </c>
      <c r="G287" s="278" t="s">
        <v>1065</v>
      </c>
      <c r="H287" s="577">
        <v>1903019</v>
      </c>
      <c r="I287" s="578" t="s">
        <v>1066</v>
      </c>
      <c r="J287" s="278" t="s">
        <v>1067</v>
      </c>
      <c r="K287" s="266">
        <v>190301900</v>
      </c>
      <c r="L287" s="279" t="s">
        <v>1068</v>
      </c>
      <c r="M287" s="266" t="s">
        <v>89</v>
      </c>
      <c r="N287" s="266">
        <v>75</v>
      </c>
      <c r="O287" s="266">
        <v>75</v>
      </c>
      <c r="P287" s="266">
        <v>60</v>
      </c>
      <c r="Q287" s="636"/>
      <c r="R287" s="634"/>
      <c r="S287" s="633"/>
      <c r="T287" s="27"/>
      <c r="U287" s="27"/>
      <c r="V287" s="27"/>
      <c r="W287" s="27"/>
      <c r="X287" s="27"/>
      <c r="Y287" s="27"/>
      <c r="Z287" s="27"/>
      <c r="AA287" s="27"/>
      <c r="AB287" s="27"/>
      <c r="AC287" s="27"/>
      <c r="AD287" s="27"/>
      <c r="AE287" s="27"/>
      <c r="AF287" s="27"/>
      <c r="AG287" s="27"/>
      <c r="AH287" s="27"/>
      <c r="AI287" s="585">
        <f>90000000-78800000</f>
        <v>11200000</v>
      </c>
      <c r="AJ287" s="585"/>
      <c r="AK287" s="585"/>
      <c r="AL287" s="27"/>
      <c r="AM287" s="27"/>
      <c r="AN287" s="27"/>
      <c r="AO287" s="27"/>
      <c r="AP287" s="27"/>
      <c r="AQ287" s="27"/>
      <c r="AR287" s="27"/>
      <c r="AS287" s="27"/>
      <c r="AT287" s="27"/>
      <c r="AU287" s="27"/>
      <c r="AV287" s="27"/>
      <c r="AW287" s="27"/>
      <c r="AX287" s="33"/>
      <c r="AY287" s="33"/>
      <c r="AZ287" s="33"/>
      <c r="BA287" s="27"/>
      <c r="BB287" s="27"/>
      <c r="BC287" s="27"/>
      <c r="BD287" s="27"/>
      <c r="BE287" s="27"/>
      <c r="BF287" s="27"/>
      <c r="BG287" s="177">
        <f t="shared" si="75"/>
        <v>11200000</v>
      </c>
      <c r="BH287" s="177">
        <f t="shared" si="75"/>
        <v>0</v>
      </c>
      <c r="BI287" s="177">
        <f t="shared" si="75"/>
        <v>0</v>
      </c>
      <c r="BK287" s="608"/>
    </row>
    <row r="288" spans="1:63" s="178" customFormat="1" ht="47.25" customHeight="1" x14ac:dyDescent="0.2">
      <c r="A288" s="386"/>
      <c r="B288" s="581"/>
      <c r="C288" s="346"/>
      <c r="D288" s="577"/>
      <c r="E288" s="577">
        <v>1903</v>
      </c>
      <c r="F288" s="579" t="s">
        <v>1069</v>
      </c>
      <c r="G288" s="577" t="s">
        <v>1493</v>
      </c>
      <c r="H288" s="577">
        <v>1903028</v>
      </c>
      <c r="I288" s="578" t="s">
        <v>1070</v>
      </c>
      <c r="J288" s="589" t="s">
        <v>1071</v>
      </c>
      <c r="K288" s="266">
        <v>190302800</v>
      </c>
      <c r="L288" s="578" t="s">
        <v>1072</v>
      </c>
      <c r="M288" s="266" t="s">
        <v>89</v>
      </c>
      <c r="N288" s="266">
        <v>250</v>
      </c>
      <c r="O288" s="266">
        <v>250</v>
      </c>
      <c r="P288" s="266">
        <v>250</v>
      </c>
      <c r="Q288" s="636"/>
      <c r="R288" s="634"/>
      <c r="S288" s="633"/>
      <c r="T288" s="27"/>
      <c r="U288" s="27"/>
      <c r="V288" s="27"/>
      <c r="W288" s="27"/>
      <c r="X288" s="27"/>
      <c r="Y288" s="27"/>
      <c r="Z288" s="27"/>
      <c r="AA288" s="27"/>
      <c r="AB288" s="27"/>
      <c r="AC288" s="27"/>
      <c r="AD288" s="27"/>
      <c r="AE288" s="27"/>
      <c r="AF288" s="27"/>
      <c r="AG288" s="27"/>
      <c r="AH288" s="27"/>
      <c r="AI288" s="585">
        <f>20000000-6000000</f>
        <v>14000000</v>
      </c>
      <c r="AJ288" s="585"/>
      <c r="AK288" s="585"/>
      <c r="AL288" s="27"/>
      <c r="AM288" s="27"/>
      <c r="AN288" s="27"/>
      <c r="AO288" s="27"/>
      <c r="AP288" s="27"/>
      <c r="AQ288" s="27"/>
      <c r="AR288" s="27"/>
      <c r="AS288" s="27"/>
      <c r="AT288" s="27"/>
      <c r="AU288" s="27"/>
      <c r="AV288" s="27"/>
      <c r="AW288" s="27"/>
      <c r="AX288" s="33"/>
      <c r="AY288" s="33"/>
      <c r="AZ288" s="33"/>
      <c r="BA288" s="27"/>
      <c r="BB288" s="27"/>
      <c r="BC288" s="27"/>
      <c r="BD288" s="27"/>
      <c r="BE288" s="27"/>
      <c r="BF288" s="27"/>
      <c r="BG288" s="177">
        <f t="shared" si="75"/>
        <v>14000000</v>
      </c>
      <c r="BH288" s="177">
        <f t="shared" si="75"/>
        <v>0</v>
      </c>
      <c r="BI288" s="177">
        <f t="shared" si="75"/>
        <v>0</v>
      </c>
      <c r="BK288" s="608"/>
    </row>
    <row r="289" spans="1:63" s="178" customFormat="1" ht="85.5" customHeight="1" x14ac:dyDescent="0.2">
      <c r="A289" s="386"/>
      <c r="B289" s="581"/>
      <c r="C289" s="346"/>
      <c r="D289" s="577"/>
      <c r="E289" s="577">
        <v>1903</v>
      </c>
      <c r="F289" s="579" t="s">
        <v>1018</v>
      </c>
      <c r="G289" s="277" t="s">
        <v>1073</v>
      </c>
      <c r="H289" s="577">
        <v>1903025</v>
      </c>
      <c r="I289" s="578" t="s">
        <v>1074</v>
      </c>
      <c r="J289" s="277" t="s">
        <v>1075</v>
      </c>
      <c r="K289" s="266">
        <v>190302500</v>
      </c>
      <c r="L289" s="271" t="s">
        <v>1076</v>
      </c>
      <c r="M289" s="586" t="s">
        <v>89</v>
      </c>
      <c r="N289" s="577">
        <v>12</v>
      </c>
      <c r="O289" s="577">
        <v>12</v>
      </c>
      <c r="P289" s="577">
        <v>12</v>
      </c>
      <c r="Q289" s="636"/>
      <c r="R289" s="634"/>
      <c r="S289" s="633"/>
      <c r="T289" s="27"/>
      <c r="U289" s="27"/>
      <c r="V289" s="27"/>
      <c r="W289" s="27"/>
      <c r="X289" s="27"/>
      <c r="Y289" s="27"/>
      <c r="Z289" s="27"/>
      <c r="AA289" s="27"/>
      <c r="AB289" s="27"/>
      <c r="AC289" s="27"/>
      <c r="AD289" s="27"/>
      <c r="AE289" s="27"/>
      <c r="AF289" s="27"/>
      <c r="AG289" s="27"/>
      <c r="AH289" s="27"/>
      <c r="AI289" s="585">
        <f>20000000+84800000</f>
        <v>104800000</v>
      </c>
      <c r="AJ289" s="585">
        <v>33715333</v>
      </c>
      <c r="AK289" s="585">
        <v>33715333</v>
      </c>
      <c r="AL289" s="27"/>
      <c r="AM289" s="27"/>
      <c r="AN289" s="27"/>
      <c r="AO289" s="27"/>
      <c r="AP289" s="27"/>
      <c r="AQ289" s="27"/>
      <c r="AR289" s="27"/>
      <c r="AS289" s="27"/>
      <c r="AT289" s="27"/>
      <c r="AU289" s="27"/>
      <c r="AV289" s="27"/>
      <c r="AW289" s="27"/>
      <c r="AX289" s="33"/>
      <c r="AY289" s="33"/>
      <c r="AZ289" s="33"/>
      <c r="BA289" s="27"/>
      <c r="BB289" s="27"/>
      <c r="BC289" s="27"/>
      <c r="BD289" s="27"/>
      <c r="BE289" s="27"/>
      <c r="BF289" s="27"/>
      <c r="BG289" s="177">
        <f t="shared" si="75"/>
        <v>104800000</v>
      </c>
      <c r="BH289" s="177">
        <f t="shared" si="75"/>
        <v>33715333</v>
      </c>
      <c r="BI289" s="177">
        <f t="shared" si="75"/>
        <v>33715333</v>
      </c>
      <c r="BK289" s="608"/>
    </row>
    <row r="290" spans="1:63" ht="21.75" customHeight="1" x14ac:dyDescent="0.2">
      <c r="A290" s="377"/>
      <c r="B290" s="380"/>
      <c r="C290" s="171">
        <v>12</v>
      </c>
      <c r="D290" s="146">
        <v>1905</v>
      </c>
      <c r="E290" s="308" t="s">
        <v>797</v>
      </c>
      <c r="F290" s="145"/>
      <c r="G290" s="146"/>
      <c r="H290" s="147"/>
      <c r="I290" s="145"/>
      <c r="J290" s="146"/>
      <c r="K290" s="146"/>
      <c r="L290" s="145"/>
      <c r="M290" s="148"/>
      <c r="N290" s="148"/>
      <c r="O290" s="146"/>
      <c r="P290" s="146"/>
      <c r="Q290" s="149"/>
      <c r="R290" s="146"/>
      <c r="S290" s="145"/>
      <c r="T290" s="300">
        <f>SUM(T291:T320)</f>
        <v>0</v>
      </c>
      <c r="U290" s="300"/>
      <c r="V290" s="300"/>
      <c r="W290" s="300">
        <f t="shared" ref="W290:BF290" si="76">SUM(W291:W320)</f>
        <v>0</v>
      </c>
      <c r="X290" s="300"/>
      <c r="Y290" s="300"/>
      <c r="Z290" s="300">
        <f t="shared" si="76"/>
        <v>0</v>
      </c>
      <c r="AA290" s="300"/>
      <c r="AB290" s="300"/>
      <c r="AC290" s="300">
        <f t="shared" si="76"/>
        <v>0</v>
      </c>
      <c r="AD290" s="300"/>
      <c r="AE290" s="300"/>
      <c r="AF290" s="300">
        <f t="shared" si="76"/>
        <v>2565952214.6300001</v>
      </c>
      <c r="AG290" s="300">
        <f t="shared" si="76"/>
        <v>1714138484</v>
      </c>
      <c r="AH290" s="300">
        <f t="shared" si="76"/>
        <v>1625531818</v>
      </c>
      <c r="AI290" s="300">
        <f t="shared" si="76"/>
        <v>0</v>
      </c>
      <c r="AJ290" s="300"/>
      <c r="AK290" s="300"/>
      <c r="AL290" s="300">
        <f t="shared" si="76"/>
        <v>0</v>
      </c>
      <c r="AM290" s="300"/>
      <c r="AN290" s="300"/>
      <c r="AO290" s="300">
        <f t="shared" si="76"/>
        <v>0</v>
      </c>
      <c r="AP290" s="300"/>
      <c r="AQ290" s="300"/>
      <c r="AR290" s="300">
        <f t="shared" si="76"/>
        <v>0</v>
      </c>
      <c r="AS290" s="300"/>
      <c r="AT290" s="300"/>
      <c r="AU290" s="300">
        <f t="shared" si="76"/>
        <v>0</v>
      </c>
      <c r="AV290" s="300"/>
      <c r="AW290" s="300"/>
      <c r="AX290" s="300">
        <f t="shared" si="76"/>
        <v>3524870740</v>
      </c>
      <c r="AY290" s="300">
        <f t="shared" si="76"/>
        <v>2398595382.3299999</v>
      </c>
      <c r="AZ290" s="300">
        <f t="shared" si="76"/>
        <v>1986920037.3299999</v>
      </c>
      <c r="BA290" s="300">
        <f t="shared" si="76"/>
        <v>0</v>
      </c>
      <c r="BB290" s="300"/>
      <c r="BC290" s="300"/>
      <c r="BD290" s="300">
        <f t="shared" si="76"/>
        <v>382592941.61000001</v>
      </c>
      <c r="BE290" s="300">
        <f t="shared" si="76"/>
        <v>280371483</v>
      </c>
      <c r="BF290" s="300">
        <f t="shared" si="76"/>
        <v>280371483</v>
      </c>
      <c r="BG290" s="300">
        <f>SUM(BG291:BG320)</f>
        <v>6473415896.2400007</v>
      </c>
      <c r="BH290" s="300">
        <f>SUM(BH291:BH320)</f>
        <v>4393105349.3299999</v>
      </c>
      <c r="BI290" s="300">
        <f>SUM(BI291:BI320)</f>
        <v>3892823338.3299999</v>
      </c>
      <c r="BK290" s="608"/>
    </row>
    <row r="291" spans="1:63" s="178" customFormat="1" ht="120" customHeight="1" x14ac:dyDescent="0.2">
      <c r="A291" s="386"/>
      <c r="B291" s="581"/>
      <c r="C291" s="583"/>
      <c r="D291" s="304"/>
      <c r="E291" s="577">
        <v>1905</v>
      </c>
      <c r="F291" s="579" t="s">
        <v>988</v>
      </c>
      <c r="G291" s="577" t="s">
        <v>1492</v>
      </c>
      <c r="H291" s="577">
        <v>1905028</v>
      </c>
      <c r="I291" s="578" t="s">
        <v>1077</v>
      </c>
      <c r="J291" s="589" t="s">
        <v>1078</v>
      </c>
      <c r="K291" s="266">
        <v>190502800</v>
      </c>
      <c r="L291" s="578" t="s">
        <v>1079</v>
      </c>
      <c r="M291" s="577" t="s">
        <v>89</v>
      </c>
      <c r="N291" s="577">
        <v>12</v>
      </c>
      <c r="O291" s="577">
        <v>12</v>
      </c>
      <c r="P291" s="577">
        <v>10</v>
      </c>
      <c r="Q291" s="633" t="s">
        <v>188</v>
      </c>
      <c r="R291" s="634" t="s">
        <v>981</v>
      </c>
      <c r="S291" s="633" t="s">
        <v>10</v>
      </c>
      <c r="T291" s="27"/>
      <c r="U291" s="27"/>
      <c r="V291" s="27"/>
      <c r="W291" s="27"/>
      <c r="X291" s="27"/>
      <c r="Y291" s="27"/>
      <c r="Z291" s="27"/>
      <c r="AA291" s="27"/>
      <c r="AB291" s="27"/>
      <c r="AC291" s="27"/>
      <c r="AD291" s="27"/>
      <c r="AE291" s="27"/>
      <c r="AF291" s="27">
        <v>40000000</v>
      </c>
      <c r="AG291" s="27">
        <f>'[8]F-PLA-47 MP SALUD DIC'!$R$17+'[8]F-PLA-47 MP SALUD DIC'!$R$18</f>
        <v>32406666</v>
      </c>
      <c r="AH291" s="27">
        <f>'[8]F-PLA-47 MP SALUD DIC'!$S$17+'[8]F-PLA-47 MP SALUD DIC'!$S$18</f>
        <v>32406666</v>
      </c>
      <c r="AI291" s="27"/>
      <c r="AJ291" s="27"/>
      <c r="AK291" s="27"/>
      <c r="AL291" s="27"/>
      <c r="AM291" s="27"/>
      <c r="AN291" s="27"/>
      <c r="AO291" s="27"/>
      <c r="AP291" s="27"/>
      <c r="AQ291" s="27"/>
      <c r="AR291" s="27"/>
      <c r="AS291" s="27"/>
      <c r="AT291" s="27"/>
      <c r="AU291" s="27"/>
      <c r="AV291" s="27"/>
      <c r="AW291" s="27"/>
      <c r="AX291" s="33"/>
      <c r="AY291" s="33"/>
      <c r="AZ291" s="33"/>
      <c r="BA291" s="27"/>
      <c r="BB291" s="27"/>
      <c r="BC291" s="27"/>
      <c r="BD291" s="27"/>
      <c r="BE291" s="27"/>
      <c r="BF291" s="27"/>
      <c r="BG291" s="177">
        <f t="shared" ref="BG291:BI320" si="77">+T291+W291+Z291+AC291+AF291+AI291+AL291+AO291+AR291+AU291+AX291+BA291+BD291</f>
        <v>40000000</v>
      </c>
      <c r="BH291" s="177">
        <f t="shared" si="77"/>
        <v>32406666</v>
      </c>
      <c r="BI291" s="177">
        <f t="shared" si="77"/>
        <v>32406666</v>
      </c>
      <c r="BK291" s="608"/>
    </row>
    <row r="292" spans="1:63" s="178" customFormat="1" ht="114.75" customHeight="1" x14ac:dyDescent="0.2">
      <c r="A292" s="386"/>
      <c r="B292" s="581"/>
      <c r="C292" s="583"/>
      <c r="D292" s="304"/>
      <c r="E292" s="577">
        <v>1905</v>
      </c>
      <c r="F292" s="579" t="s">
        <v>988</v>
      </c>
      <c r="G292" s="577" t="s">
        <v>1080</v>
      </c>
      <c r="H292" s="577">
        <v>1905031</v>
      </c>
      <c r="I292" s="578" t="s">
        <v>1081</v>
      </c>
      <c r="J292" s="589" t="s">
        <v>1082</v>
      </c>
      <c r="K292" s="577">
        <v>190503100</v>
      </c>
      <c r="L292" s="578" t="s">
        <v>1083</v>
      </c>
      <c r="M292" s="266" t="s">
        <v>89</v>
      </c>
      <c r="N292" s="266">
        <v>12</v>
      </c>
      <c r="O292" s="266">
        <v>12</v>
      </c>
      <c r="P292" s="266">
        <v>8</v>
      </c>
      <c r="Q292" s="633"/>
      <c r="R292" s="634"/>
      <c r="S292" s="633"/>
      <c r="T292" s="27"/>
      <c r="U292" s="27"/>
      <c r="V292" s="27"/>
      <c r="W292" s="27"/>
      <c r="X292" s="27"/>
      <c r="Y292" s="27"/>
      <c r="Z292" s="27"/>
      <c r="AA292" s="27"/>
      <c r="AB292" s="27"/>
      <c r="AC292" s="27"/>
      <c r="AD292" s="27"/>
      <c r="AE292" s="27"/>
      <c r="AF292" s="27">
        <f>40000000-12000000</f>
        <v>28000000</v>
      </c>
      <c r="AG292" s="27">
        <v>22206666</v>
      </c>
      <c r="AH292" s="27">
        <v>22206666</v>
      </c>
      <c r="AI292" s="27"/>
      <c r="AJ292" s="27"/>
      <c r="AK292" s="27"/>
      <c r="AL292" s="27"/>
      <c r="AM292" s="27"/>
      <c r="AN292" s="27"/>
      <c r="AO292" s="27"/>
      <c r="AP292" s="27"/>
      <c r="AQ292" s="27"/>
      <c r="AR292" s="27"/>
      <c r="AS292" s="27"/>
      <c r="AT292" s="27"/>
      <c r="AU292" s="27"/>
      <c r="AV292" s="27"/>
      <c r="AW292" s="27"/>
      <c r="AX292" s="33"/>
      <c r="AY292" s="33"/>
      <c r="AZ292" s="33"/>
      <c r="BA292" s="27"/>
      <c r="BB292" s="27"/>
      <c r="BC292" s="27"/>
      <c r="BD292" s="27"/>
      <c r="BE292" s="27"/>
      <c r="BF292" s="27"/>
      <c r="BG292" s="177">
        <f t="shared" si="77"/>
        <v>28000000</v>
      </c>
      <c r="BH292" s="177">
        <f t="shared" si="77"/>
        <v>22206666</v>
      </c>
      <c r="BI292" s="177">
        <f t="shared" si="77"/>
        <v>22206666</v>
      </c>
      <c r="BK292" s="608"/>
    </row>
    <row r="293" spans="1:63" s="178" customFormat="1" ht="63.75" customHeight="1" x14ac:dyDescent="0.2">
      <c r="A293" s="386"/>
      <c r="B293" s="581"/>
      <c r="C293" s="583"/>
      <c r="D293" s="304"/>
      <c r="E293" s="577">
        <v>1905</v>
      </c>
      <c r="F293" s="579" t="s">
        <v>1084</v>
      </c>
      <c r="G293" s="577" t="s">
        <v>1491</v>
      </c>
      <c r="H293" s="577">
        <v>1905019</v>
      </c>
      <c r="I293" s="578" t="s">
        <v>1085</v>
      </c>
      <c r="J293" s="589" t="s">
        <v>1086</v>
      </c>
      <c r="K293" s="577">
        <v>190501900</v>
      </c>
      <c r="L293" s="578" t="s">
        <v>373</v>
      </c>
      <c r="M293" s="266" t="s">
        <v>89</v>
      </c>
      <c r="N293" s="266">
        <v>60</v>
      </c>
      <c r="O293" s="266">
        <v>60</v>
      </c>
      <c r="P293" s="266">
        <v>60</v>
      </c>
      <c r="Q293" s="633" t="s">
        <v>188</v>
      </c>
      <c r="R293" s="634" t="s">
        <v>1087</v>
      </c>
      <c r="S293" s="633" t="s">
        <v>1088</v>
      </c>
      <c r="T293" s="27"/>
      <c r="U293" s="27"/>
      <c r="V293" s="27"/>
      <c r="W293" s="27"/>
      <c r="X293" s="27"/>
      <c r="Y293" s="27"/>
      <c r="Z293" s="27"/>
      <c r="AA293" s="27"/>
      <c r="AB293" s="27"/>
      <c r="AC293" s="27"/>
      <c r="AD293" s="27"/>
      <c r="AE293" s="27"/>
      <c r="AF293" s="46">
        <f>20000000-5000000</f>
        <v>15000000</v>
      </c>
      <c r="AG293" s="46">
        <v>7100000</v>
      </c>
      <c r="AH293" s="46">
        <v>7100000</v>
      </c>
      <c r="AI293" s="27"/>
      <c r="AJ293" s="27"/>
      <c r="AK293" s="27"/>
      <c r="AL293" s="27"/>
      <c r="AM293" s="27"/>
      <c r="AN293" s="27"/>
      <c r="AO293" s="27"/>
      <c r="AP293" s="27"/>
      <c r="AQ293" s="27"/>
      <c r="AR293" s="27"/>
      <c r="AS293" s="27"/>
      <c r="AT293" s="27"/>
      <c r="AU293" s="27"/>
      <c r="AV293" s="27"/>
      <c r="AW293" s="27"/>
      <c r="AX293" s="33"/>
      <c r="AY293" s="33"/>
      <c r="AZ293" s="33"/>
      <c r="BA293" s="27"/>
      <c r="BB293" s="27"/>
      <c r="BC293" s="27"/>
      <c r="BD293" s="27"/>
      <c r="BE293" s="27"/>
      <c r="BF293" s="27"/>
      <c r="BG293" s="177">
        <f t="shared" si="77"/>
        <v>15000000</v>
      </c>
      <c r="BH293" s="177">
        <f t="shared" si="77"/>
        <v>7100000</v>
      </c>
      <c r="BI293" s="177">
        <f t="shared" si="77"/>
        <v>7100000</v>
      </c>
      <c r="BK293" s="608"/>
    </row>
    <row r="294" spans="1:63" s="178" customFormat="1" ht="125.25" customHeight="1" x14ac:dyDescent="0.2">
      <c r="A294" s="386"/>
      <c r="B294" s="581"/>
      <c r="C294" s="583"/>
      <c r="D294" s="304"/>
      <c r="E294" s="577">
        <v>1905</v>
      </c>
      <c r="F294" s="578" t="s">
        <v>1089</v>
      </c>
      <c r="G294" s="577" t="s">
        <v>1090</v>
      </c>
      <c r="H294" s="577" t="s">
        <v>83</v>
      </c>
      <c r="I294" s="578" t="s">
        <v>1091</v>
      </c>
      <c r="J294" s="589" t="s">
        <v>1092</v>
      </c>
      <c r="K294" s="577" t="s">
        <v>83</v>
      </c>
      <c r="L294" s="578" t="s">
        <v>1093</v>
      </c>
      <c r="M294" s="577" t="s">
        <v>89</v>
      </c>
      <c r="N294" s="577">
        <v>11</v>
      </c>
      <c r="O294" s="266">
        <v>11</v>
      </c>
      <c r="P294" s="266">
        <v>11</v>
      </c>
      <c r="Q294" s="633"/>
      <c r="R294" s="634"/>
      <c r="S294" s="633"/>
      <c r="T294" s="27"/>
      <c r="U294" s="27"/>
      <c r="V294" s="27"/>
      <c r="W294" s="27"/>
      <c r="X294" s="27"/>
      <c r="Y294" s="27"/>
      <c r="Z294" s="27"/>
      <c r="AA294" s="27"/>
      <c r="AB294" s="27"/>
      <c r="AC294" s="27"/>
      <c r="AD294" s="27"/>
      <c r="AE294" s="27"/>
      <c r="AF294" s="46">
        <f>20000000-5000000</f>
        <v>15000000</v>
      </c>
      <c r="AG294" s="46">
        <v>6240000</v>
      </c>
      <c r="AH294" s="46">
        <v>6240000</v>
      </c>
      <c r="AI294" s="27"/>
      <c r="AJ294" s="27"/>
      <c r="AK294" s="27"/>
      <c r="AL294" s="27"/>
      <c r="AM294" s="27"/>
      <c r="AN294" s="27"/>
      <c r="AO294" s="27"/>
      <c r="AP294" s="27"/>
      <c r="AQ294" s="27"/>
      <c r="AR294" s="27"/>
      <c r="AS294" s="27"/>
      <c r="AT294" s="27"/>
      <c r="AU294" s="27"/>
      <c r="AV294" s="27"/>
      <c r="AW294" s="27"/>
      <c r="AX294" s="33"/>
      <c r="AY294" s="33"/>
      <c r="AZ294" s="33"/>
      <c r="BA294" s="27"/>
      <c r="BB294" s="27"/>
      <c r="BC294" s="27"/>
      <c r="BD294" s="27"/>
      <c r="BE294" s="27"/>
      <c r="BF294" s="27"/>
      <c r="BG294" s="177">
        <f t="shared" si="77"/>
        <v>15000000</v>
      </c>
      <c r="BH294" s="177">
        <f t="shared" si="77"/>
        <v>6240000</v>
      </c>
      <c r="BI294" s="177">
        <f t="shared" si="77"/>
        <v>6240000</v>
      </c>
      <c r="BK294" s="608"/>
    </row>
    <row r="295" spans="1:63" s="178" customFormat="1" ht="93.75" customHeight="1" x14ac:dyDescent="0.2">
      <c r="A295" s="386"/>
      <c r="B295" s="581"/>
      <c r="C295" s="583"/>
      <c r="D295" s="304"/>
      <c r="E295" s="577">
        <v>1905</v>
      </c>
      <c r="F295" s="578" t="s">
        <v>1094</v>
      </c>
      <c r="G295" s="584" t="s">
        <v>1095</v>
      </c>
      <c r="H295" s="577" t="s">
        <v>83</v>
      </c>
      <c r="I295" s="578" t="s">
        <v>1096</v>
      </c>
      <c r="J295" s="591" t="s">
        <v>1097</v>
      </c>
      <c r="K295" s="577" t="s">
        <v>83</v>
      </c>
      <c r="L295" s="271" t="s">
        <v>1483</v>
      </c>
      <c r="M295" s="266" t="s">
        <v>89</v>
      </c>
      <c r="N295" s="266">
        <v>1</v>
      </c>
      <c r="O295" s="266">
        <v>1</v>
      </c>
      <c r="P295" s="266">
        <v>0.3</v>
      </c>
      <c r="Q295" s="633"/>
      <c r="R295" s="634"/>
      <c r="S295" s="633"/>
      <c r="T295" s="27"/>
      <c r="U295" s="27"/>
      <c r="V295" s="27"/>
      <c r="W295" s="27"/>
      <c r="X295" s="27"/>
      <c r="Y295" s="27"/>
      <c r="Z295" s="27"/>
      <c r="AA295" s="27"/>
      <c r="AB295" s="27"/>
      <c r="AC295" s="27"/>
      <c r="AD295" s="27"/>
      <c r="AE295" s="27"/>
      <c r="AF295" s="46">
        <f>20000000-5000000</f>
        <v>15000000</v>
      </c>
      <c r="AG295" s="46">
        <v>6999999</v>
      </c>
      <c r="AH295" s="46">
        <v>6999999</v>
      </c>
      <c r="AI295" s="27"/>
      <c r="AJ295" s="27"/>
      <c r="AK295" s="27"/>
      <c r="AL295" s="27"/>
      <c r="AM295" s="27"/>
      <c r="AN295" s="27"/>
      <c r="AO295" s="27"/>
      <c r="AP295" s="27"/>
      <c r="AQ295" s="27"/>
      <c r="AR295" s="27"/>
      <c r="AS295" s="27"/>
      <c r="AT295" s="27"/>
      <c r="AU295" s="27"/>
      <c r="AV295" s="27"/>
      <c r="AW295" s="27"/>
      <c r="AX295" s="33"/>
      <c r="AY295" s="33"/>
      <c r="AZ295" s="33"/>
      <c r="BA295" s="27"/>
      <c r="BB295" s="27"/>
      <c r="BC295" s="27"/>
      <c r="BD295" s="27"/>
      <c r="BE295" s="27"/>
      <c r="BF295" s="27"/>
      <c r="BG295" s="177">
        <f t="shared" si="77"/>
        <v>15000000</v>
      </c>
      <c r="BH295" s="177">
        <f t="shared" si="77"/>
        <v>6999999</v>
      </c>
      <c r="BI295" s="177">
        <f t="shared" si="77"/>
        <v>6999999</v>
      </c>
      <c r="BK295" s="608"/>
    </row>
    <row r="296" spans="1:63" s="178" customFormat="1" ht="102.75" customHeight="1" x14ac:dyDescent="0.2">
      <c r="A296" s="386"/>
      <c r="B296" s="581"/>
      <c r="C296" s="583"/>
      <c r="D296" s="304"/>
      <c r="E296" s="577">
        <v>1905</v>
      </c>
      <c r="F296" s="579" t="s">
        <v>993</v>
      </c>
      <c r="G296" s="584" t="s">
        <v>1098</v>
      </c>
      <c r="H296" s="577" t="s">
        <v>83</v>
      </c>
      <c r="I296" s="578" t="s">
        <v>1099</v>
      </c>
      <c r="J296" s="591" t="s">
        <v>1100</v>
      </c>
      <c r="K296" s="577" t="s">
        <v>83</v>
      </c>
      <c r="L296" s="271" t="s">
        <v>1101</v>
      </c>
      <c r="M296" s="266" t="s">
        <v>179</v>
      </c>
      <c r="N296" s="266">
        <v>11</v>
      </c>
      <c r="O296" s="266">
        <v>1</v>
      </c>
      <c r="P296" s="266">
        <v>0.6</v>
      </c>
      <c r="Q296" s="633"/>
      <c r="R296" s="634"/>
      <c r="S296" s="633"/>
      <c r="T296" s="27"/>
      <c r="U296" s="27"/>
      <c r="V296" s="27"/>
      <c r="W296" s="27"/>
      <c r="X296" s="27"/>
      <c r="Y296" s="27"/>
      <c r="Z296" s="27"/>
      <c r="AA296" s="27"/>
      <c r="AB296" s="27"/>
      <c r="AC296" s="27"/>
      <c r="AD296" s="27"/>
      <c r="AE296" s="27"/>
      <c r="AF296" s="46">
        <f>70000000-20000000</f>
        <v>50000000</v>
      </c>
      <c r="AG296" s="46">
        <v>27946666</v>
      </c>
      <c r="AH296" s="46">
        <v>27946666</v>
      </c>
      <c r="AI296" s="27"/>
      <c r="AJ296" s="27"/>
      <c r="AK296" s="27"/>
      <c r="AL296" s="27"/>
      <c r="AM296" s="27"/>
      <c r="AN296" s="27"/>
      <c r="AO296" s="27"/>
      <c r="AP296" s="27"/>
      <c r="AQ296" s="27"/>
      <c r="AR296" s="27"/>
      <c r="AS296" s="27"/>
      <c r="AT296" s="27"/>
      <c r="AU296" s="27"/>
      <c r="AV296" s="27"/>
      <c r="AW296" s="27"/>
      <c r="AX296" s="33"/>
      <c r="AY296" s="33"/>
      <c r="AZ296" s="33"/>
      <c r="BA296" s="27"/>
      <c r="BB296" s="27"/>
      <c r="BC296" s="27"/>
      <c r="BD296" s="27"/>
      <c r="BE296" s="27"/>
      <c r="BF296" s="27"/>
      <c r="BG296" s="177">
        <f t="shared" si="77"/>
        <v>50000000</v>
      </c>
      <c r="BH296" s="177">
        <f t="shared" si="77"/>
        <v>27946666</v>
      </c>
      <c r="BI296" s="177">
        <f t="shared" si="77"/>
        <v>27946666</v>
      </c>
      <c r="BK296" s="608"/>
    </row>
    <row r="297" spans="1:63" s="178" customFormat="1" ht="93.75" customHeight="1" x14ac:dyDescent="0.2">
      <c r="A297" s="386"/>
      <c r="B297" s="581"/>
      <c r="C297" s="583"/>
      <c r="D297" s="304"/>
      <c r="E297" s="577">
        <v>1905</v>
      </c>
      <c r="F297" s="579" t="s">
        <v>1102</v>
      </c>
      <c r="G297" s="584" t="s">
        <v>1103</v>
      </c>
      <c r="H297" s="577" t="s">
        <v>83</v>
      </c>
      <c r="I297" s="578" t="s">
        <v>1445</v>
      </c>
      <c r="J297" s="591" t="s">
        <v>1104</v>
      </c>
      <c r="K297" s="577" t="s">
        <v>83</v>
      </c>
      <c r="L297" s="271" t="s">
        <v>1105</v>
      </c>
      <c r="M297" s="577" t="s">
        <v>1391</v>
      </c>
      <c r="N297" s="577">
        <v>12</v>
      </c>
      <c r="O297" s="570">
        <v>2</v>
      </c>
      <c r="P297" s="570">
        <v>1</v>
      </c>
      <c r="Q297" s="633"/>
      <c r="R297" s="634"/>
      <c r="S297" s="633"/>
      <c r="T297" s="27"/>
      <c r="U297" s="27"/>
      <c r="V297" s="27"/>
      <c r="W297" s="27"/>
      <c r="X297" s="27"/>
      <c r="Y297" s="27"/>
      <c r="Z297" s="27"/>
      <c r="AA297" s="27"/>
      <c r="AB297" s="27"/>
      <c r="AC297" s="27"/>
      <c r="AD297" s="27"/>
      <c r="AE297" s="27"/>
      <c r="AF297" s="46">
        <v>20000000</v>
      </c>
      <c r="AG297" s="46">
        <v>8400000</v>
      </c>
      <c r="AH297" s="46">
        <v>8400000</v>
      </c>
      <c r="AI297" s="27"/>
      <c r="AJ297" s="27"/>
      <c r="AK297" s="27"/>
      <c r="AL297" s="27"/>
      <c r="AM297" s="27"/>
      <c r="AN297" s="27"/>
      <c r="AO297" s="27"/>
      <c r="AP297" s="27"/>
      <c r="AQ297" s="27"/>
      <c r="AR297" s="27"/>
      <c r="AS297" s="27"/>
      <c r="AT297" s="27"/>
      <c r="AU297" s="27"/>
      <c r="AV297" s="27"/>
      <c r="AW297" s="27"/>
      <c r="AX297" s="33"/>
      <c r="AY297" s="33"/>
      <c r="AZ297" s="33"/>
      <c r="BA297" s="27"/>
      <c r="BB297" s="27"/>
      <c r="BC297" s="27"/>
      <c r="BD297" s="27"/>
      <c r="BE297" s="27"/>
      <c r="BF297" s="27"/>
      <c r="BG297" s="177">
        <f t="shared" si="77"/>
        <v>20000000</v>
      </c>
      <c r="BH297" s="177">
        <f t="shared" si="77"/>
        <v>8400000</v>
      </c>
      <c r="BI297" s="177">
        <f t="shared" si="77"/>
        <v>8400000</v>
      </c>
      <c r="BK297" s="608"/>
    </row>
    <row r="298" spans="1:63" s="178" customFormat="1" ht="151.5" customHeight="1" x14ac:dyDescent="0.2">
      <c r="A298" s="386"/>
      <c r="B298" s="581"/>
      <c r="C298" s="583"/>
      <c r="D298" s="304"/>
      <c r="E298" s="577">
        <v>1905</v>
      </c>
      <c r="F298" s="579" t="s">
        <v>993</v>
      </c>
      <c r="G298" s="584" t="s">
        <v>1106</v>
      </c>
      <c r="H298" s="577" t="s">
        <v>83</v>
      </c>
      <c r="I298" s="578" t="s">
        <v>1107</v>
      </c>
      <c r="J298" s="591" t="s">
        <v>1108</v>
      </c>
      <c r="K298" s="577" t="s">
        <v>83</v>
      </c>
      <c r="L298" s="271" t="s">
        <v>1109</v>
      </c>
      <c r="M298" s="266" t="s">
        <v>89</v>
      </c>
      <c r="N298" s="266">
        <v>12</v>
      </c>
      <c r="O298" s="266">
        <v>12</v>
      </c>
      <c r="P298" s="266">
        <v>5</v>
      </c>
      <c r="Q298" s="633"/>
      <c r="R298" s="634"/>
      <c r="S298" s="633"/>
      <c r="T298" s="27"/>
      <c r="U298" s="27"/>
      <c r="V298" s="27"/>
      <c r="W298" s="27"/>
      <c r="X298" s="27"/>
      <c r="Y298" s="27"/>
      <c r="Z298" s="27"/>
      <c r="AA298" s="27"/>
      <c r="AB298" s="27"/>
      <c r="AC298" s="27"/>
      <c r="AD298" s="27"/>
      <c r="AE298" s="27"/>
      <c r="AF298" s="46">
        <f>30000000-10000000</f>
        <v>20000000</v>
      </c>
      <c r="AG298" s="46">
        <v>8400000</v>
      </c>
      <c r="AH298" s="46">
        <v>8400000</v>
      </c>
      <c r="AI298" s="27"/>
      <c r="AJ298" s="27"/>
      <c r="AK298" s="27"/>
      <c r="AL298" s="27"/>
      <c r="AM298" s="27"/>
      <c r="AN298" s="27"/>
      <c r="AO298" s="27"/>
      <c r="AP298" s="27"/>
      <c r="AQ298" s="27"/>
      <c r="AR298" s="27"/>
      <c r="AS298" s="27"/>
      <c r="AT298" s="27"/>
      <c r="AU298" s="27"/>
      <c r="AV298" s="27"/>
      <c r="AW298" s="27"/>
      <c r="AX298" s="33"/>
      <c r="AY298" s="33"/>
      <c r="AZ298" s="33"/>
      <c r="BA298" s="27"/>
      <c r="BB298" s="27"/>
      <c r="BC298" s="27"/>
      <c r="BD298" s="27"/>
      <c r="BE298" s="27"/>
      <c r="BF298" s="27"/>
      <c r="BG298" s="177">
        <f t="shared" si="77"/>
        <v>20000000</v>
      </c>
      <c r="BH298" s="177">
        <f t="shared" si="77"/>
        <v>8400000</v>
      </c>
      <c r="BI298" s="177">
        <f t="shared" si="77"/>
        <v>8400000</v>
      </c>
      <c r="BK298" s="608"/>
    </row>
    <row r="299" spans="1:63" s="178" customFormat="1" ht="93.75" customHeight="1" x14ac:dyDescent="0.2">
      <c r="A299" s="386"/>
      <c r="B299" s="581"/>
      <c r="C299" s="583"/>
      <c r="D299" s="304"/>
      <c r="E299" s="577">
        <v>1905</v>
      </c>
      <c r="F299" s="579" t="s">
        <v>1444</v>
      </c>
      <c r="G299" s="584" t="s">
        <v>1110</v>
      </c>
      <c r="H299" s="577" t="s">
        <v>83</v>
      </c>
      <c r="I299" s="578" t="s">
        <v>1111</v>
      </c>
      <c r="J299" s="591" t="s">
        <v>1112</v>
      </c>
      <c r="K299" s="577" t="s">
        <v>83</v>
      </c>
      <c r="L299" s="271" t="s">
        <v>1113</v>
      </c>
      <c r="M299" s="266" t="s">
        <v>179</v>
      </c>
      <c r="N299" s="266">
        <v>12</v>
      </c>
      <c r="O299" s="266">
        <v>2</v>
      </c>
      <c r="P299" s="266">
        <v>2</v>
      </c>
      <c r="Q299" s="633"/>
      <c r="R299" s="634"/>
      <c r="S299" s="633"/>
      <c r="T299" s="27"/>
      <c r="U299" s="27"/>
      <c r="V299" s="27"/>
      <c r="W299" s="27"/>
      <c r="X299" s="27"/>
      <c r="Y299" s="27"/>
      <c r="Z299" s="27"/>
      <c r="AA299" s="27"/>
      <c r="AB299" s="27"/>
      <c r="AC299" s="27"/>
      <c r="AD299" s="27"/>
      <c r="AE299" s="27"/>
      <c r="AF299" s="46">
        <f>30000000-10000000</f>
        <v>20000000</v>
      </c>
      <c r="AG299" s="46">
        <v>8400000</v>
      </c>
      <c r="AH299" s="46">
        <v>8400000</v>
      </c>
      <c r="AI299" s="27"/>
      <c r="AJ299" s="27"/>
      <c r="AK299" s="27"/>
      <c r="AL299" s="27"/>
      <c r="AM299" s="27"/>
      <c r="AN299" s="27"/>
      <c r="AO299" s="27"/>
      <c r="AP299" s="27"/>
      <c r="AQ299" s="27"/>
      <c r="AR299" s="27"/>
      <c r="AS299" s="27"/>
      <c r="AT299" s="27"/>
      <c r="AU299" s="27"/>
      <c r="AV299" s="27"/>
      <c r="AW299" s="27"/>
      <c r="AX299" s="33"/>
      <c r="AY299" s="33"/>
      <c r="AZ299" s="33"/>
      <c r="BA299" s="27"/>
      <c r="BB299" s="27"/>
      <c r="BC299" s="27"/>
      <c r="BD299" s="27"/>
      <c r="BE299" s="27"/>
      <c r="BF299" s="27"/>
      <c r="BG299" s="177">
        <f t="shared" si="77"/>
        <v>20000000</v>
      </c>
      <c r="BH299" s="177">
        <f t="shared" si="77"/>
        <v>8400000</v>
      </c>
      <c r="BI299" s="177">
        <f t="shared" si="77"/>
        <v>8400000</v>
      </c>
      <c r="BK299" s="608"/>
    </row>
    <row r="300" spans="1:63" s="178" customFormat="1" ht="246.75" customHeight="1" x14ac:dyDescent="0.2">
      <c r="A300" s="386"/>
      <c r="B300" s="581"/>
      <c r="C300" s="583"/>
      <c r="D300" s="304"/>
      <c r="E300" s="577">
        <v>1905</v>
      </c>
      <c r="F300" s="578" t="s">
        <v>798</v>
      </c>
      <c r="G300" s="266" t="s">
        <v>799</v>
      </c>
      <c r="H300" s="577">
        <v>1905021</v>
      </c>
      <c r="I300" s="578" t="s">
        <v>800</v>
      </c>
      <c r="J300" s="590" t="s">
        <v>801</v>
      </c>
      <c r="K300" s="266">
        <v>190502100</v>
      </c>
      <c r="L300" s="271" t="s">
        <v>802</v>
      </c>
      <c r="M300" s="577" t="s">
        <v>89</v>
      </c>
      <c r="N300" s="577">
        <v>12</v>
      </c>
      <c r="O300" s="266">
        <v>12</v>
      </c>
      <c r="P300" s="266">
        <v>12</v>
      </c>
      <c r="Q300" s="636" t="s">
        <v>188</v>
      </c>
      <c r="R300" s="634" t="s">
        <v>1114</v>
      </c>
      <c r="S300" s="633" t="s">
        <v>1115</v>
      </c>
      <c r="T300" s="27"/>
      <c r="U300" s="27"/>
      <c r="V300" s="27"/>
      <c r="W300" s="27"/>
      <c r="X300" s="27"/>
      <c r="Y300" s="27"/>
      <c r="Z300" s="27"/>
      <c r="AA300" s="27"/>
      <c r="AB300" s="27"/>
      <c r="AC300" s="27"/>
      <c r="AD300" s="27"/>
      <c r="AE300" s="27"/>
      <c r="AF300" s="46">
        <f>88000000-24000000</f>
        <v>64000000</v>
      </c>
      <c r="AG300" s="46">
        <v>23733333</v>
      </c>
      <c r="AH300" s="46">
        <v>23733333</v>
      </c>
      <c r="AI300" s="27"/>
      <c r="AJ300" s="27"/>
      <c r="AK300" s="27"/>
      <c r="AL300" s="27"/>
      <c r="AM300" s="27"/>
      <c r="AN300" s="27"/>
      <c r="AO300" s="27"/>
      <c r="AP300" s="27"/>
      <c r="AQ300" s="27"/>
      <c r="AR300" s="27"/>
      <c r="AS300" s="27"/>
      <c r="AT300" s="27"/>
      <c r="AU300" s="27"/>
      <c r="AV300" s="27"/>
      <c r="AW300" s="27"/>
      <c r="AX300" s="33"/>
      <c r="AY300" s="33"/>
      <c r="AZ300" s="33"/>
      <c r="BA300" s="27"/>
      <c r="BB300" s="27"/>
      <c r="BC300" s="27"/>
      <c r="BD300" s="27"/>
      <c r="BE300" s="27"/>
      <c r="BF300" s="27"/>
      <c r="BG300" s="177">
        <f t="shared" si="77"/>
        <v>64000000</v>
      </c>
      <c r="BH300" s="177">
        <f t="shared" si="77"/>
        <v>23733333</v>
      </c>
      <c r="BI300" s="177">
        <f t="shared" si="77"/>
        <v>23733333</v>
      </c>
      <c r="BK300" s="608"/>
    </row>
    <row r="301" spans="1:63" s="178" customFormat="1" ht="159" customHeight="1" x14ac:dyDescent="0.2">
      <c r="A301" s="386"/>
      <c r="B301" s="581"/>
      <c r="C301" s="583"/>
      <c r="D301" s="304"/>
      <c r="E301" s="577">
        <v>1905</v>
      </c>
      <c r="F301" s="578" t="s">
        <v>1089</v>
      </c>
      <c r="G301" s="577" t="s">
        <v>1090</v>
      </c>
      <c r="H301" s="577" t="s">
        <v>83</v>
      </c>
      <c r="I301" s="578" t="s">
        <v>1116</v>
      </c>
      <c r="J301" s="589" t="s">
        <v>1092</v>
      </c>
      <c r="K301" s="577" t="s">
        <v>83</v>
      </c>
      <c r="L301" s="578" t="s">
        <v>1093</v>
      </c>
      <c r="M301" s="577" t="s">
        <v>89</v>
      </c>
      <c r="N301" s="577">
        <v>11</v>
      </c>
      <c r="O301" s="266">
        <v>11</v>
      </c>
      <c r="P301" s="266">
        <v>11</v>
      </c>
      <c r="Q301" s="636"/>
      <c r="R301" s="634"/>
      <c r="S301" s="633"/>
      <c r="T301" s="27"/>
      <c r="U301" s="27"/>
      <c r="V301" s="27"/>
      <c r="W301" s="27"/>
      <c r="X301" s="27"/>
      <c r="Y301" s="27"/>
      <c r="Z301" s="27"/>
      <c r="AA301" s="27"/>
      <c r="AB301" s="27"/>
      <c r="AC301" s="27"/>
      <c r="AD301" s="27"/>
      <c r="AE301" s="27"/>
      <c r="AF301" s="46">
        <f>60000000-6000000</f>
        <v>54000000</v>
      </c>
      <c r="AG301" s="46">
        <v>45546666</v>
      </c>
      <c r="AH301" s="46">
        <v>45546666</v>
      </c>
      <c r="AI301" s="27"/>
      <c r="AJ301" s="27"/>
      <c r="AK301" s="27"/>
      <c r="AL301" s="27"/>
      <c r="AM301" s="27"/>
      <c r="AN301" s="27"/>
      <c r="AO301" s="27"/>
      <c r="AP301" s="27"/>
      <c r="AQ301" s="27"/>
      <c r="AR301" s="27"/>
      <c r="AS301" s="27"/>
      <c r="AT301" s="27"/>
      <c r="AU301" s="27"/>
      <c r="AV301" s="27"/>
      <c r="AW301" s="27"/>
      <c r="AX301" s="33"/>
      <c r="AY301" s="33"/>
      <c r="AZ301" s="33"/>
      <c r="BA301" s="27"/>
      <c r="BB301" s="27"/>
      <c r="BC301" s="27"/>
      <c r="BD301" s="27"/>
      <c r="BE301" s="27"/>
      <c r="BF301" s="27"/>
      <c r="BG301" s="177">
        <f t="shared" si="77"/>
        <v>54000000</v>
      </c>
      <c r="BH301" s="177">
        <f t="shared" si="77"/>
        <v>45546666</v>
      </c>
      <c r="BI301" s="177">
        <f t="shared" si="77"/>
        <v>45546666</v>
      </c>
      <c r="BK301" s="608"/>
    </row>
    <row r="302" spans="1:63" s="178" customFormat="1" ht="103.5" customHeight="1" x14ac:dyDescent="0.2">
      <c r="A302" s="386"/>
      <c r="B302" s="581"/>
      <c r="C302" s="583"/>
      <c r="D302" s="304"/>
      <c r="E302" s="577">
        <v>1905</v>
      </c>
      <c r="F302" s="579" t="s">
        <v>1018</v>
      </c>
      <c r="G302" s="266" t="s">
        <v>1117</v>
      </c>
      <c r="H302" s="202">
        <v>1905020</v>
      </c>
      <c r="I302" s="578" t="s">
        <v>1118</v>
      </c>
      <c r="J302" s="266" t="s">
        <v>1119</v>
      </c>
      <c r="K302" s="266">
        <v>190502000</v>
      </c>
      <c r="L302" s="271" t="s">
        <v>1120</v>
      </c>
      <c r="M302" s="266" t="s">
        <v>89</v>
      </c>
      <c r="N302" s="266">
        <v>12</v>
      </c>
      <c r="O302" s="266">
        <v>12</v>
      </c>
      <c r="P302" s="266">
        <v>9</v>
      </c>
      <c r="Q302" s="636" t="s">
        <v>188</v>
      </c>
      <c r="R302" s="634" t="s">
        <v>1121</v>
      </c>
      <c r="S302" s="633" t="s">
        <v>1122</v>
      </c>
      <c r="T302" s="27"/>
      <c r="U302" s="27"/>
      <c r="V302" s="27"/>
      <c r="W302" s="27"/>
      <c r="X302" s="27"/>
      <c r="Y302" s="27"/>
      <c r="Z302" s="27"/>
      <c r="AA302" s="27"/>
      <c r="AB302" s="27"/>
      <c r="AC302" s="27"/>
      <c r="AD302" s="27"/>
      <c r="AE302" s="27"/>
      <c r="AF302" s="258">
        <f>40000000-7000000</f>
        <v>33000000</v>
      </c>
      <c r="AG302" s="258">
        <v>23893334</v>
      </c>
      <c r="AH302" s="258">
        <v>23893334</v>
      </c>
      <c r="AI302" s="27"/>
      <c r="AJ302" s="27"/>
      <c r="AK302" s="27"/>
      <c r="AL302" s="27"/>
      <c r="AM302" s="27"/>
      <c r="AN302" s="27"/>
      <c r="AO302" s="27"/>
      <c r="AP302" s="27"/>
      <c r="AQ302" s="27"/>
      <c r="AR302" s="27"/>
      <c r="AS302" s="27"/>
      <c r="AT302" s="27"/>
      <c r="AU302" s="27"/>
      <c r="AV302" s="27"/>
      <c r="AW302" s="27"/>
      <c r="AX302" s="33"/>
      <c r="AY302" s="33"/>
      <c r="AZ302" s="33"/>
      <c r="BA302" s="27"/>
      <c r="BB302" s="27"/>
      <c r="BC302" s="27"/>
      <c r="BD302" s="27"/>
      <c r="BE302" s="27"/>
      <c r="BF302" s="27"/>
      <c r="BG302" s="177">
        <f t="shared" si="77"/>
        <v>33000000</v>
      </c>
      <c r="BH302" s="177">
        <f t="shared" si="77"/>
        <v>23893334</v>
      </c>
      <c r="BI302" s="177">
        <f t="shared" si="77"/>
        <v>23893334</v>
      </c>
      <c r="BK302" s="608"/>
    </row>
    <row r="303" spans="1:63" s="178" customFormat="1" ht="176.25" customHeight="1" x14ac:dyDescent="0.2">
      <c r="A303" s="386"/>
      <c r="B303" s="581"/>
      <c r="C303" s="583"/>
      <c r="D303" s="304"/>
      <c r="E303" s="577">
        <v>1905</v>
      </c>
      <c r="F303" s="578" t="s">
        <v>1484</v>
      </c>
      <c r="G303" s="266" t="s">
        <v>805</v>
      </c>
      <c r="H303" s="202">
        <v>1905022</v>
      </c>
      <c r="I303" s="578" t="s">
        <v>806</v>
      </c>
      <c r="J303" s="266" t="s">
        <v>807</v>
      </c>
      <c r="K303" s="266">
        <v>190502200</v>
      </c>
      <c r="L303" s="271" t="s">
        <v>808</v>
      </c>
      <c r="M303" s="266" t="s">
        <v>89</v>
      </c>
      <c r="N303" s="266">
        <v>12</v>
      </c>
      <c r="O303" s="266">
        <v>12</v>
      </c>
      <c r="P303" s="266">
        <v>12</v>
      </c>
      <c r="Q303" s="636"/>
      <c r="R303" s="634"/>
      <c r="S303" s="633"/>
      <c r="T303" s="27"/>
      <c r="U303" s="27"/>
      <c r="V303" s="27"/>
      <c r="W303" s="27"/>
      <c r="X303" s="27"/>
      <c r="Y303" s="27"/>
      <c r="Z303" s="27"/>
      <c r="AA303" s="27"/>
      <c r="AB303" s="27"/>
      <c r="AC303" s="27"/>
      <c r="AD303" s="27"/>
      <c r="AE303" s="27"/>
      <c r="AF303" s="258">
        <f>60000000-7500000</f>
        <v>52500000</v>
      </c>
      <c r="AG303" s="258">
        <v>46573334</v>
      </c>
      <c r="AH303" s="258">
        <v>46573334</v>
      </c>
      <c r="AI303" s="27"/>
      <c r="AJ303" s="27"/>
      <c r="AK303" s="27"/>
      <c r="AL303" s="27"/>
      <c r="AM303" s="27"/>
      <c r="AN303" s="27"/>
      <c r="AO303" s="27"/>
      <c r="AP303" s="27"/>
      <c r="AQ303" s="27"/>
      <c r="AR303" s="27"/>
      <c r="AS303" s="27"/>
      <c r="AT303" s="27"/>
      <c r="AU303" s="27"/>
      <c r="AV303" s="27"/>
      <c r="AW303" s="27"/>
      <c r="AX303" s="33"/>
      <c r="AY303" s="33"/>
      <c r="AZ303" s="33"/>
      <c r="BA303" s="27"/>
      <c r="BB303" s="27"/>
      <c r="BC303" s="27"/>
      <c r="BD303" s="27"/>
      <c r="BE303" s="27"/>
      <c r="BF303" s="27"/>
      <c r="BG303" s="177">
        <f t="shared" si="77"/>
        <v>52500000</v>
      </c>
      <c r="BH303" s="177">
        <f t="shared" si="77"/>
        <v>46573334</v>
      </c>
      <c r="BI303" s="177">
        <f t="shared" si="77"/>
        <v>46573334</v>
      </c>
      <c r="BK303" s="608"/>
    </row>
    <row r="304" spans="1:63" s="178" customFormat="1" ht="96" customHeight="1" x14ac:dyDescent="0.2">
      <c r="A304" s="386"/>
      <c r="B304" s="581"/>
      <c r="C304" s="583"/>
      <c r="D304" s="304"/>
      <c r="E304" s="577">
        <v>1905</v>
      </c>
      <c r="F304" s="579" t="s">
        <v>1018</v>
      </c>
      <c r="G304" s="584" t="s">
        <v>1490</v>
      </c>
      <c r="H304" s="577" t="s">
        <v>83</v>
      </c>
      <c r="I304" s="578" t="s">
        <v>1123</v>
      </c>
      <c r="J304" s="584" t="s">
        <v>1124</v>
      </c>
      <c r="K304" s="266" t="s">
        <v>83</v>
      </c>
      <c r="L304" s="271" t="s">
        <v>1125</v>
      </c>
      <c r="M304" s="266" t="s">
        <v>89</v>
      </c>
      <c r="N304" s="266">
        <v>1</v>
      </c>
      <c r="O304" s="266">
        <v>1</v>
      </c>
      <c r="P304" s="266">
        <v>0.3</v>
      </c>
      <c r="Q304" s="636"/>
      <c r="R304" s="634"/>
      <c r="S304" s="633"/>
      <c r="T304" s="27"/>
      <c r="U304" s="27"/>
      <c r="V304" s="27"/>
      <c r="W304" s="27"/>
      <c r="X304" s="27"/>
      <c r="Y304" s="27"/>
      <c r="Z304" s="27"/>
      <c r="AA304" s="27"/>
      <c r="AB304" s="27"/>
      <c r="AC304" s="27"/>
      <c r="AD304" s="27"/>
      <c r="AE304" s="27"/>
      <c r="AF304" s="258">
        <f>40000000-3000000</f>
        <v>37000000</v>
      </c>
      <c r="AG304" s="258">
        <v>33066666</v>
      </c>
      <c r="AH304" s="258">
        <v>33066666</v>
      </c>
      <c r="AI304" s="27"/>
      <c r="AJ304" s="27"/>
      <c r="AK304" s="27"/>
      <c r="AL304" s="27"/>
      <c r="AM304" s="27"/>
      <c r="AN304" s="27"/>
      <c r="AO304" s="27"/>
      <c r="AP304" s="27"/>
      <c r="AQ304" s="27"/>
      <c r="AR304" s="27"/>
      <c r="AS304" s="27"/>
      <c r="AT304" s="27"/>
      <c r="AU304" s="27"/>
      <c r="AV304" s="27"/>
      <c r="AW304" s="27"/>
      <c r="AX304" s="33"/>
      <c r="AY304" s="33"/>
      <c r="AZ304" s="33"/>
      <c r="BA304" s="27"/>
      <c r="BB304" s="27"/>
      <c r="BC304" s="27"/>
      <c r="BD304" s="27"/>
      <c r="BE304" s="27"/>
      <c r="BF304" s="27"/>
      <c r="BG304" s="177">
        <f t="shared" si="77"/>
        <v>37000000</v>
      </c>
      <c r="BH304" s="177">
        <f t="shared" si="77"/>
        <v>33066666</v>
      </c>
      <c r="BI304" s="177">
        <f t="shared" si="77"/>
        <v>33066666</v>
      </c>
      <c r="BK304" s="608"/>
    </row>
    <row r="305" spans="1:63" s="178" customFormat="1" ht="102.75" customHeight="1" x14ac:dyDescent="0.2">
      <c r="A305" s="386"/>
      <c r="B305" s="581"/>
      <c r="C305" s="583"/>
      <c r="D305" s="304"/>
      <c r="E305" s="577">
        <v>1905</v>
      </c>
      <c r="F305" s="578" t="s">
        <v>1446</v>
      </c>
      <c r="G305" s="587" t="s">
        <v>1126</v>
      </c>
      <c r="H305" s="577">
        <v>1905023</v>
      </c>
      <c r="I305" s="578" t="s">
        <v>1127</v>
      </c>
      <c r="J305" s="587" t="s">
        <v>1128</v>
      </c>
      <c r="K305" s="266">
        <v>190502300</v>
      </c>
      <c r="L305" s="271" t="s">
        <v>1129</v>
      </c>
      <c r="M305" s="266" t="s">
        <v>89</v>
      </c>
      <c r="N305" s="266">
        <v>12</v>
      </c>
      <c r="O305" s="266">
        <v>12</v>
      </c>
      <c r="P305" s="266">
        <v>3</v>
      </c>
      <c r="Q305" s="636" t="s">
        <v>188</v>
      </c>
      <c r="R305" s="634" t="s">
        <v>1130</v>
      </c>
      <c r="S305" s="633" t="s">
        <v>1131</v>
      </c>
      <c r="T305" s="27"/>
      <c r="U305" s="27"/>
      <c r="V305" s="27"/>
      <c r="W305" s="27"/>
      <c r="X305" s="27"/>
      <c r="Y305" s="27"/>
      <c r="Z305" s="27"/>
      <c r="AA305" s="27"/>
      <c r="AB305" s="27"/>
      <c r="AC305" s="27"/>
      <c r="AD305" s="27"/>
      <c r="AE305" s="27"/>
      <c r="AF305" s="258">
        <v>110000000</v>
      </c>
      <c r="AG305" s="258">
        <v>63939199</v>
      </c>
      <c r="AH305" s="258">
        <v>63939199</v>
      </c>
      <c r="AI305" s="27"/>
      <c r="AJ305" s="27"/>
      <c r="AK305" s="27"/>
      <c r="AL305" s="27"/>
      <c r="AM305" s="27"/>
      <c r="AN305" s="27"/>
      <c r="AO305" s="27"/>
      <c r="AP305" s="27"/>
      <c r="AQ305" s="27"/>
      <c r="AR305" s="27"/>
      <c r="AS305" s="27"/>
      <c r="AT305" s="27"/>
      <c r="AU305" s="27"/>
      <c r="AV305" s="27"/>
      <c r="AW305" s="27"/>
      <c r="AX305" s="33"/>
      <c r="AY305" s="33"/>
      <c r="AZ305" s="33"/>
      <c r="BA305" s="27"/>
      <c r="BB305" s="27"/>
      <c r="BC305" s="27"/>
      <c r="BD305" s="27"/>
      <c r="BE305" s="27"/>
      <c r="BF305" s="27"/>
      <c r="BG305" s="177">
        <f t="shared" si="77"/>
        <v>110000000</v>
      </c>
      <c r="BH305" s="177">
        <f t="shared" si="77"/>
        <v>63939199</v>
      </c>
      <c r="BI305" s="177">
        <f t="shared" si="77"/>
        <v>63939199</v>
      </c>
      <c r="BK305" s="608"/>
    </row>
    <row r="306" spans="1:63" s="178" customFormat="1" ht="109.5" customHeight="1" x14ac:dyDescent="0.2">
      <c r="A306" s="386"/>
      <c r="B306" s="581"/>
      <c r="C306" s="583"/>
      <c r="D306" s="304"/>
      <c r="E306" s="577">
        <v>1905</v>
      </c>
      <c r="F306" s="579" t="s">
        <v>988</v>
      </c>
      <c r="G306" s="577" t="s">
        <v>1080</v>
      </c>
      <c r="H306" s="577">
        <v>1905031</v>
      </c>
      <c r="I306" s="578" t="s">
        <v>1081</v>
      </c>
      <c r="J306" s="589" t="s">
        <v>1082</v>
      </c>
      <c r="K306" s="577">
        <v>190503100</v>
      </c>
      <c r="L306" s="578" t="s">
        <v>1083</v>
      </c>
      <c r="M306" s="266" t="s">
        <v>89</v>
      </c>
      <c r="N306" s="266">
        <v>12</v>
      </c>
      <c r="O306" s="266">
        <v>12</v>
      </c>
      <c r="P306" s="266">
        <v>3</v>
      </c>
      <c r="Q306" s="636"/>
      <c r="R306" s="634"/>
      <c r="S306" s="633"/>
      <c r="T306" s="27"/>
      <c r="U306" s="27"/>
      <c r="V306" s="27"/>
      <c r="W306" s="27"/>
      <c r="X306" s="27"/>
      <c r="Y306" s="27"/>
      <c r="Z306" s="27"/>
      <c r="AA306" s="27"/>
      <c r="AB306" s="27"/>
      <c r="AC306" s="27"/>
      <c r="AD306" s="27"/>
      <c r="AE306" s="27"/>
      <c r="AF306" s="258">
        <f>60000000-1000000</f>
        <v>59000000</v>
      </c>
      <c r="AG306" s="258">
        <v>29987467</v>
      </c>
      <c r="AH306" s="258">
        <v>29987467</v>
      </c>
      <c r="AI306" s="27"/>
      <c r="AJ306" s="27"/>
      <c r="AK306" s="27"/>
      <c r="AL306" s="27"/>
      <c r="AM306" s="27"/>
      <c r="AN306" s="27"/>
      <c r="AO306" s="27"/>
      <c r="AP306" s="27"/>
      <c r="AQ306" s="27"/>
      <c r="AR306" s="27"/>
      <c r="AS306" s="27"/>
      <c r="AT306" s="27"/>
      <c r="AU306" s="27"/>
      <c r="AV306" s="27"/>
      <c r="AW306" s="27"/>
      <c r="AX306" s="33"/>
      <c r="AY306" s="33"/>
      <c r="AZ306" s="33"/>
      <c r="BA306" s="27"/>
      <c r="BB306" s="27"/>
      <c r="BC306" s="27"/>
      <c r="BD306" s="27"/>
      <c r="BE306" s="27"/>
      <c r="BF306" s="27"/>
      <c r="BG306" s="177">
        <f t="shared" si="77"/>
        <v>59000000</v>
      </c>
      <c r="BH306" s="177">
        <f t="shared" si="77"/>
        <v>29987467</v>
      </c>
      <c r="BI306" s="177">
        <f t="shared" si="77"/>
        <v>29987467</v>
      </c>
      <c r="BK306" s="608"/>
    </row>
    <row r="307" spans="1:63" s="178" customFormat="1" ht="134.25" customHeight="1" x14ac:dyDescent="0.2">
      <c r="A307" s="386"/>
      <c r="B307" s="581"/>
      <c r="C307" s="583"/>
      <c r="D307" s="304"/>
      <c r="E307" s="577">
        <v>1905</v>
      </c>
      <c r="F307" s="578" t="s">
        <v>1132</v>
      </c>
      <c r="G307" s="266" t="s">
        <v>1133</v>
      </c>
      <c r="H307" s="577">
        <v>1905012</v>
      </c>
      <c r="I307" s="578" t="s">
        <v>1134</v>
      </c>
      <c r="J307" s="590" t="s">
        <v>1135</v>
      </c>
      <c r="K307" s="266">
        <v>190501200</v>
      </c>
      <c r="L307" s="271" t="s">
        <v>1134</v>
      </c>
      <c r="M307" s="266" t="s">
        <v>89</v>
      </c>
      <c r="N307" s="266">
        <v>1</v>
      </c>
      <c r="O307" s="266">
        <v>1</v>
      </c>
      <c r="P307" s="266">
        <v>1</v>
      </c>
      <c r="Q307" s="636" t="s">
        <v>188</v>
      </c>
      <c r="R307" s="634" t="s">
        <v>1136</v>
      </c>
      <c r="S307" s="633" t="s">
        <v>1137</v>
      </c>
      <c r="T307" s="27"/>
      <c r="U307" s="27"/>
      <c r="V307" s="27"/>
      <c r="W307" s="27"/>
      <c r="X307" s="27"/>
      <c r="Y307" s="27"/>
      <c r="Z307" s="27"/>
      <c r="AA307" s="27"/>
      <c r="AB307" s="27"/>
      <c r="AC307" s="27"/>
      <c r="AD307" s="27"/>
      <c r="AE307" s="27"/>
      <c r="AF307" s="27">
        <v>20000000</v>
      </c>
      <c r="AG307" s="27">
        <v>7000000</v>
      </c>
      <c r="AH307" s="27">
        <v>7000000</v>
      </c>
      <c r="AI307" s="27"/>
      <c r="AJ307" s="27"/>
      <c r="AK307" s="27"/>
      <c r="AL307" s="27"/>
      <c r="AM307" s="27"/>
      <c r="AN307" s="27"/>
      <c r="AO307" s="27"/>
      <c r="AP307" s="27"/>
      <c r="AQ307" s="27"/>
      <c r="AR307" s="27"/>
      <c r="AS307" s="27"/>
      <c r="AT307" s="27"/>
      <c r="AU307" s="27"/>
      <c r="AV307" s="27"/>
      <c r="AW307" s="27"/>
      <c r="AX307" s="33"/>
      <c r="AY307" s="33"/>
      <c r="AZ307" s="33"/>
      <c r="BA307" s="27"/>
      <c r="BB307" s="27"/>
      <c r="BC307" s="27"/>
      <c r="BD307" s="334"/>
      <c r="BE307" s="334"/>
      <c r="BF307" s="334"/>
      <c r="BG307" s="177">
        <f>+T307+W307+Z307+AC307+AF307+AI307+AL307+AO307+AR307+AU307+AX307+BA307+BD307</f>
        <v>20000000</v>
      </c>
      <c r="BH307" s="177">
        <f t="shared" si="77"/>
        <v>7000000</v>
      </c>
      <c r="BI307" s="177">
        <f t="shared" si="77"/>
        <v>7000000</v>
      </c>
      <c r="BK307" s="608"/>
    </row>
    <row r="308" spans="1:63" s="178" customFormat="1" ht="147" customHeight="1" x14ac:dyDescent="0.2">
      <c r="A308" s="386"/>
      <c r="B308" s="581"/>
      <c r="C308" s="583"/>
      <c r="D308" s="304"/>
      <c r="E308" s="577">
        <v>1905</v>
      </c>
      <c r="F308" s="578" t="s">
        <v>1138</v>
      </c>
      <c r="G308" s="584">
        <v>12.1</v>
      </c>
      <c r="H308" s="577">
        <v>1905026</v>
      </c>
      <c r="I308" s="578" t="s">
        <v>1140</v>
      </c>
      <c r="J308" s="591" t="s">
        <v>1141</v>
      </c>
      <c r="K308" s="266">
        <v>190502600</v>
      </c>
      <c r="L308" s="271" t="s">
        <v>1142</v>
      </c>
      <c r="M308" s="577" t="s">
        <v>89</v>
      </c>
      <c r="N308" s="577">
        <v>12</v>
      </c>
      <c r="O308" s="577">
        <v>12</v>
      </c>
      <c r="P308" s="577">
        <v>12</v>
      </c>
      <c r="Q308" s="636"/>
      <c r="R308" s="634"/>
      <c r="S308" s="633"/>
      <c r="T308" s="27"/>
      <c r="U308" s="27"/>
      <c r="V308" s="27"/>
      <c r="W308" s="27"/>
      <c r="X308" s="27"/>
      <c r="Y308" s="27"/>
      <c r="Z308" s="27"/>
      <c r="AA308" s="27"/>
      <c r="AB308" s="27"/>
      <c r="AC308" s="27"/>
      <c r="AD308" s="27"/>
      <c r="AE308" s="27"/>
      <c r="AF308" s="27">
        <f>60000000-20000000</f>
        <v>40000000</v>
      </c>
      <c r="AG308" s="27">
        <v>17300000</v>
      </c>
      <c r="AH308" s="27">
        <v>17300000</v>
      </c>
      <c r="AI308" s="27"/>
      <c r="AJ308" s="27"/>
      <c r="AK308" s="27"/>
      <c r="AL308" s="27"/>
      <c r="AM308" s="27"/>
      <c r="AN308" s="27"/>
      <c r="AO308" s="27"/>
      <c r="AP308" s="27"/>
      <c r="AQ308" s="27"/>
      <c r="AR308" s="27"/>
      <c r="AS308" s="27"/>
      <c r="AT308" s="27"/>
      <c r="AU308" s="27"/>
      <c r="AV308" s="27"/>
      <c r="AW308" s="27"/>
      <c r="AX308" s="33"/>
      <c r="AY308" s="33"/>
      <c r="AZ308" s="33"/>
      <c r="BA308" s="27"/>
      <c r="BB308" s="27"/>
      <c r="BC308" s="27"/>
      <c r="BD308" s="334"/>
      <c r="BE308" s="334"/>
      <c r="BF308" s="334"/>
      <c r="BG308" s="177">
        <f t="shared" si="77"/>
        <v>40000000</v>
      </c>
      <c r="BH308" s="177">
        <f t="shared" si="77"/>
        <v>17300000</v>
      </c>
      <c r="BI308" s="177">
        <f t="shared" si="77"/>
        <v>17300000</v>
      </c>
      <c r="BK308" s="608"/>
    </row>
    <row r="309" spans="1:63" s="178" customFormat="1" ht="124.5" customHeight="1" x14ac:dyDescent="0.2">
      <c r="A309" s="386"/>
      <c r="B309" s="581"/>
      <c r="C309" s="583"/>
      <c r="D309" s="304"/>
      <c r="E309" s="577">
        <v>1905</v>
      </c>
      <c r="F309" s="578" t="s">
        <v>1132</v>
      </c>
      <c r="G309" s="577" t="s">
        <v>1143</v>
      </c>
      <c r="H309" s="577">
        <v>1905027</v>
      </c>
      <c r="I309" s="578" t="s">
        <v>1144</v>
      </c>
      <c r="J309" s="589" t="s">
        <v>1145</v>
      </c>
      <c r="K309" s="266">
        <v>190502700</v>
      </c>
      <c r="L309" s="578" t="s">
        <v>1146</v>
      </c>
      <c r="M309" s="266" t="s">
        <v>89</v>
      </c>
      <c r="N309" s="266">
        <v>12</v>
      </c>
      <c r="O309" s="266">
        <v>12</v>
      </c>
      <c r="P309" s="266">
        <v>12</v>
      </c>
      <c r="Q309" s="636"/>
      <c r="R309" s="634"/>
      <c r="S309" s="633"/>
      <c r="T309" s="27"/>
      <c r="U309" s="27"/>
      <c r="V309" s="27"/>
      <c r="W309" s="27"/>
      <c r="X309" s="27"/>
      <c r="Y309" s="27"/>
      <c r="Z309" s="27"/>
      <c r="AA309" s="27"/>
      <c r="AB309" s="27"/>
      <c r="AC309" s="27"/>
      <c r="AD309" s="27"/>
      <c r="AE309" s="27"/>
      <c r="AF309" s="27">
        <v>60000000</v>
      </c>
      <c r="AG309" s="27">
        <v>46039998</v>
      </c>
      <c r="AH309" s="27">
        <v>46039998</v>
      </c>
      <c r="AI309" s="193"/>
      <c r="AJ309" s="193"/>
      <c r="AK309" s="193"/>
      <c r="AL309" s="27"/>
      <c r="AM309" s="27"/>
      <c r="AN309" s="27"/>
      <c r="AO309" s="27"/>
      <c r="AP309" s="27"/>
      <c r="AQ309" s="27"/>
      <c r="AR309" s="27"/>
      <c r="AS309" s="27"/>
      <c r="AT309" s="27"/>
      <c r="AU309" s="27"/>
      <c r="AV309" s="27"/>
      <c r="AW309" s="27"/>
      <c r="AX309" s="33">
        <f>20000000-13438000-6562000</f>
        <v>0</v>
      </c>
      <c r="AY309" s="33"/>
      <c r="AZ309" s="33"/>
      <c r="BA309" s="27"/>
      <c r="BB309" s="27"/>
      <c r="BC309" s="27"/>
      <c r="BD309" s="27"/>
      <c r="BE309" s="27"/>
      <c r="BF309" s="27"/>
      <c r="BG309" s="177">
        <f t="shared" si="77"/>
        <v>60000000</v>
      </c>
      <c r="BH309" s="177">
        <f t="shared" si="77"/>
        <v>46039998</v>
      </c>
      <c r="BI309" s="177">
        <f t="shared" si="77"/>
        <v>46039998</v>
      </c>
      <c r="BK309" s="608"/>
    </row>
    <row r="310" spans="1:63" s="178" customFormat="1" ht="84.75" customHeight="1" x14ac:dyDescent="0.2">
      <c r="A310" s="386"/>
      <c r="B310" s="581"/>
      <c r="C310" s="583"/>
      <c r="D310" s="304"/>
      <c r="E310" s="577">
        <v>1905</v>
      </c>
      <c r="F310" s="579" t="s">
        <v>1147</v>
      </c>
      <c r="G310" s="584" t="s">
        <v>1103</v>
      </c>
      <c r="H310" s="577" t="s">
        <v>83</v>
      </c>
      <c r="I310" s="578" t="s">
        <v>1148</v>
      </c>
      <c r="J310" s="591" t="s">
        <v>1104</v>
      </c>
      <c r="K310" s="266" t="s">
        <v>83</v>
      </c>
      <c r="L310" s="271" t="s">
        <v>1105</v>
      </c>
      <c r="M310" s="577" t="s">
        <v>1391</v>
      </c>
      <c r="N310" s="577">
        <v>12</v>
      </c>
      <c r="O310" s="570">
        <v>2</v>
      </c>
      <c r="P310" s="570">
        <v>1</v>
      </c>
      <c r="Q310" s="636" t="s">
        <v>188</v>
      </c>
      <c r="R310" s="634" t="s">
        <v>1149</v>
      </c>
      <c r="S310" s="633" t="s">
        <v>1150</v>
      </c>
      <c r="T310" s="27"/>
      <c r="U310" s="27"/>
      <c r="V310" s="27"/>
      <c r="W310" s="27"/>
      <c r="X310" s="27"/>
      <c r="Y310" s="27"/>
      <c r="Z310" s="27"/>
      <c r="AA310" s="27"/>
      <c r="AB310" s="27"/>
      <c r="AC310" s="27"/>
      <c r="AD310" s="27"/>
      <c r="AE310" s="27"/>
      <c r="AF310" s="27">
        <f>100000000-25000000</f>
        <v>75000000</v>
      </c>
      <c r="AG310" s="27">
        <v>25600000</v>
      </c>
      <c r="AH310" s="27">
        <v>25600000</v>
      </c>
      <c r="AI310" s="27"/>
      <c r="AJ310" s="27"/>
      <c r="AK310" s="27"/>
      <c r="AL310" s="27"/>
      <c r="AM310" s="27"/>
      <c r="AN310" s="27"/>
      <c r="AO310" s="27"/>
      <c r="AP310" s="27"/>
      <c r="AQ310" s="27"/>
      <c r="AR310" s="27"/>
      <c r="AS310" s="27"/>
      <c r="AT310" s="27"/>
      <c r="AU310" s="27"/>
      <c r="AV310" s="27"/>
      <c r="AW310" s="27"/>
      <c r="AX310" s="33">
        <f>75000000+55000000+15000000</f>
        <v>145000000</v>
      </c>
      <c r="AY310" s="33">
        <v>99627187</v>
      </c>
      <c r="AZ310" s="33">
        <v>99627187</v>
      </c>
      <c r="BA310" s="27"/>
      <c r="BB310" s="27"/>
      <c r="BC310" s="27"/>
      <c r="BD310" s="27">
        <f>200991312+59118933-55519922</f>
        <v>204590323</v>
      </c>
      <c r="BE310" s="27">
        <v>198198151</v>
      </c>
      <c r="BF310" s="27">
        <v>198198151</v>
      </c>
      <c r="BG310" s="177">
        <f t="shared" si="77"/>
        <v>424590323</v>
      </c>
      <c r="BH310" s="177">
        <f t="shared" si="77"/>
        <v>323425338</v>
      </c>
      <c r="BI310" s="177">
        <f t="shared" si="77"/>
        <v>323425338</v>
      </c>
      <c r="BK310" s="608"/>
    </row>
    <row r="311" spans="1:63" s="178" customFormat="1" ht="159" customHeight="1" x14ac:dyDescent="0.2">
      <c r="A311" s="386"/>
      <c r="B311" s="581"/>
      <c r="C311" s="583"/>
      <c r="D311" s="304"/>
      <c r="E311" s="577">
        <v>1905</v>
      </c>
      <c r="F311" s="578" t="s">
        <v>1138</v>
      </c>
      <c r="G311" s="584" t="s">
        <v>1139</v>
      </c>
      <c r="H311" s="577">
        <v>1905026</v>
      </c>
      <c r="I311" s="578" t="s">
        <v>1140</v>
      </c>
      <c r="J311" s="591" t="s">
        <v>1141</v>
      </c>
      <c r="K311" s="266">
        <v>190502600</v>
      </c>
      <c r="L311" s="271" t="s">
        <v>1142</v>
      </c>
      <c r="M311" s="577" t="s">
        <v>89</v>
      </c>
      <c r="N311" s="577">
        <v>12</v>
      </c>
      <c r="O311" s="577">
        <v>12</v>
      </c>
      <c r="P311" s="577">
        <v>11</v>
      </c>
      <c r="Q311" s="636"/>
      <c r="R311" s="634"/>
      <c r="S311" s="633"/>
      <c r="T311" s="27"/>
      <c r="U311" s="27"/>
      <c r="V311" s="27"/>
      <c r="W311" s="27"/>
      <c r="X311" s="27"/>
      <c r="Y311" s="27"/>
      <c r="Z311" s="27"/>
      <c r="AA311" s="27"/>
      <c r="AB311" s="27"/>
      <c r="AC311" s="27"/>
      <c r="AD311" s="27"/>
      <c r="AE311" s="27"/>
      <c r="AF311" s="27">
        <v>100000000</v>
      </c>
      <c r="AG311" s="27">
        <v>67033333</v>
      </c>
      <c r="AH311" s="27">
        <v>67033333</v>
      </c>
      <c r="AI311" s="27"/>
      <c r="AJ311" s="27"/>
      <c r="AK311" s="27"/>
      <c r="AL311" s="193"/>
      <c r="AM311" s="193"/>
      <c r="AN311" s="193"/>
      <c r="AO311" s="27"/>
      <c r="AP311" s="27"/>
      <c r="AQ311" s="27"/>
      <c r="AR311" s="27"/>
      <c r="AS311" s="27"/>
      <c r="AT311" s="27"/>
      <c r="AU311" s="27"/>
      <c r="AV311" s="27"/>
      <c r="AW311" s="27"/>
      <c r="AX311" s="27"/>
      <c r="AY311" s="27"/>
      <c r="AZ311" s="27"/>
      <c r="BA311" s="27"/>
      <c r="BB311" s="27"/>
      <c r="BC311" s="27"/>
      <c r="BD311" s="27">
        <f>340860.61+168116148+662000+158045-168116148</f>
        <v>1160905.6100000143</v>
      </c>
      <c r="BE311" s="27">
        <v>0</v>
      </c>
      <c r="BF311" s="27">
        <v>0</v>
      </c>
      <c r="BG311" s="177">
        <f t="shared" si="77"/>
        <v>101160905.61000001</v>
      </c>
      <c r="BH311" s="177">
        <f t="shared" si="77"/>
        <v>67033333</v>
      </c>
      <c r="BI311" s="177">
        <f t="shared" si="77"/>
        <v>67033333</v>
      </c>
      <c r="BK311" s="608"/>
    </row>
    <row r="312" spans="1:63" s="178" customFormat="1" ht="88.5" customHeight="1" x14ac:dyDescent="0.2">
      <c r="A312" s="386"/>
      <c r="B312" s="581"/>
      <c r="C312" s="583"/>
      <c r="D312" s="304"/>
      <c r="E312" s="577">
        <v>1905</v>
      </c>
      <c r="F312" s="579" t="s">
        <v>993</v>
      </c>
      <c r="G312" s="577" t="s">
        <v>1151</v>
      </c>
      <c r="H312" s="577">
        <v>1905014</v>
      </c>
      <c r="I312" s="578" t="s">
        <v>580</v>
      </c>
      <c r="J312" s="589" t="s">
        <v>1152</v>
      </c>
      <c r="K312" s="577">
        <v>190501400</v>
      </c>
      <c r="L312" s="578" t="s">
        <v>607</v>
      </c>
      <c r="M312" s="266" t="s">
        <v>89</v>
      </c>
      <c r="N312" s="266">
        <v>12</v>
      </c>
      <c r="O312" s="266">
        <v>12</v>
      </c>
      <c r="P312" s="266">
        <v>12</v>
      </c>
      <c r="Q312" s="636" t="s">
        <v>188</v>
      </c>
      <c r="R312" s="634" t="s">
        <v>1153</v>
      </c>
      <c r="S312" s="633" t="s">
        <v>1154</v>
      </c>
      <c r="T312" s="27"/>
      <c r="U312" s="27"/>
      <c r="V312" s="27"/>
      <c r="W312" s="27"/>
      <c r="X312" s="27"/>
      <c r="Y312" s="27"/>
      <c r="Z312" s="27"/>
      <c r="AA312" s="27"/>
      <c r="AB312" s="27"/>
      <c r="AC312" s="27"/>
      <c r="AD312" s="27"/>
      <c r="AE312" s="27"/>
      <c r="AF312" s="27">
        <f>45000000-17185750</f>
        <v>27814250</v>
      </c>
      <c r="AG312" s="27">
        <v>21834998</v>
      </c>
      <c r="AH312" s="27">
        <v>21834998</v>
      </c>
      <c r="AI312" s="27"/>
      <c r="AJ312" s="27"/>
      <c r="AK312" s="27"/>
      <c r="AL312" s="27"/>
      <c r="AM312" s="27"/>
      <c r="AN312" s="27"/>
      <c r="AO312" s="27"/>
      <c r="AP312" s="27"/>
      <c r="AQ312" s="27"/>
      <c r="AR312" s="27"/>
      <c r="AS312" s="27"/>
      <c r="AT312" s="27"/>
      <c r="AU312" s="27"/>
      <c r="AV312" s="27"/>
      <c r="AW312" s="27"/>
      <c r="AX312" s="33"/>
      <c r="AY312" s="33"/>
      <c r="AZ312" s="33"/>
      <c r="BA312" s="27"/>
      <c r="BB312" s="27"/>
      <c r="BC312" s="27"/>
      <c r="BD312" s="27"/>
      <c r="BE312" s="27"/>
      <c r="BF312" s="27"/>
      <c r="BG312" s="177">
        <f t="shared" si="77"/>
        <v>27814250</v>
      </c>
      <c r="BH312" s="177">
        <f t="shared" si="77"/>
        <v>21834998</v>
      </c>
      <c r="BI312" s="177">
        <f t="shared" si="77"/>
        <v>21834998</v>
      </c>
      <c r="BK312" s="608"/>
    </row>
    <row r="313" spans="1:63" s="178" customFormat="1" ht="146.25" customHeight="1" x14ac:dyDescent="0.2">
      <c r="A313" s="386"/>
      <c r="B313" s="581"/>
      <c r="C313" s="583"/>
      <c r="D313" s="304"/>
      <c r="E313" s="577">
        <v>1905</v>
      </c>
      <c r="F313" s="579" t="s">
        <v>1138</v>
      </c>
      <c r="G313" s="584" t="s">
        <v>1139</v>
      </c>
      <c r="H313" s="577">
        <v>1905026</v>
      </c>
      <c r="I313" s="578" t="s">
        <v>1155</v>
      </c>
      <c r="J313" s="584" t="s">
        <v>1141</v>
      </c>
      <c r="K313" s="266">
        <v>190502600</v>
      </c>
      <c r="L313" s="271" t="s">
        <v>1142</v>
      </c>
      <c r="M313" s="577" t="s">
        <v>89</v>
      </c>
      <c r="N313" s="577">
        <v>12</v>
      </c>
      <c r="O313" s="577">
        <v>12</v>
      </c>
      <c r="P313" s="577">
        <v>8</v>
      </c>
      <c r="Q313" s="636"/>
      <c r="R313" s="634"/>
      <c r="S313" s="633"/>
      <c r="T313" s="27"/>
      <c r="U313" s="27"/>
      <c r="V313" s="27"/>
      <c r="W313" s="27"/>
      <c r="X313" s="27"/>
      <c r="Y313" s="27"/>
      <c r="Z313" s="27"/>
      <c r="AA313" s="27"/>
      <c r="AB313" s="27"/>
      <c r="AC313" s="27"/>
      <c r="AD313" s="27"/>
      <c r="AE313" s="27"/>
      <c r="AF313" s="27">
        <v>17185750</v>
      </c>
      <c r="AG313" s="27">
        <v>17185000</v>
      </c>
      <c r="AH313" s="27">
        <v>17185000</v>
      </c>
      <c r="AI313" s="27"/>
      <c r="AJ313" s="27"/>
      <c r="AK313" s="27"/>
      <c r="AL313" s="27"/>
      <c r="AM313" s="27"/>
      <c r="AN313" s="27"/>
      <c r="AO313" s="27"/>
      <c r="AP313" s="27"/>
      <c r="AQ313" s="27"/>
      <c r="AR313" s="27"/>
      <c r="AS313" s="27"/>
      <c r="AT313" s="27"/>
      <c r="AU313" s="27"/>
      <c r="AV313" s="27"/>
      <c r="AW313" s="27"/>
      <c r="AX313" s="33"/>
      <c r="AY313" s="33"/>
      <c r="AZ313" s="33"/>
      <c r="BA313" s="27"/>
      <c r="BB313" s="27"/>
      <c r="BC313" s="27"/>
      <c r="BD313" s="33">
        <f>155911553+22308240+3163033-4541113</f>
        <v>176841713</v>
      </c>
      <c r="BE313" s="33">
        <v>82173332</v>
      </c>
      <c r="BF313" s="33">
        <v>82173332</v>
      </c>
      <c r="BG313" s="177">
        <f t="shared" si="77"/>
        <v>194027463</v>
      </c>
      <c r="BH313" s="177">
        <f t="shared" si="77"/>
        <v>99358332</v>
      </c>
      <c r="BI313" s="177">
        <f t="shared" si="77"/>
        <v>99358332</v>
      </c>
      <c r="BK313" s="608"/>
    </row>
    <row r="314" spans="1:63" s="178" customFormat="1" ht="155.25" customHeight="1" x14ac:dyDescent="0.2">
      <c r="A314" s="386"/>
      <c r="B314" s="581"/>
      <c r="C314" s="583"/>
      <c r="D314" s="304"/>
      <c r="E314" s="577">
        <v>1905</v>
      </c>
      <c r="F314" s="579" t="s">
        <v>1138</v>
      </c>
      <c r="G314" s="584" t="s">
        <v>1139</v>
      </c>
      <c r="H314" s="577">
        <v>1905026</v>
      </c>
      <c r="I314" s="578" t="s">
        <v>1140</v>
      </c>
      <c r="J314" s="584" t="s">
        <v>1141</v>
      </c>
      <c r="K314" s="266">
        <v>190502600</v>
      </c>
      <c r="L314" s="271" t="s">
        <v>1142</v>
      </c>
      <c r="M314" s="577" t="s">
        <v>89</v>
      </c>
      <c r="N314" s="577">
        <v>12</v>
      </c>
      <c r="O314" s="577">
        <v>12</v>
      </c>
      <c r="P314" s="577">
        <v>12</v>
      </c>
      <c r="Q314" s="579" t="s">
        <v>188</v>
      </c>
      <c r="R314" s="577" t="s">
        <v>1156</v>
      </c>
      <c r="S314" s="578" t="s">
        <v>1157</v>
      </c>
      <c r="T314" s="27"/>
      <c r="U314" s="27"/>
      <c r="V314" s="27"/>
      <c r="W314" s="27"/>
      <c r="X314" s="27"/>
      <c r="Y314" s="27"/>
      <c r="Z314" s="27"/>
      <c r="AA314" s="27"/>
      <c r="AB314" s="27"/>
      <c r="AC314" s="27"/>
      <c r="AD314" s="27"/>
      <c r="AE314" s="27"/>
      <c r="AF314" s="27"/>
      <c r="AG314" s="27"/>
      <c r="AH314" s="27"/>
      <c r="AI314" s="585"/>
      <c r="AJ314" s="585"/>
      <c r="AK314" s="585"/>
      <c r="AL314" s="27"/>
      <c r="AM314" s="27"/>
      <c r="AN314" s="27"/>
      <c r="AO314" s="27"/>
      <c r="AP314" s="27"/>
      <c r="AQ314" s="27"/>
      <c r="AR314" s="27"/>
      <c r="AS314" s="27"/>
      <c r="AT314" s="27"/>
      <c r="AU314" s="27"/>
      <c r="AV314" s="27"/>
      <c r="AW314" s="27"/>
      <c r="AX314" s="33">
        <v>2929870740</v>
      </c>
      <c r="AY314" s="33">
        <f>'[8]F-PLA-47 MP SALUD DIC'!$R$99+'[8]F-PLA-47 MP SALUD DIC'!$R$100</f>
        <v>2046280599.3299999</v>
      </c>
      <c r="AZ314" s="33">
        <f>'[8]F-PLA-47 MP SALUD DIC'!$S$99+'[8]F-PLA-47 MP SALUD DIC'!$S$100</f>
        <v>1656509630.3299999</v>
      </c>
      <c r="BA314" s="27"/>
      <c r="BB314" s="27"/>
      <c r="BC314" s="27"/>
      <c r="BD314" s="27">
        <v>0</v>
      </c>
      <c r="BE314" s="27"/>
      <c r="BF314" s="27"/>
      <c r="BG314" s="177">
        <f t="shared" si="77"/>
        <v>2929870740</v>
      </c>
      <c r="BH314" s="177">
        <f t="shared" si="77"/>
        <v>2046280599.3299999</v>
      </c>
      <c r="BI314" s="177">
        <f t="shared" si="77"/>
        <v>1656509630.3299999</v>
      </c>
      <c r="BK314" s="608"/>
    </row>
    <row r="315" spans="1:63" s="178" customFormat="1" ht="174" customHeight="1" x14ac:dyDescent="0.2">
      <c r="A315" s="386"/>
      <c r="B315" s="581"/>
      <c r="C315" s="583"/>
      <c r="D315" s="304"/>
      <c r="E315" s="577">
        <v>1905</v>
      </c>
      <c r="F315" s="579" t="s">
        <v>1138</v>
      </c>
      <c r="G315" s="584" t="s">
        <v>1139</v>
      </c>
      <c r="H315" s="577">
        <v>1905026</v>
      </c>
      <c r="I315" s="578" t="s">
        <v>1140</v>
      </c>
      <c r="J315" s="584" t="s">
        <v>1141</v>
      </c>
      <c r="K315" s="266">
        <v>190502600</v>
      </c>
      <c r="L315" s="271" t="s">
        <v>1142</v>
      </c>
      <c r="M315" s="577" t="s">
        <v>89</v>
      </c>
      <c r="N315" s="577">
        <v>12</v>
      </c>
      <c r="O315" s="577">
        <v>12</v>
      </c>
      <c r="P315" s="577">
        <v>12</v>
      </c>
      <c r="Q315" s="579" t="s">
        <v>188</v>
      </c>
      <c r="R315" s="634" t="s">
        <v>1162</v>
      </c>
      <c r="S315" s="637" t="s">
        <v>1163</v>
      </c>
      <c r="T315" s="27"/>
      <c r="U315" s="27"/>
      <c r="V315" s="27"/>
      <c r="W315" s="27"/>
      <c r="X315" s="27"/>
      <c r="Y315" s="27"/>
      <c r="Z315" s="27"/>
      <c r="AA315" s="27"/>
      <c r="AB315" s="27"/>
      <c r="AC315" s="27"/>
      <c r="AD315" s="27"/>
      <c r="AE315" s="27"/>
      <c r="AF315" s="27">
        <f>10000000-2000000</f>
        <v>8000000</v>
      </c>
      <c r="AG315" s="27">
        <v>8000000</v>
      </c>
      <c r="AH315" s="27">
        <v>8000000</v>
      </c>
      <c r="AI315" s="585"/>
      <c r="AJ315" s="585"/>
      <c r="AK315" s="585"/>
      <c r="AL315" s="27"/>
      <c r="AM315" s="27"/>
      <c r="AN315" s="27"/>
      <c r="AO315" s="27"/>
      <c r="AP315" s="27"/>
      <c r="AQ315" s="27"/>
      <c r="AR315" s="27"/>
      <c r="AS315" s="27"/>
      <c r="AT315" s="27"/>
      <c r="AU315" s="27"/>
      <c r="AV315" s="27"/>
      <c r="AW315" s="27"/>
      <c r="AX315" s="33"/>
      <c r="AY315" s="33"/>
      <c r="AZ315" s="33"/>
      <c r="BA315" s="27"/>
      <c r="BB315" s="27"/>
      <c r="BC315" s="27"/>
      <c r="BD315" s="27"/>
      <c r="BE315" s="27"/>
      <c r="BF315" s="27"/>
      <c r="BG315" s="177">
        <f t="shared" si="77"/>
        <v>8000000</v>
      </c>
      <c r="BH315" s="177">
        <f t="shared" si="77"/>
        <v>8000000</v>
      </c>
      <c r="BI315" s="177">
        <f t="shared" si="77"/>
        <v>8000000</v>
      </c>
      <c r="BK315" s="608"/>
    </row>
    <row r="316" spans="1:63" s="178" customFormat="1" ht="80.25" customHeight="1" x14ac:dyDescent="0.2">
      <c r="A316" s="386"/>
      <c r="B316" s="581"/>
      <c r="C316" s="583"/>
      <c r="D316" s="304"/>
      <c r="E316" s="577">
        <v>1905</v>
      </c>
      <c r="F316" s="579" t="s">
        <v>998</v>
      </c>
      <c r="G316" s="584" t="s">
        <v>1158</v>
      </c>
      <c r="H316" s="577">
        <v>1905029</v>
      </c>
      <c r="I316" s="578" t="s">
        <v>1159</v>
      </c>
      <c r="J316" s="584" t="s">
        <v>1160</v>
      </c>
      <c r="K316" s="266">
        <v>190502900</v>
      </c>
      <c r="L316" s="271" t="s">
        <v>1161</v>
      </c>
      <c r="M316" s="266" t="s">
        <v>89</v>
      </c>
      <c r="N316" s="266">
        <v>60</v>
      </c>
      <c r="O316" s="266">
        <v>60</v>
      </c>
      <c r="P316" s="266">
        <v>45</v>
      </c>
      <c r="Q316" s="579" t="s">
        <v>188</v>
      </c>
      <c r="R316" s="634"/>
      <c r="S316" s="637"/>
      <c r="T316" s="27"/>
      <c r="U316" s="27"/>
      <c r="V316" s="27"/>
      <c r="W316" s="27"/>
      <c r="X316" s="27"/>
      <c r="Y316" s="27"/>
      <c r="Z316" s="27"/>
      <c r="AA316" s="27"/>
      <c r="AB316" s="27"/>
      <c r="AC316" s="27"/>
      <c r="AD316" s="27"/>
      <c r="AE316" s="27"/>
      <c r="AF316" s="27">
        <f>10000000</f>
        <v>10000000</v>
      </c>
      <c r="AG316" s="27">
        <v>6000000</v>
      </c>
      <c r="AH316" s="27">
        <v>6000000</v>
      </c>
      <c r="AI316" s="27"/>
      <c r="AJ316" s="27"/>
      <c r="AK316" s="27"/>
      <c r="AL316" s="27"/>
      <c r="AM316" s="27"/>
      <c r="AN316" s="27"/>
      <c r="AO316" s="27"/>
      <c r="AP316" s="27"/>
      <c r="AQ316" s="27"/>
      <c r="AR316" s="27"/>
      <c r="AS316" s="27"/>
      <c r="AT316" s="27"/>
      <c r="AU316" s="27"/>
      <c r="AV316" s="27"/>
      <c r="AW316" s="27"/>
      <c r="AX316" s="33"/>
      <c r="AY316" s="33"/>
      <c r="AZ316" s="33"/>
      <c r="BA316" s="27"/>
      <c r="BB316" s="27"/>
      <c r="BC316" s="27"/>
      <c r="BD316" s="27"/>
      <c r="BE316" s="27"/>
      <c r="BF316" s="27"/>
      <c r="BG316" s="177">
        <f t="shared" si="77"/>
        <v>10000000</v>
      </c>
      <c r="BH316" s="177">
        <f t="shared" si="77"/>
        <v>6000000</v>
      </c>
      <c r="BI316" s="177">
        <f t="shared" si="77"/>
        <v>6000000</v>
      </c>
      <c r="BK316" s="608"/>
    </row>
    <row r="317" spans="1:63" s="178" customFormat="1" ht="93.75" customHeight="1" x14ac:dyDescent="0.2">
      <c r="A317" s="386"/>
      <c r="B317" s="581"/>
      <c r="C317" s="583"/>
      <c r="D317" s="304"/>
      <c r="E317" s="577">
        <v>1905</v>
      </c>
      <c r="F317" s="579" t="s">
        <v>1057</v>
      </c>
      <c r="G317" s="584" t="s">
        <v>1164</v>
      </c>
      <c r="H317" s="577">
        <v>1905025</v>
      </c>
      <c r="I317" s="578" t="s">
        <v>1165</v>
      </c>
      <c r="J317" s="584" t="s">
        <v>1166</v>
      </c>
      <c r="K317" s="266">
        <v>190502500</v>
      </c>
      <c r="L317" s="271" t="s">
        <v>1167</v>
      </c>
      <c r="M317" s="266" t="s">
        <v>89</v>
      </c>
      <c r="N317" s="266">
        <v>12</v>
      </c>
      <c r="O317" s="266">
        <v>12</v>
      </c>
      <c r="P317" s="266">
        <v>12</v>
      </c>
      <c r="Q317" s="579" t="s">
        <v>188</v>
      </c>
      <c r="R317" s="577" t="s">
        <v>1168</v>
      </c>
      <c r="S317" s="578" t="s">
        <v>1169</v>
      </c>
      <c r="T317" s="27"/>
      <c r="U317" s="27"/>
      <c r="V317" s="27"/>
      <c r="W317" s="27"/>
      <c r="X317" s="27"/>
      <c r="Y317" s="27"/>
      <c r="Z317" s="27"/>
      <c r="AA317" s="27"/>
      <c r="AB317" s="27"/>
      <c r="AC317" s="27"/>
      <c r="AD317" s="27"/>
      <c r="AE317" s="27"/>
      <c r="AF317" s="27">
        <f>76000000-800000</f>
        <v>75200000</v>
      </c>
      <c r="AG317" s="27">
        <v>61813328</v>
      </c>
      <c r="AH317" s="27">
        <v>61813328</v>
      </c>
      <c r="AI317" s="27"/>
      <c r="AJ317" s="27"/>
      <c r="AK317" s="27"/>
      <c r="AL317" s="27"/>
      <c r="AM317" s="27"/>
      <c r="AN317" s="27"/>
      <c r="AO317" s="27"/>
      <c r="AP317" s="27"/>
      <c r="AQ317" s="27"/>
      <c r="AR317" s="27"/>
      <c r="AS317" s="27"/>
      <c r="AT317" s="27"/>
      <c r="AU317" s="27"/>
      <c r="AV317" s="27"/>
      <c r="AW317" s="27"/>
      <c r="AX317" s="33"/>
      <c r="AY317" s="33"/>
      <c r="AZ317" s="33"/>
      <c r="BA317" s="27"/>
      <c r="BB317" s="27"/>
      <c r="BC317" s="27"/>
      <c r="BD317" s="27"/>
      <c r="BE317" s="27"/>
      <c r="BF317" s="27"/>
      <c r="BG317" s="177">
        <f t="shared" si="77"/>
        <v>75200000</v>
      </c>
      <c r="BH317" s="177">
        <f t="shared" si="77"/>
        <v>61813328</v>
      </c>
      <c r="BI317" s="177">
        <f t="shared" si="77"/>
        <v>61813328</v>
      </c>
      <c r="BK317" s="608"/>
    </row>
    <row r="318" spans="1:63" s="178" customFormat="1" ht="96" customHeight="1" x14ac:dyDescent="0.2">
      <c r="A318" s="386"/>
      <c r="B318" s="581"/>
      <c r="C318" s="583"/>
      <c r="D318" s="304"/>
      <c r="E318" s="577">
        <v>1905</v>
      </c>
      <c r="F318" s="579" t="s">
        <v>1008</v>
      </c>
      <c r="G318" s="577">
        <v>12.3</v>
      </c>
      <c r="H318" s="577">
        <v>1905015</v>
      </c>
      <c r="I318" s="578" t="s">
        <v>471</v>
      </c>
      <c r="J318" s="577" t="s">
        <v>1170</v>
      </c>
      <c r="K318" s="577">
        <v>190501503</v>
      </c>
      <c r="L318" s="578" t="s">
        <v>1171</v>
      </c>
      <c r="M318" s="266" t="s">
        <v>89</v>
      </c>
      <c r="N318" s="266">
        <v>15</v>
      </c>
      <c r="O318" s="266">
        <v>15</v>
      </c>
      <c r="P318" s="266">
        <v>7</v>
      </c>
      <c r="Q318" s="579" t="s">
        <v>188</v>
      </c>
      <c r="R318" s="577" t="s">
        <v>1039</v>
      </c>
      <c r="S318" s="578" t="s">
        <v>1040</v>
      </c>
      <c r="T318" s="27"/>
      <c r="U318" s="27"/>
      <c r="V318" s="27"/>
      <c r="W318" s="27"/>
      <c r="X318" s="27"/>
      <c r="Y318" s="27"/>
      <c r="Z318" s="27"/>
      <c r="AA318" s="27"/>
      <c r="AB318" s="27"/>
      <c r="AC318" s="27"/>
      <c r="AD318" s="27"/>
      <c r="AE318" s="27"/>
      <c r="AF318" s="45">
        <f>100126107.49-0.35-70700000</f>
        <v>29426107.140000001</v>
      </c>
      <c r="AG318" s="45">
        <v>4000000</v>
      </c>
      <c r="AH318" s="45">
        <v>4000000</v>
      </c>
      <c r="AI318" s="27"/>
      <c r="AJ318" s="27"/>
      <c r="AK318" s="27"/>
      <c r="AL318" s="27"/>
      <c r="AM318" s="27"/>
      <c r="AN318" s="27"/>
      <c r="AO318" s="27"/>
      <c r="AP318" s="27"/>
      <c r="AQ318" s="27"/>
      <c r="AR318" s="27"/>
      <c r="AS318" s="27"/>
      <c r="AT318" s="27"/>
      <c r="AU318" s="27"/>
      <c r="AV318" s="27"/>
      <c r="AW318" s="27"/>
      <c r="AX318" s="33"/>
      <c r="AY318" s="33"/>
      <c r="AZ318" s="33"/>
      <c r="BA318" s="27"/>
      <c r="BB318" s="27"/>
      <c r="BC318" s="27"/>
      <c r="BD318" s="27"/>
      <c r="BE318" s="27"/>
      <c r="BF318" s="27"/>
      <c r="BG318" s="177">
        <f t="shared" si="77"/>
        <v>29426107.140000001</v>
      </c>
      <c r="BH318" s="177">
        <f t="shared" si="77"/>
        <v>4000000</v>
      </c>
      <c r="BI318" s="177">
        <f t="shared" si="77"/>
        <v>4000000</v>
      </c>
      <c r="BK318" s="608"/>
    </row>
    <row r="319" spans="1:63" s="178" customFormat="1" ht="89.25" customHeight="1" x14ac:dyDescent="0.2">
      <c r="A319" s="386"/>
      <c r="B319" s="581"/>
      <c r="C319" s="346"/>
      <c r="D319" s="577"/>
      <c r="E319" s="577">
        <v>1905</v>
      </c>
      <c r="F319" s="579" t="s">
        <v>1172</v>
      </c>
      <c r="G319" s="580" t="s">
        <v>1173</v>
      </c>
      <c r="H319" s="577" t="s">
        <v>83</v>
      </c>
      <c r="I319" s="579" t="s">
        <v>1174</v>
      </c>
      <c r="J319" s="580" t="s">
        <v>1175</v>
      </c>
      <c r="K319" s="580" t="s">
        <v>83</v>
      </c>
      <c r="L319" s="579" t="s">
        <v>1176</v>
      </c>
      <c r="M319" s="266" t="s">
        <v>89</v>
      </c>
      <c r="N319" s="266">
        <v>1</v>
      </c>
      <c r="O319" s="266">
        <v>1</v>
      </c>
      <c r="P319" s="266">
        <v>1</v>
      </c>
      <c r="Q319" s="579" t="s">
        <v>188</v>
      </c>
      <c r="R319" s="577" t="s">
        <v>1177</v>
      </c>
      <c r="S319" s="578" t="s">
        <v>1178</v>
      </c>
      <c r="T319" s="27"/>
      <c r="U319" s="27"/>
      <c r="V319" s="27"/>
      <c r="W319" s="27"/>
      <c r="X319" s="27"/>
      <c r="Y319" s="27"/>
      <c r="Z319" s="27"/>
      <c r="AA319" s="27"/>
      <c r="AB319" s="27"/>
      <c r="AC319" s="27"/>
      <c r="AD319" s="27"/>
      <c r="AE319" s="27"/>
      <c r="AF319" s="27"/>
      <c r="AG319" s="27"/>
      <c r="AH319" s="27"/>
      <c r="AI319" s="46"/>
      <c r="AJ319" s="46"/>
      <c r="AK319" s="46"/>
      <c r="AL319" s="27"/>
      <c r="AM319" s="27"/>
      <c r="AN319" s="27"/>
      <c r="AO319" s="27"/>
      <c r="AP319" s="27"/>
      <c r="AQ319" s="27"/>
      <c r="AR319" s="27"/>
      <c r="AS319" s="27"/>
      <c r="AT319" s="27"/>
      <c r="AU319" s="27"/>
      <c r="AV319" s="27"/>
      <c r="AW319" s="27"/>
      <c r="AX319" s="33">
        <f>161000000+139000000+150000000</f>
        <v>450000000</v>
      </c>
      <c r="AY319" s="33">
        <v>252687596</v>
      </c>
      <c r="AZ319" s="33">
        <f>'[9]F-PLA-47 MP SALUD DIC'!$S$105+'[9]F-PLA-47 MP SALUD DIC'!$S$106</f>
        <v>230783220</v>
      </c>
      <c r="BA319" s="27"/>
      <c r="BB319" s="27"/>
      <c r="BC319" s="27"/>
      <c r="BD319" s="27"/>
      <c r="BE319" s="27"/>
      <c r="BF319" s="27"/>
      <c r="BG319" s="177">
        <f>+T319+W319+Z319+AC319+AF319+AI319+AL319+AO319+AR319+AU319+AX319+BA319+BD319</f>
        <v>450000000</v>
      </c>
      <c r="BH319" s="177">
        <f t="shared" si="77"/>
        <v>252687596</v>
      </c>
      <c r="BI319" s="177">
        <f t="shared" si="77"/>
        <v>230783220</v>
      </c>
      <c r="BK319" s="608"/>
    </row>
    <row r="320" spans="1:63" s="178" customFormat="1" ht="79.5" customHeight="1" x14ac:dyDescent="0.2">
      <c r="A320" s="386"/>
      <c r="B320" s="581"/>
      <c r="C320" s="583"/>
      <c r="D320" s="304"/>
      <c r="E320" s="577">
        <v>1905</v>
      </c>
      <c r="F320" s="579" t="s">
        <v>1482</v>
      </c>
      <c r="G320" s="577" t="s">
        <v>1080</v>
      </c>
      <c r="H320" s="202">
        <v>1905031</v>
      </c>
      <c r="I320" s="578" t="s">
        <v>1081</v>
      </c>
      <c r="J320" s="589" t="s">
        <v>1082</v>
      </c>
      <c r="K320" s="577">
        <v>190503100</v>
      </c>
      <c r="L320" s="578" t="s">
        <v>1083</v>
      </c>
      <c r="M320" s="266" t="s">
        <v>89</v>
      </c>
      <c r="N320" s="266">
        <v>12</v>
      </c>
      <c r="O320" s="266">
        <v>12</v>
      </c>
      <c r="P320" s="266">
        <v>11</v>
      </c>
      <c r="Q320" s="579" t="s">
        <v>188</v>
      </c>
      <c r="R320" s="577" t="s">
        <v>1179</v>
      </c>
      <c r="S320" s="578" t="s">
        <v>11</v>
      </c>
      <c r="T320" s="27"/>
      <c r="U320" s="27"/>
      <c r="V320" s="27"/>
      <c r="W320" s="27"/>
      <c r="X320" s="27"/>
      <c r="Y320" s="27"/>
      <c r="Z320" s="27"/>
      <c r="AA320" s="27"/>
      <c r="AB320" s="27"/>
      <c r="AC320" s="27"/>
      <c r="AD320" s="27"/>
      <c r="AE320" s="27"/>
      <c r="AF320" s="27">
        <f>1300000000+100126107.49+70700000</f>
        <v>1470826107.49</v>
      </c>
      <c r="AG320" s="27">
        <f>'[8]F-PLA-47 MP SALUD DIC'!$R$107+'[8]F-PLA-47 MP SALUD DIC'!$R$108+'[8]F-PLA-47 MP SALUD DIC'!$R$109</f>
        <v>1037491831</v>
      </c>
      <c r="AH320" s="27">
        <f>'[8]F-PLA-47 MP SALUD DIC'!$S$107+'[8]F-PLA-47 MP SALUD DIC'!$S$108+'[8]F-PLA-47 MP SALUD DIC'!$S$109</f>
        <v>948885165</v>
      </c>
      <c r="AI320" s="27"/>
      <c r="AJ320" s="27"/>
      <c r="AK320" s="27"/>
      <c r="AL320" s="27"/>
      <c r="AM320" s="27"/>
      <c r="AN320" s="27"/>
      <c r="AO320" s="27"/>
      <c r="AP320" s="27"/>
      <c r="AQ320" s="27"/>
      <c r="AR320" s="27"/>
      <c r="AS320" s="27"/>
      <c r="AT320" s="27"/>
      <c r="AU320" s="27"/>
      <c r="AV320" s="27"/>
      <c r="AW320" s="27"/>
      <c r="AX320" s="33"/>
      <c r="AY320" s="33"/>
      <c r="AZ320" s="33"/>
      <c r="BA320" s="27"/>
      <c r="BB320" s="27"/>
      <c r="BC320" s="27"/>
      <c r="BD320" s="27"/>
      <c r="BE320" s="27"/>
      <c r="BF320" s="27"/>
      <c r="BG320" s="177">
        <f t="shared" si="77"/>
        <v>1470826107.49</v>
      </c>
      <c r="BH320" s="177">
        <f t="shared" si="77"/>
        <v>1037491831</v>
      </c>
      <c r="BI320" s="177">
        <f t="shared" si="77"/>
        <v>948885165</v>
      </c>
      <c r="BK320" s="608"/>
    </row>
    <row r="321" spans="1:64" ht="24.75" customHeight="1" x14ac:dyDescent="0.2">
      <c r="A321" s="377"/>
      <c r="B321" s="380"/>
      <c r="C321" s="171">
        <v>13</v>
      </c>
      <c r="D321" s="146">
        <v>1906</v>
      </c>
      <c r="E321" s="308" t="s">
        <v>182</v>
      </c>
      <c r="F321" s="145"/>
      <c r="G321" s="146"/>
      <c r="H321" s="147"/>
      <c r="I321" s="145"/>
      <c r="J321" s="146"/>
      <c r="K321" s="146"/>
      <c r="L321" s="145"/>
      <c r="M321" s="148"/>
      <c r="N321" s="148"/>
      <c r="O321" s="146"/>
      <c r="P321" s="146"/>
      <c r="Q321" s="368"/>
      <c r="R321" s="146"/>
      <c r="S321" s="145"/>
      <c r="T321" s="150">
        <f t="shared" ref="T321:BG321" si="78">SUM(T322:T328)</f>
        <v>0</v>
      </c>
      <c r="U321" s="150"/>
      <c r="V321" s="150"/>
      <c r="W321" s="150">
        <f t="shared" si="78"/>
        <v>0</v>
      </c>
      <c r="X321" s="150"/>
      <c r="Y321" s="150"/>
      <c r="Z321" s="150">
        <f t="shared" si="78"/>
        <v>0</v>
      </c>
      <c r="AA321" s="150"/>
      <c r="AB321" s="150"/>
      <c r="AC321" s="150">
        <f t="shared" si="78"/>
        <v>400000000</v>
      </c>
      <c r="AD321" s="150"/>
      <c r="AE321" s="150"/>
      <c r="AF321" s="150">
        <f t="shared" si="78"/>
        <v>2194512076.8699999</v>
      </c>
      <c r="AG321" s="150">
        <f t="shared" si="78"/>
        <v>2167455372</v>
      </c>
      <c r="AH321" s="150">
        <f t="shared" si="78"/>
        <v>2167455372</v>
      </c>
      <c r="AI321" s="150">
        <f t="shared" si="78"/>
        <v>28909593479.660004</v>
      </c>
      <c r="AJ321" s="150">
        <f t="shared" si="78"/>
        <v>26620250307.440002</v>
      </c>
      <c r="AK321" s="150">
        <f t="shared" si="78"/>
        <v>26620250307.440002</v>
      </c>
      <c r="AL321" s="150">
        <f t="shared" si="78"/>
        <v>0</v>
      </c>
      <c r="AM321" s="150"/>
      <c r="AN321" s="150"/>
      <c r="AO321" s="150">
        <f t="shared" si="78"/>
        <v>0</v>
      </c>
      <c r="AP321" s="150"/>
      <c r="AQ321" s="150"/>
      <c r="AR321" s="150">
        <f t="shared" si="78"/>
        <v>0</v>
      </c>
      <c r="AS321" s="150"/>
      <c r="AT321" s="150"/>
      <c r="AU321" s="150">
        <f t="shared" si="78"/>
        <v>0</v>
      </c>
      <c r="AV321" s="150"/>
      <c r="AW321" s="150"/>
      <c r="AX321" s="150">
        <f t="shared" si="78"/>
        <v>941590000</v>
      </c>
      <c r="AY321" s="150">
        <f t="shared" si="78"/>
        <v>856993332</v>
      </c>
      <c r="AZ321" s="150">
        <f t="shared" si="78"/>
        <v>856993332</v>
      </c>
      <c r="BA321" s="150">
        <f t="shared" si="78"/>
        <v>5475600892</v>
      </c>
      <c r="BB321" s="150"/>
      <c r="BC321" s="150"/>
      <c r="BD321" s="150">
        <f t="shared" si="78"/>
        <v>1413975883.6900001</v>
      </c>
      <c r="BE321" s="150">
        <f t="shared" si="78"/>
        <v>1147256460</v>
      </c>
      <c r="BF321" s="150">
        <f t="shared" si="78"/>
        <v>1147256460</v>
      </c>
      <c r="BG321" s="150">
        <f t="shared" si="78"/>
        <v>39335272332.220001</v>
      </c>
      <c r="BH321" s="150">
        <f>SUM(BH322:BH328)</f>
        <v>36109711863.440002</v>
      </c>
      <c r="BI321" s="150">
        <f>SUM(BI322:BI328)</f>
        <v>36097188363.440002</v>
      </c>
      <c r="BK321" s="608"/>
    </row>
    <row r="322" spans="1:64" s="178" customFormat="1" ht="76.5" customHeight="1" x14ac:dyDescent="0.2">
      <c r="A322" s="386"/>
      <c r="B322" s="581"/>
      <c r="C322" s="583"/>
      <c r="D322" s="304"/>
      <c r="E322" s="577">
        <v>1906</v>
      </c>
      <c r="F322" s="579" t="s">
        <v>1057</v>
      </c>
      <c r="G322" s="577" t="s">
        <v>1180</v>
      </c>
      <c r="H322" s="577">
        <v>1906032</v>
      </c>
      <c r="I322" s="578" t="s">
        <v>1181</v>
      </c>
      <c r="J322" s="577" t="s">
        <v>1182</v>
      </c>
      <c r="K322" s="266">
        <v>190603200</v>
      </c>
      <c r="L322" s="578" t="s">
        <v>1183</v>
      </c>
      <c r="M322" s="266" t="s">
        <v>179</v>
      </c>
      <c r="N322" s="266">
        <v>3000</v>
      </c>
      <c r="O322" s="266">
        <v>1500</v>
      </c>
      <c r="P322" s="266">
        <v>12709</v>
      </c>
      <c r="Q322" s="636" t="s">
        <v>188</v>
      </c>
      <c r="R322" s="634" t="s">
        <v>1184</v>
      </c>
      <c r="S322" s="633" t="s">
        <v>1185</v>
      </c>
      <c r="T322" s="27"/>
      <c r="U322" s="27"/>
      <c r="V322" s="27"/>
      <c r="W322" s="27"/>
      <c r="X322" s="27"/>
      <c r="Y322" s="27"/>
      <c r="Z322" s="27"/>
      <c r="AA322" s="27"/>
      <c r="AB322" s="27"/>
      <c r="AC322" s="27"/>
      <c r="AD322" s="27"/>
      <c r="AE322" s="27"/>
      <c r="AF322" s="27"/>
      <c r="AG322" s="27"/>
      <c r="AH322" s="27"/>
      <c r="AI322" s="45"/>
      <c r="AJ322" s="45"/>
      <c r="AK322" s="45"/>
      <c r="AL322" s="27"/>
      <c r="AM322" s="27"/>
      <c r="AN322" s="27"/>
      <c r="AO322" s="27"/>
      <c r="AP322" s="27"/>
      <c r="AQ322" s="27"/>
      <c r="AR322" s="27"/>
      <c r="AS322" s="27"/>
      <c r="AT322" s="27"/>
      <c r="AU322" s="27"/>
      <c r="AV322" s="27"/>
      <c r="AW322" s="27"/>
      <c r="AX322" s="33"/>
      <c r="AY322" s="33"/>
      <c r="AZ322" s="33"/>
      <c r="BA322" s="27"/>
      <c r="BB322" s="27"/>
      <c r="BC322" s="27"/>
      <c r="BD322" s="27"/>
      <c r="BE322" s="27"/>
      <c r="BF322" s="27"/>
      <c r="BG322" s="177">
        <f>+T322+W322+Z322+AC322+AF322+AI322+AL322+AO322+AR322+AU322+AX322+BA322+BD322</f>
        <v>0</v>
      </c>
      <c r="BH322" s="177">
        <f t="shared" ref="BH322:BI324" si="79">+U322+X322+AA322+AD322+AG322+AJ322+AM322+AP322+AS322+AV322+AY322+BB322+BE322</f>
        <v>0</v>
      </c>
      <c r="BI322" s="177">
        <f t="shared" si="79"/>
        <v>0</v>
      </c>
      <c r="BK322" s="608"/>
    </row>
    <row r="323" spans="1:64" s="178" customFormat="1" ht="71.25" customHeight="1" x14ac:dyDescent="0.2">
      <c r="A323" s="386"/>
      <c r="B323" s="581"/>
      <c r="C323" s="583"/>
      <c r="D323" s="304"/>
      <c r="E323" s="577">
        <v>1906</v>
      </c>
      <c r="F323" s="579" t="s">
        <v>1186</v>
      </c>
      <c r="G323" s="577" t="s">
        <v>1187</v>
      </c>
      <c r="H323" s="577" t="s">
        <v>83</v>
      </c>
      <c r="I323" s="578"/>
      <c r="J323" s="577" t="s">
        <v>1188</v>
      </c>
      <c r="K323" s="577" t="s">
        <v>83</v>
      </c>
      <c r="L323" s="578" t="s">
        <v>1189</v>
      </c>
      <c r="M323" s="266" t="s">
        <v>89</v>
      </c>
      <c r="N323" s="266">
        <v>19899</v>
      </c>
      <c r="O323" s="266">
        <v>19899</v>
      </c>
      <c r="P323" s="266">
        <v>13465</v>
      </c>
      <c r="Q323" s="636"/>
      <c r="R323" s="634"/>
      <c r="S323" s="633"/>
      <c r="T323" s="27"/>
      <c r="U323" s="27"/>
      <c r="V323" s="27"/>
      <c r="W323" s="27"/>
      <c r="X323" s="27"/>
      <c r="Y323" s="27"/>
      <c r="Z323" s="27"/>
      <c r="AA323" s="27"/>
      <c r="AB323" s="27"/>
      <c r="AC323" s="27"/>
      <c r="AD323" s="27"/>
      <c r="AE323" s="27"/>
      <c r="AF323" s="27"/>
      <c r="AG323" s="27"/>
      <c r="AH323" s="27"/>
      <c r="AI323" s="27">
        <f>21634597197+14825685-3.96+328917668.24+103767173.07+2028615750+299873439.13</f>
        <v>24410596908.480003</v>
      </c>
      <c r="AJ323" s="27">
        <v>24395771228.440002</v>
      </c>
      <c r="AK323" s="27">
        <v>24395771228.440002</v>
      </c>
      <c r="AL323" s="27"/>
      <c r="AM323" s="27"/>
      <c r="AN323" s="27"/>
      <c r="AO323" s="27"/>
      <c r="AP323" s="27"/>
      <c r="AQ323" s="27"/>
      <c r="AR323" s="27"/>
      <c r="AS323" s="27"/>
      <c r="AT323" s="27"/>
      <c r="AU323" s="27"/>
      <c r="AV323" s="27"/>
      <c r="AW323" s="27"/>
      <c r="AX323" s="33">
        <v>11200000</v>
      </c>
      <c r="AY323" s="33">
        <v>11200000</v>
      </c>
      <c r="AZ323" s="33">
        <v>11200000</v>
      </c>
      <c r="BA323" s="27"/>
      <c r="BB323" s="27"/>
      <c r="BC323" s="27"/>
      <c r="BD323" s="27"/>
      <c r="BE323" s="27"/>
      <c r="BF323" s="27"/>
      <c r="BG323" s="177">
        <f>+T323+W323+Z323+AC323+AF323+AI323+AL323+AO323+AR323+AU323+AX323+BA323+BD323</f>
        <v>24421796908.480003</v>
      </c>
      <c r="BH323" s="177">
        <f t="shared" si="79"/>
        <v>24406971228.440002</v>
      </c>
      <c r="BI323" s="177">
        <f t="shared" si="79"/>
        <v>24406971228.440002</v>
      </c>
      <c r="BK323" s="608"/>
    </row>
    <row r="324" spans="1:64" s="178" customFormat="1" ht="82.5" customHeight="1" x14ac:dyDescent="0.2">
      <c r="A324" s="386"/>
      <c r="B324" s="581"/>
      <c r="C324" s="346"/>
      <c r="D324" s="577"/>
      <c r="E324" s="577">
        <v>1906</v>
      </c>
      <c r="F324" s="360" t="s">
        <v>1029</v>
      </c>
      <c r="G324" s="643" t="s">
        <v>1190</v>
      </c>
      <c r="H324" s="634" t="s">
        <v>83</v>
      </c>
      <c r="I324" s="633" t="s">
        <v>1191</v>
      </c>
      <c r="J324" s="266" t="s">
        <v>1192</v>
      </c>
      <c r="K324" s="570" t="s">
        <v>83</v>
      </c>
      <c r="L324" s="271" t="s">
        <v>1193</v>
      </c>
      <c r="M324" s="266" t="s">
        <v>89</v>
      </c>
      <c r="N324" s="266">
        <v>60</v>
      </c>
      <c r="O324" s="577">
        <v>60</v>
      </c>
      <c r="P324" s="577">
        <v>33</v>
      </c>
      <c r="Q324" s="636" t="s">
        <v>188</v>
      </c>
      <c r="R324" s="634" t="s">
        <v>1194</v>
      </c>
      <c r="S324" s="633" t="s">
        <v>1195</v>
      </c>
      <c r="T324" s="27"/>
      <c r="U324" s="27"/>
      <c r="V324" s="27"/>
      <c r="W324" s="27"/>
      <c r="X324" s="27"/>
      <c r="Y324" s="27"/>
      <c r="Z324" s="27"/>
      <c r="AA324" s="27"/>
      <c r="AB324" s="27"/>
      <c r="AC324" s="27">
        <v>400000000</v>
      </c>
      <c r="AD324" s="27"/>
      <c r="AE324" s="27"/>
      <c r="AF324" s="27"/>
      <c r="AG324" s="27"/>
      <c r="AH324" s="27"/>
      <c r="AI324" s="27"/>
      <c r="AJ324" s="27"/>
      <c r="AK324" s="27"/>
      <c r="AL324" s="27"/>
      <c r="AM324" s="27"/>
      <c r="AN324" s="27"/>
      <c r="AO324" s="27"/>
      <c r="AP324" s="27"/>
      <c r="AQ324" s="27"/>
      <c r="AR324" s="27"/>
      <c r="AS324" s="27"/>
      <c r="AT324" s="27"/>
      <c r="AU324" s="27"/>
      <c r="AV324" s="27"/>
      <c r="AW324" s="27"/>
      <c r="AX324" s="33"/>
      <c r="AY324" s="33"/>
      <c r="AZ324" s="33"/>
      <c r="BA324" s="27"/>
      <c r="BB324" s="27"/>
      <c r="BC324" s="27"/>
      <c r="BD324" s="27">
        <f>1530716729+39149969-208772729-24042969</f>
        <v>1337051000</v>
      </c>
      <c r="BE324" s="27">
        <v>1147256460</v>
      </c>
      <c r="BF324" s="27">
        <v>1147256460</v>
      </c>
      <c r="BG324" s="177">
        <f>+T324+W324+Z324+AC324+AF324+AI324+AL324+AO324+AR324+AU324+AX324+BA324+BD324</f>
        <v>1737051000</v>
      </c>
      <c r="BH324" s="177">
        <f t="shared" si="79"/>
        <v>1147256460</v>
      </c>
      <c r="BI324" s="177">
        <f t="shared" si="79"/>
        <v>1147256460</v>
      </c>
      <c r="BK324" s="608"/>
    </row>
    <row r="325" spans="1:64" s="178" customFormat="1" ht="69" customHeight="1" x14ac:dyDescent="0.2">
      <c r="A325" s="386"/>
      <c r="B325" s="581"/>
      <c r="C325" s="346"/>
      <c r="D325" s="577"/>
      <c r="E325" s="577">
        <v>1906</v>
      </c>
      <c r="F325" s="588" t="s">
        <v>1186</v>
      </c>
      <c r="G325" s="643"/>
      <c r="H325" s="634"/>
      <c r="I325" s="633"/>
      <c r="J325" s="266" t="s">
        <v>1196</v>
      </c>
      <c r="K325" s="570" t="s">
        <v>83</v>
      </c>
      <c r="L325" s="271" t="s">
        <v>1197</v>
      </c>
      <c r="M325" s="266" t="s">
        <v>89</v>
      </c>
      <c r="N325" s="266">
        <v>40</v>
      </c>
      <c r="O325" s="577">
        <v>40</v>
      </c>
      <c r="P325" s="577">
        <v>0</v>
      </c>
      <c r="Q325" s="636"/>
      <c r="R325" s="634"/>
      <c r="S325" s="633"/>
      <c r="T325" s="27"/>
      <c r="U325" s="27"/>
      <c r="V325" s="27"/>
      <c r="W325" s="27"/>
      <c r="X325" s="27"/>
      <c r="Y325" s="27"/>
      <c r="Z325" s="27"/>
      <c r="AA325" s="27"/>
      <c r="AB325" s="27"/>
      <c r="AC325" s="27"/>
      <c r="AD325" s="27"/>
      <c r="AE325" s="27"/>
      <c r="AF325" s="27"/>
      <c r="AG325" s="27"/>
      <c r="AH325" s="27"/>
      <c r="AI325" s="27"/>
      <c r="AJ325" s="27"/>
      <c r="AK325" s="27"/>
      <c r="AL325" s="27"/>
      <c r="AM325" s="27"/>
      <c r="AN325" s="27"/>
      <c r="AO325" s="27"/>
      <c r="AP325" s="27"/>
      <c r="AQ325" s="27"/>
      <c r="AR325" s="27"/>
      <c r="AS325" s="27"/>
      <c r="AT325" s="27"/>
      <c r="AU325" s="27"/>
      <c r="AV325" s="27"/>
      <c r="AW325" s="27"/>
      <c r="AX325" s="33"/>
      <c r="AY325" s="33"/>
      <c r="AZ325" s="33"/>
      <c r="BA325" s="27"/>
      <c r="BB325" s="27"/>
      <c r="BC325" s="27"/>
      <c r="BD325" s="27"/>
      <c r="BE325" s="27"/>
      <c r="BF325" s="27"/>
      <c r="BG325" s="177"/>
      <c r="BH325" s="177"/>
      <c r="BI325" s="177"/>
      <c r="BK325" s="608"/>
    </row>
    <row r="326" spans="1:64" s="178" customFormat="1" ht="84" customHeight="1" x14ac:dyDescent="0.2">
      <c r="A326" s="386"/>
      <c r="B326" s="581"/>
      <c r="C326" s="346"/>
      <c r="D326" s="577"/>
      <c r="E326" s="577">
        <v>1906</v>
      </c>
      <c r="F326" s="579" t="s">
        <v>1186</v>
      </c>
      <c r="G326" s="266" t="s">
        <v>1489</v>
      </c>
      <c r="H326" s="577" t="s">
        <v>83</v>
      </c>
      <c r="I326" s="578" t="s">
        <v>1198</v>
      </c>
      <c r="J326" s="266" t="s">
        <v>1199</v>
      </c>
      <c r="K326" s="570" t="s">
        <v>83</v>
      </c>
      <c r="L326" s="271" t="s">
        <v>1200</v>
      </c>
      <c r="M326" s="266" t="s">
        <v>89</v>
      </c>
      <c r="N326" s="266">
        <v>100</v>
      </c>
      <c r="O326" s="577">
        <v>100</v>
      </c>
      <c r="P326" s="577">
        <v>100</v>
      </c>
      <c r="Q326" s="636"/>
      <c r="R326" s="634"/>
      <c r="S326" s="633"/>
      <c r="T326" s="27"/>
      <c r="U326" s="27"/>
      <c r="V326" s="27"/>
      <c r="W326" s="27"/>
      <c r="X326" s="27"/>
      <c r="Y326" s="27"/>
      <c r="Z326" s="27"/>
      <c r="AA326" s="27"/>
      <c r="AB326" s="27"/>
      <c r="AC326" s="27"/>
      <c r="AD326" s="27"/>
      <c r="AE326" s="27"/>
      <c r="AF326" s="27">
        <f>1514260580-1496346983-0.13-17913596.87+1496346983+1496346983-1496346983</f>
        <v>1496346983</v>
      </c>
      <c r="AG326" s="27">
        <v>1496346983</v>
      </c>
      <c r="AH326" s="27">
        <v>1496346983</v>
      </c>
      <c r="AI326" s="27"/>
      <c r="AJ326" s="27"/>
      <c r="AK326" s="27"/>
      <c r="AL326" s="27"/>
      <c r="AM326" s="27"/>
      <c r="AN326" s="27"/>
      <c r="AO326" s="27"/>
      <c r="AP326" s="27"/>
      <c r="AQ326" s="27"/>
      <c r="AR326" s="27"/>
      <c r="AS326" s="27"/>
      <c r="AT326" s="27"/>
      <c r="AU326" s="27"/>
      <c r="AV326" s="27"/>
      <c r="AW326" s="27"/>
      <c r="AX326" s="33"/>
      <c r="AY326" s="33"/>
      <c r="AZ326" s="33"/>
      <c r="BA326" s="27"/>
      <c r="BB326" s="27"/>
      <c r="BC326" s="27"/>
      <c r="BD326" s="27"/>
      <c r="BE326" s="27"/>
      <c r="BF326" s="27"/>
      <c r="BG326" s="177">
        <f>+T326+W326+Z326+AC326+AF326+AI326+AL326+AO326+AR326+AU326+AX326+BA326+BD326</f>
        <v>1496346983</v>
      </c>
      <c r="BH326" s="177">
        <f t="shared" ref="BH326:BI328" si="80">+U326+X326+AA326+AD326+AG326+AJ326+AM326+AP326+AS326+AV326+AY326+BB326+BE326</f>
        <v>1496346983</v>
      </c>
      <c r="BI326" s="177">
        <f t="shared" si="80"/>
        <v>1496346983</v>
      </c>
      <c r="BK326" s="608"/>
    </row>
    <row r="327" spans="1:64" s="178" customFormat="1" ht="75.75" customHeight="1" x14ac:dyDescent="0.2">
      <c r="A327" s="386"/>
      <c r="B327" s="581"/>
      <c r="C327" s="346"/>
      <c r="D327" s="577"/>
      <c r="E327" s="577">
        <v>1906</v>
      </c>
      <c r="F327" s="579" t="s">
        <v>1186</v>
      </c>
      <c r="G327" s="584" t="s">
        <v>1201</v>
      </c>
      <c r="H327" s="577" t="s">
        <v>83</v>
      </c>
      <c r="I327" s="578" t="s">
        <v>1202</v>
      </c>
      <c r="J327" s="584" t="s">
        <v>1203</v>
      </c>
      <c r="K327" s="570" t="s">
        <v>83</v>
      </c>
      <c r="L327" s="271" t="s">
        <v>1204</v>
      </c>
      <c r="M327" s="266" t="s">
        <v>89</v>
      </c>
      <c r="N327" s="266">
        <v>100</v>
      </c>
      <c r="O327" s="266">
        <v>100</v>
      </c>
      <c r="P327" s="266">
        <v>81</v>
      </c>
      <c r="Q327" s="636"/>
      <c r="R327" s="634"/>
      <c r="S327" s="633"/>
      <c r="T327" s="27"/>
      <c r="U327" s="27"/>
      <c r="V327" s="27"/>
      <c r="W327" s="27"/>
      <c r="X327" s="27"/>
      <c r="Y327" s="27"/>
      <c r="Z327" s="27"/>
      <c r="AA327" s="27"/>
      <c r="AB327" s="27"/>
      <c r="AC327" s="27"/>
      <c r="AD327" s="27"/>
      <c r="AE327" s="27"/>
      <c r="AF327" s="27">
        <f>680251497+17913596.87</f>
        <v>698165093.87</v>
      </c>
      <c r="AG327" s="27">
        <v>671108389</v>
      </c>
      <c r="AH327" s="27">
        <v>671108389</v>
      </c>
      <c r="AI327" s="27">
        <f>1200096.53+4427083.08+6409080.2+3298588097+241539752.22+428092534.45+51987321.83-772313.93-21080.2</f>
        <v>4031450571.1799998</v>
      </c>
      <c r="AJ327" s="27">
        <v>2224479079</v>
      </c>
      <c r="AK327" s="27">
        <v>2224479079</v>
      </c>
      <c r="AL327" s="27"/>
      <c r="AM327" s="27"/>
      <c r="AN327" s="27"/>
      <c r="AO327" s="27"/>
      <c r="AP327" s="27"/>
      <c r="AQ327" s="27"/>
      <c r="AR327" s="27"/>
      <c r="AS327" s="27"/>
      <c r="AT327" s="27"/>
      <c r="AU327" s="27"/>
      <c r="AV327" s="27"/>
      <c r="AW327" s="27"/>
      <c r="AX327" s="33"/>
      <c r="AY327" s="33"/>
      <c r="AZ327" s="33"/>
      <c r="BA327" s="27">
        <f>0+5305232892</f>
        <v>5305232892</v>
      </c>
      <c r="BB327" s="27">
        <v>5305232892</v>
      </c>
      <c r="BC327" s="27">
        <v>5305232892</v>
      </c>
      <c r="BD327" s="27">
        <f>68256639+7852620.44+815624.25</f>
        <v>76924883.689999998</v>
      </c>
      <c r="BE327" s="27">
        <v>0</v>
      </c>
      <c r="BF327" s="27">
        <v>0</v>
      </c>
      <c r="BG327" s="177">
        <f>+T327+W327+Z327+AC327+AF327+AI327+AL327+AO327+AR327+AU327+AX327+BA327+BD327</f>
        <v>10111773440.74</v>
      </c>
      <c r="BH327" s="177">
        <f t="shared" si="80"/>
        <v>8200820360</v>
      </c>
      <c r="BI327" s="177">
        <f t="shared" si="80"/>
        <v>8200820360</v>
      </c>
      <c r="BK327" s="608"/>
    </row>
    <row r="328" spans="1:64" s="178" customFormat="1" ht="69" customHeight="1" x14ac:dyDescent="0.2">
      <c r="A328" s="402"/>
      <c r="B328" s="582"/>
      <c r="C328" s="346"/>
      <c r="D328" s="577"/>
      <c r="E328" s="577">
        <v>1906</v>
      </c>
      <c r="F328" s="579" t="s">
        <v>1205</v>
      </c>
      <c r="G328" s="266" t="s">
        <v>1206</v>
      </c>
      <c r="H328" s="577">
        <v>1906029</v>
      </c>
      <c r="I328" s="578" t="s">
        <v>1207</v>
      </c>
      <c r="J328" s="266" t="s">
        <v>1208</v>
      </c>
      <c r="K328" s="266">
        <v>190602900</v>
      </c>
      <c r="L328" s="271" t="s">
        <v>1209</v>
      </c>
      <c r="M328" s="266" t="s">
        <v>89</v>
      </c>
      <c r="N328" s="266">
        <v>40</v>
      </c>
      <c r="O328" s="266">
        <v>40</v>
      </c>
      <c r="P328" s="266">
        <v>40</v>
      </c>
      <c r="Q328" s="579" t="s">
        <v>188</v>
      </c>
      <c r="R328" s="577" t="s">
        <v>1210</v>
      </c>
      <c r="S328" s="578" t="s">
        <v>1211</v>
      </c>
      <c r="T328" s="27"/>
      <c r="U328" s="27"/>
      <c r="V328" s="27"/>
      <c r="W328" s="27"/>
      <c r="X328" s="27"/>
      <c r="Y328" s="27"/>
      <c r="Z328" s="27"/>
      <c r="AA328" s="27"/>
      <c r="AB328" s="27"/>
      <c r="AC328" s="27"/>
      <c r="AD328" s="27"/>
      <c r="AE328" s="27"/>
      <c r="AF328" s="27">
        <f>1496346983-1496346983</f>
        <v>0</v>
      </c>
      <c r="AG328" s="27"/>
      <c r="AH328" s="27"/>
      <c r="AI328" s="45">
        <v>467546000</v>
      </c>
      <c r="AJ328" s="45">
        <v>0</v>
      </c>
      <c r="AK328" s="45">
        <v>0</v>
      </c>
      <c r="AL328" s="27"/>
      <c r="AM328" s="27"/>
      <c r="AN328" s="27"/>
      <c r="AO328" s="27"/>
      <c r="AP328" s="27"/>
      <c r="AQ328" s="27"/>
      <c r="AR328" s="27"/>
      <c r="AS328" s="27"/>
      <c r="AT328" s="27"/>
      <c r="AU328" s="27"/>
      <c r="AV328" s="27"/>
      <c r="AW328" s="27"/>
      <c r="AX328" s="33">
        <f>161590000-11200000+780000000</f>
        <v>930390000</v>
      </c>
      <c r="AY328" s="33">
        <v>845793332</v>
      </c>
      <c r="AZ328" s="33">
        <v>845793332</v>
      </c>
      <c r="BA328" s="27">
        <v>170368000</v>
      </c>
      <c r="BB328" s="27">
        <v>12523500</v>
      </c>
      <c r="BC328" s="27"/>
      <c r="BD328" s="27"/>
      <c r="BE328" s="27"/>
      <c r="BF328" s="27"/>
      <c r="BG328" s="177">
        <f>+T328+W328+Z328+AC328+AF328+AI328+AL328+AO328+AR328+AU328+AX328+BA328+BD328</f>
        <v>1568304000</v>
      </c>
      <c r="BH328" s="177">
        <f t="shared" si="80"/>
        <v>858316832</v>
      </c>
      <c r="BI328" s="177">
        <f t="shared" si="80"/>
        <v>845793332</v>
      </c>
      <c r="BK328" s="608"/>
    </row>
    <row r="329" spans="1:64" s="137" customFormat="1" ht="19.5" customHeight="1" x14ac:dyDescent="0.25">
      <c r="A329" s="183" t="s">
        <v>1487</v>
      </c>
      <c r="B329" s="183"/>
      <c r="C329" s="183"/>
      <c r="D329" s="184"/>
      <c r="E329" s="184"/>
      <c r="F329" s="185"/>
      <c r="G329" s="186"/>
      <c r="H329" s="135"/>
      <c r="I329" s="185"/>
      <c r="J329" s="186"/>
      <c r="K329" s="186"/>
      <c r="L329" s="185"/>
      <c r="M329" s="135"/>
      <c r="N329" s="135"/>
      <c r="O329" s="186"/>
      <c r="P329" s="186"/>
      <c r="Q329" s="369"/>
      <c r="R329" s="186"/>
      <c r="S329" s="185"/>
      <c r="T329" s="164">
        <f>+T330+T336+T341</f>
        <v>0</v>
      </c>
      <c r="U329" s="164"/>
      <c r="V329" s="164"/>
      <c r="W329" s="164">
        <f>+W330+W336+W341</f>
        <v>0</v>
      </c>
      <c r="X329" s="164"/>
      <c r="Y329" s="164"/>
      <c r="Z329" s="164">
        <f>+Z330+Z336+Z341</f>
        <v>0</v>
      </c>
      <c r="AA329" s="164"/>
      <c r="AB329" s="164"/>
      <c r="AC329" s="164">
        <f>+AC330+AC336+AC341</f>
        <v>0</v>
      </c>
      <c r="AD329" s="164"/>
      <c r="AE329" s="164"/>
      <c r="AF329" s="164">
        <f>+AF330+AF336+AF341</f>
        <v>0</v>
      </c>
      <c r="AG329" s="164"/>
      <c r="AH329" s="164"/>
      <c r="AI329" s="164">
        <f>+AI330+AI336+AI341</f>
        <v>0</v>
      </c>
      <c r="AJ329" s="164"/>
      <c r="AK329" s="164"/>
      <c r="AL329" s="164">
        <f>+AL330+AL336+AL341</f>
        <v>0</v>
      </c>
      <c r="AM329" s="164"/>
      <c r="AN329" s="164"/>
      <c r="AO329" s="164">
        <f>+AO330+AO336+AO341</f>
        <v>0</v>
      </c>
      <c r="AP329" s="164"/>
      <c r="AQ329" s="164"/>
      <c r="AR329" s="164">
        <f>+AR330+AR336+AR341</f>
        <v>0</v>
      </c>
      <c r="AS329" s="164"/>
      <c r="AT329" s="164"/>
      <c r="AU329" s="164">
        <f>+AU330+AU336+AU341</f>
        <v>0</v>
      </c>
      <c r="AV329" s="164"/>
      <c r="AW329" s="164"/>
      <c r="AX329" s="164">
        <f>+AX330+AX336+AX341</f>
        <v>632885000</v>
      </c>
      <c r="AY329" s="164">
        <f>+AY330+AY336+AY341</f>
        <v>576746686</v>
      </c>
      <c r="AZ329" s="164">
        <f>+AZ330+AZ336+AZ341</f>
        <v>576746686</v>
      </c>
      <c r="BA329" s="164">
        <f>+BA330+BA336+BA341</f>
        <v>0</v>
      </c>
      <c r="BB329" s="164"/>
      <c r="BC329" s="164"/>
      <c r="BD329" s="164">
        <f>+BD330+BD336+BD341</f>
        <v>0</v>
      </c>
      <c r="BE329" s="164"/>
      <c r="BF329" s="164"/>
      <c r="BG329" s="164">
        <f>+BG330+BG336+BG341</f>
        <v>632885000</v>
      </c>
      <c r="BH329" s="164">
        <f>+BH330+BH336+BH341</f>
        <v>576746686</v>
      </c>
      <c r="BI329" s="164">
        <f>+BI330+BI336+BI341</f>
        <v>576746686</v>
      </c>
      <c r="BJ329" s="608"/>
      <c r="BK329" s="608"/>
      <c r="BL329" s="608"/>
    </row>
    <row r="330" spans="1:64" s="137" customFormat="1" ht="15.75" x14ac:dyDescent="0.25">
      <c r="A330" s="376"/>
      <c r="B330" s="222">
        <v>1</v>
      </c>
      <c r="C330" s="138" t="s">
        <v>1</v>
      </c>
      <c r="D330" s="139"/>
      <c r="E330" s="139"/>
      <c r="F330" s="140"/>
      <c r="G330" s="141"/>
      <c r="H330" s="142"/>
      <c r="I330" s="140"/>
      <c r="J330" s="141"/>
      <c r="K330" s="141"/>
      <c r="L330" s="140"/>
      <c r="M330" s="143"/>
      <c r="N330" s="143"/>
      <c r="O330" s="141"/>
      <c r="P330" s="141"/>
      <c r="Q330" s="370"/>
      <c r="R330" s="141"/>
      <c r="S330" s="140"/>
      <c r="T330" s="350">
        <f>+T331+T334</f>
        <v>0</v>
      </c>
      <c r="U330" s="350"/>
      <c r="V330" s="350"/>
      <c r="W330" s="350">
        <f>+W331+W334</f>
        <v>0</v>
      </c>
      <c r="X330" s="350"/>
      <c r="Y330" s="350"/>
      <c r="Z330" s="350">
        <f>+Z331+Z334</f>
        <v>0</v>
      </c>
      <c r="AA330" s="350"/>
      <c r="AB330" s="350"/>
      <c r="AC330" s="350">
        <f>+AC331+AC334</f>
        <v>0</v>
      </c>
      <c r="AD330" s="350"/>
      <c r="AE330" s="350"/>
      <c r="AF330" s="350">
        <f>+AF331+AF334</f>
        <v>0</v>
      </c>
      <c r="AG330" s="350"/>
      <c r="AH330" s="350"/>
      <c r="AI330" s="350">
        <f>+AI331+AI334</f>
        <v>0</v>
      </c>
      <c r="AJ330" s="350"/>
      <c r="AK330" s="350"/>
      <c r="AL330" s="350">
        <f>+AL331+AL334</f>
        <v>0</v>
      </c>
      <c r="AM330" s="350"/>
      <c r="AN330" s="350"/>
      <c r="AO330" s="350">
        <f>+AO331+AO334</f>
        <v>0</v>
      </c>
      <c r="AP330" s="350"/>
      <c r="AQ330" s="350"/>
      <c r="AR330" s="350">
        <f>+AR331+AR334</f>
        <v>0</v>
      </c>
      <c r="AS330" s="350"/>
      <c r="AT330" s="350"/>
      <c r="AU330" s="350">
        <f>+AU331+AU334</f>
        <v>0</v>
      </c>
      <c r="AV330" s="350"/>
      <c r="AW330" s="350"/>
      <c r="AX330" s="350">
        <f>+AX331+AX334</f>
        <v>207164000</v>
      </c>
      <c r="AY330" s="350">
        <f>+AY331+AY334</f>
        <v>196599698</v>
      </c>
      <c r="AZ330" s="350">
        <f>+AZ331+AZ334</f>
        <v>196599698</v>
      </c>
      <c r="BA330" s="350">
        <f>+BA331+BA334</f>
        <v>0</v>
      </c>
      <c r="BB330" s="350"/>
      <c r="BC330" s="350"/>
      <c r="BD330" s="350">
        <f>+BD331+BD334</f>
        <v>0</v>
      </c>
      <c r="BE330" s="350"/>
      <c r="BF330" s="350"/>
      <c r="BG330" s="350">
        <f>+BG331+BG334</f>
        <v>207164000</v>
      </c>
      <c r="BH330" s="350">
        <f>+BH331+BH334</f>
        <v>196599698</v>
      </c>
      <c r="BI330" s="350">
        <f>+BI331+BI334</f>
        <v>196599698</v>
      </c>
      <c r="BJ330" s="609"/>
      <c r="BK330" s="608"/>
      <c r="BL330" s="609"/>
    </row>
    <row r="331" spans="1:64" s="137" customFormat="1" ht="15.75" x14ac:dyDescent="0.25">
      <c r="A331" s="376"/>
      <c r="B331" s="641"/>
      <c r="C331" s="308">
        <v>16</v>
      </c>
      <c r="D331" s="149">
        <v>2301</v>
      </c>
      <c r="E331" s="308" t="s">
        <v>1447</v>
      </c>
      <c r="F331" s="145"/>
      <c r="G331" s="146"/>
      <c r="H331" s="147"/>
      <c r="I331" s="145"/>
      <c r="J331" s="146"/>
      <c r="K331" s="146"/>
      <c r="L331" s="145"/>
      <c r="M331" s="148"/>
      <c r="N331" s="148"/>
      <c r="O331" s="146"/>
      <c r="P331" s="146"/>
      <c r="Q331" s="368"/>
      <c r="R331" s="146"/>
      <c r="S331" s="145"/>
      <c r="T331" s="150">
        <f>SUM(T332:T333)</f>
        <v>0</v>
      </c>
      <c r="U331" s="150"/>
      <c r="V331" s="150"/>
      <c r="W331" s="150">
        <f>SUM(W332:W333)</f>
        <v>0</v>
      </c>
      <c r="X331" s="150"/>
      <c r="Y331" s="150"/>
      <c r="Z331" s="150">
        <f>SUM(Z332:Z333)</f>
        <v>0</v>
      </c>
      <c r="AA331" s="150"/>
      <c r="AB331" s="150"/>
      <c r="AC331" s="150">
        <f>SUM(AC332:AC333)</f>
        <v>0</v>
      </c>
      <c r="AD331" s="150"/>
      <c r="AE331" s="150"/>
      <c r="AF331" s="150">
        <f>SUM(AF332:AF333)</f>
        <v>0</v>
      </c>
      <c r="AG331" s="150"/>
      <c r="AH331" s="150"/>
      <c r="AI331" s="150">
        <f>SUM(AI332:AI333)</f>
        <v>0</v>
      </c>
      <c r="AJ331" s="150"/>
      <c r="AK331" s="150"/>
      <c r="AL331" s="150">
        <f>SUM(AL332:AL333)</f>
        <v>0</v>
      </c>
      <c r="AM331" s="150"/>
      <c r="AN331" s="150"/>
      <c r="AO331" s="150">
        <f>SUM(AO332:AO333)</f>
        <v>0</v>
      </c>
      <c r="AP331" s="150"/>
      <c r="AQ331" s="150"/>
      <c r="AR331" s="150">
        <f>SUM(AR332:AR333)</f>
        <v>0</v>
      </c>
      <c r="AS331" s="150"/>
      <c r="AT331" s="150"/>
      <c r="AU331" s="150">
        <f>SUM(AU332:AU333)</f>
        <v>0</v>
      </c>
      <c r="AV331" s="150"/>
      <c r="AW331" s="150"/>
      <c r="AX331" s="150">
        <f>SUM(AX332:AX333)</f>
        <v>200000000</v>
      </c>
      <c r="AY331" s="150">
        <f>SUM(AY332:AY333)</f>
        <v>189971698</v>
      </c>
      <c r="AZ331" s="150">
        <f>SUM(AZ332:AZ333)</f>
        <v>189971698</v>
      </c>
      <c r="BA331" s="150">
        <f>SUM(BA332:BA333)</f>
        <v>0</v>
      </c>
      <c r="BB331" s="150"/>
      <c r="BC331" s="150"/>
      <c r="BD331" s="150">
        <f>SUM(BD332:BD333)</f>
        <v>0</v>
      </c>
      <c r="BE331" s="150"/>
      <c r="BF331" s="150"/>
      <c r="BG331" s="150">
        <f>SUM(BG332:BG333)</f>
        <v>200000000</v>
      </c>
      <c r="BH331" s="150">
        <f>SUM(BH332:BH333)</f>
        <v>189971698</v>
      </c>
      <c r="BI331" s="150">
        <f>SUM(BI332:BI333)</f>
        <v>189971698</v>
      </c>
      <c r="BJ331" s="609"/>
      <c r="BK331" s="608"/>
      <c r="BL331" s="609"/>
    </row>
    <row r="332" spans="1:64" s="178" customFormat="1" ht="75" customHeight="1" x14ac:dyDescent="0.2">
      <c r="A332" s="386"/>
      <c r="B332" s="642"/>
      <c r="C332" s="628"/>
      <c r="D332" s="304"/>
      <c r="E332" s="311">
        <v>2301</v>
      </c>
      <c r="F332" s="366" t="s">
        <v>1213</v>
      </c>
      <c r="G332" s="311" t="s">
        <v>1214</v>
      </c>
      <c r="H332" s="351">
        <v>2301024</v>
      </c>
      <c r="I332" s="351" t="s">
        <v>1215</v>
      </c>
      <c r="J332" s="311" t="s">
        <v>1216</v>
      </c>
      <c r="K332" s="266">
        <v>230102404</v>
      </c>
      <c r="L332" s="312" t="s">
        <v>1217</v>
      </c>
      <c r="M332" s="311" t="s">
        <v>179</v>
      </c>
      <c r="N332" s="311">
        <v>12</v>
      </c>
      <c r="O332" s="311">
        <v>1</v>
      </c>
      <c r="P332" s="197">
        <v>1</v>
      </c>
      <c r="Q332" s="612" t="s">
        <v>225</v>
      </c>
      <c r="R332" s="613" t="s">
        <v>1218</v>
      </c>
      <c r="S332" s="611" t="s">
        <v>1219</v>
      </c>
      <c r="T332" s="27"/>
      <c r="U332" s="27"/>
      <c r="V332" s="27"/>
      <c r="W332" s="27"/>
      <c r="X332" s="27"/>
      <c r="Y332" s="27"/>
      <c r="Z332" s="27"/>
      <c r="AA332" s="27"/>
      <c r="AB332" s="27"/>
      <c r="AC332" s="177"/>
      <c r="AD332" s="177"/>
      <c r="AE332" s="177"/>
      <c r="AF332" s="177"/>
      <c r="AG332" s="177"/>
      <c r="AH332" s="177"/>
      <c r="AI332" s="177"/>
      <c r="AJ332" s="177"/>
      <c r="AK332" s="177"/>
      <c r="AL332" s="177"/>
      <c r="AM332" s="177"/>
      <c r="AN332" s="177"/>
      <c r="AO332" s="177"/>
      <c r="AP332" s="177"/>
      <c r="AQ332" s="177"/>
      <c r="AR332" s="177"/>
      <c r="AS332" s="177"/>
      <c r="AT332" s="177"/>
      <c r="AU332" s="177"/>
      <c r="AV332" s="177"/>
      <c r="AW332" s="177"/>
      <c r="AX332" s="316">
        <f>152024000+17384534+6432536</f>
        <v>175841070</v>
      </c>
      <c r="AY332" s="177">
        <v>165812768</v>
      </c>
      <c r="AZ332" s="303">
        <v>165812768</v>
      </c>
      <c r="BA332" s="177"/>
      <c r="BB332" s="177"/>
      <c r="BC332" s="177"/>
      <c r="BD332" s="177"/>
      <c r="BE332" s="177"/>
      <c r="BF332" s="177"/>
      <c r="BG332" s="177">
        <f t="shared" ref="BG332:BI333" si="81">+T332+W332+Z332+AC332+AF332+AI332+AL332+AO332+AR332+AU332+AX332+BA332+BD332</f>
        <v>175841070</v>
      </c>
      <c r="BH332" s="177">
        <f t="shared" si="81"/>
        <v>165812768</v>
      </c>
      <c r="BI332" s="177">
        <f t="shared" si="81"/>
        <v>165812768</v>
      </c>
      <c r="BK332" s="608"/>
    </row>
    <row r="333" spans="1:64" ht="97.5" customHeight="1" x14ac:dyDescent="0.2">
      <c r="A333" s="377"/>
      <c r="B333" s="642"/>
      <c r="C333" s="628"/>
      <c r="D333" s="323"/>
      <c r="E333" s="305">
        <v>2301</v>
      </c>
      <c r="F333" s="365" t="s">
        <v>1220</v>
      </c>
      <c r="G333" s="305" t="s">
        <v>1496</v>
      </c>
      <c r="H333" s="305">
        <v>2301030</v>
      </c>
      <c r="I333" s="306" t="s">
        <v>1221</v>
      </c>
      <c r="J333" s="305" t="s">
        <v>1222</v>
      </c>
      <c r="K333" s="261">
        <v>230103000</v>
      </c>
      <c r="L333" s="306" t="s">
        <v>1223</v>
      </c>
      <c r="M333" s="305" t="s">
        <v>179</v>
      </c>
      <c r="N333" s="305">
        <v>17000</v>
      </c>
      <c r="O333" s="305">
        <v>500</v>
      </c>
      <c r="P333" s="305">
        <v>500</v>
      </c>
      <c r="Q333" s="612"/>
      <c r="R333" s="613"/>
      <c r="S333" s="611"/>
      <c r="T333" s="27"/>
      <c r="U333" s="27"/>
      <c r="V333" s="27"/>
      <c r="W333" s="27"/>
      <c r="X333" s="27"/>
      <c r="Y333" s="27"/>
      <c r="Z333" s="27"/>
      <c r="AA333" s="27"/>
      <c r="AB333" s="27"/>
      <c r="AC333" s="151"/>
      <c r="AD333" s="151"/>
      <c r="AE333" s="151"/>
      <c r="AF333" s="151"/>
      <c r="AG333" s="151"/>
      <c r="AH333" s="151"/>
      <c r="AI333" s="151"/>
      <c r="AJ333" s="151"/>
      <c r="AK333" s="151"/>
      <c r="AL333" s="151"/>
      <c r="AM333" s="151"/>
      <c r="AN333" s="151"/>
      <c r="AO333" s="151"/>
      <c r="AP333" s="151"/>
      <c r="AQ333" s="151"/>
      <c r="AR333" s="151"/>
      <c r="AS333" s="151"/>
      <c r="AT333" s="151"/>
      <c r="AU333" s="151"/>
      <c r="AV333" s="151"/>
      <c r="AW333" s="151"/>
      <c r="AX333" s="151">
        <f>47976000-17384534-6432536</f>
        <v>24158930</v>
      </c>
      <c r="AY333" s="151">
        <v>24158930</v>
      </c>
      <c r="AZ333" s="151">
        <v>24158930</v>
      </c>
      <c r="BA333" s="151"/>
      <c r="BB333" s="151"/>
      <c r="BC333" s="151"/>
      <c r="BD333" s="151"/>
      <c r="BE333" s="151"/>
      <c r="BF333" s="151"/>
      <c r="BG333" s="151">
        <f t="shared" si="81"/>
        <v>24158930</v>
      </c>
      <c r="BH333" s="151">
        <f t="shared" si="81"/>
        <v>24158930</v>
      </c>
      <c r="BI333" s="151">
        <f t="shared" si="81"/>
        <v>24158930</v>
      </c>
      <c r="BK333" s="608"/>
    </row>
    <row r="334" spans="1:64" s="137" customFormat="1" ht="23.25" customHeight="1" x14ac:dyDescent="0.25">
      <c r="A334" s="393"/>
      <c r="B334" s="380"/>
      <c r="C334" s="308">
        <v>17</v>
      </c>
      <c r="D334" s="149">
        <v>2302</v>
      </c>
      <c r="E334" s="308" t="s">
        <v>1448</v>
      </c>
      <c r="F334" s="145"/>
      <c r="G334" s="146"/>
      <c r="H334" s="147"/>
      <c r="I334" s="145"/>
      <c r="J334" s="146"/>
      <c r="K334" s="146"/>
      <c r="L334" s="145"/>
      <c r="M334" s="148"/>
      <c r="N334" s="148"/>
      <c r="O334" s="146"/>
      <c r="P334" s="146"/>
      <c r="Q334" s="368"/>
      <c r="R334" s="146"/>
      <c r="S334" s="145"/>
      <c r="T334" s="150">
        <f>+T335</f>
        <v>0</v>
      </c>
      <c r="U334" s="150"/>
      <c r="V334" s="150"/>
      <c r="W334" s="150">
        <f>+W335</f>
        <v>0</v>
      </c>
      <c r="X334" s="150"/>
      <c r="Y334" s="150"/>
      <c r="Z334" s="150">
        <f>+Z335</f>
        <v>0</v>
      </c>
      <c r="AA334" s="150"/>
      <c r="AB334" s="150"/>
      <c r="AC334" s="150">
        <f>+AC335</f>
        <v>0</v>
      </c>
      <c r="AD334" s="150"/>
      <c r="AE334" s="150"/>
      <c r="AF334" s="150">
        <f>+AF335</f>
        <v>0</v>
      </c>
      <c r="AG334" s="150"/>
      <c r="AH334" s="150"/>
      <c r="AI334" s="150">
        <f>+AI335</f>
        <v>0</v>
      </c>
      <c r="AJ334" s="150"/>
      <c r="AK334" s="150"/>
      <c r="AL334" s="150">
        <f>+AL335</f>
        <v>0</v>
      </c>
      <c r="AM334" s="150"/>
      <c r="AN334" s="150"/>
      <c r="AO334" s="150">
        <f>+AO335</f>
        <v>0</v>
      </c>
      <c r="AP334" s="150"/>
      <c r="AQ334" s="150"/>
      <c r="AR334" s="150">
        <f>+AR335</f>
        <v>0</v>
      </c>
      <c r="AS334" s="150"/>
      <c r="AT334" s="150"/>
      <c r="AU334" s="150">
        <f>+AU335</f>
        <v>0</v>
      </c>
      <c r="AV334" s="150"/>
      <c r="AW334" s="150"/>
      <c r="AX334" s="150">
        <f>+AX335</f>
        <v>7164000</v>
      </c>
      <c r="AY334" s="150">
        <f>+AY335</f>
        <v>6628000</v>
      </c>
      <c r="AZ334" s="150">
        <f>+AZ335</f>
        <v>6628000</v>
      </c>
      <c r="BA334" s="150">
        <f>+BA335</f>
        <v>0</v>
      </c>
      <c r="BB334" s="150"/>
      <c r="BC334" s="150"/>
      <c r="BD334" s="150">
        <f>+BD335</f>
        <v>0</v>
      </c>
      <c r="BE334" s="150"/>
      <c r="BF334" s="150"/>
      <c r="BG334" s="150">
        <f>+BG335</f>
        <v>7164000</v>
      </c>
      <c r="BH334" s="150">
        <f>+BH335</f>
        <v>6628000</v>
      </c>
      <c r="BI334" s="150">
        <f>+BI335</f>
        <v>6628000</v>
      </c>
      <c r="BJ334" s="609"/>
      <c r="BK334" s="608"/>
      <c r="BL334" s="609"/>
    </row>
    <row r="335" spans="1:64" s="178" customFormat="1" ht="84" customHeight="1" x14ac:dyDescent="0.2">
      <c r="A335" s="386"/>
      <c r="B335" s="403"/>
      <c r="C335" s="331"/>
      <c r="D335" s="304"/>
      <c r="E335" s="311">
        <v>2302</v>
      </c>
      <c r="F335" s="312" t="s">
        <v>1213</v>
      </c>
      <c r="G335" s="311" t="s">
        <v>1225</v>
      </c>
      <c r="H335" s="311">
        <v>2302042</v>
      </c>
      <c r="I335" s="312" t="s">
        <v>1226</v>
      </c>
      <c r="J335" s="311" t="s">
        <v>1227</v>
      </c>
      <c r="K335" s="266">
        <v>230204200</v>
      </c>
      <c r="L335" s="312" t="s">
        <v>1228</v>
      </c>
      <c r="M335" s="311" t="s">
        <v>179</v>
      </c>
      <c r="N335" s="311">
        <v>3</v>
      </c>
      <c r="O335" s="311">
        <v>1</v>
      </c>
      <c r="P335" s="311">
        <v>1</v>
      </c>
      <c r="Q335" s="211" t="s">
        <v>225</v>
      </c>
      <c r="R335" s="311" t="s">
        <v>1229</v>
      </c>
      <c r="S335" s="312" t="s">
        <v>1230</v>
      </c>
      <c r="T335" s="27"/>
      <c r="U335" s="27"/>
      <c r="V335" s="27"/>
      <c r="W335" s="27"/>
      <c r="X335" s="27"/>
      <c r="Y335" s="27"/>
      <c r="Z335" s="27"/>
      <c r="AA335" s="27"/>
      <c r="AB335" s="27"/>
      <c r="AC335" s="177"/>
      <c r="AD335" s="177"/>
      <c r="AE335" s="177"/>
      <c r="AF335" s="177"/>
      <c r="AG335" s="177"/>
      <c r="AH335" s="177"/>
      <c r="AI335" s="177"/>
      <c r="AJ335" s="177"/>
      <c r="AK335" s="177"/>
      <c r="AL335" s="177"/>
      <c r="AM335" s="177"/>
      <c r="AN335" s="177"/>
      <c r="AO335" s="177"/>
      <c r="AP335" s="177"/>
      <c r="AQ335" s="177"/>
      <c r="AR335" s="177"/>
      <c r="AS335" s="177"/>
      <c r="AT335" s="177"/>
      <c r="AU335" s="177"/>
      <c r="AV335" s="177"/>
      <c r="AW335" s="177"/>
      <c r="AX335" s="177">
        <v>7164000</v>
      </c>
      <c r="AY335" s="177">
        <v>6628000</v>
      </c>
      <c r="AZ335" s="177">
        <v>6628000</v>
      </c>
      <c r="BA335" s="177"/>
      <c r="BB335" s="177"/>
      <c r="BC335" s="177"/>
      <c r="BD335" s="177"/>
      <c r="BE335" s="177"/>
      <c r="BF335" s="177"/>
      <c r="BG335" s="177">
        <f>+T335+W335+Z335+AC335+AF335+AI335+AL335+AO335+AR335+AU335+AX335+BA335+BD335</f>
        <v>7164000</v>
      </c>
      <c r="BH335" s="177">
        <f>+U335+X335+AA335+AD335+AG335+AJ335+AM335+AP335+AS335+AV335+AY335+BB335+BE335</f>
        <v>6628000</v>
      </c>
      <c r="BI335" s="177">
        <f>+V335+Y335+AB335+AE335+AH335+AK335+AN335+AQ335+AT335+AW335+AZ335+BC335+BF335</f>
        <v>6628000</v>
      </c>
      <c r="BK335" s="608"/>
    </row>
    <row r="336" spans="1:64" s="137" customFormat="1" ht="15.75" x14ac:dyDescent="0.25">
      <c r="A336" s="393"/>
      <c r="B336" s="222">
        <v>2</v>
      </c>
      <c r="C336" s="138" t="s">
        <v>1231</v>
      </c>
      <c r="D336" s="139"/>
      <c r="E336" s="139"/>
      <c r="F336" s="140"/>
      <c r="G336" s="141"/>
      <c r="H336" s="142"/>
      <c r="I336" s="140"/>
      <c r="J336" s="141"/>
      <c r="K336" s="141"/>
      <c r="L336" s="140"/>
      <c r="M336" s="143"/>
      <c r="N336" s="143"/>
      <c r="O336" s="141"/>
      <c r="P336" s="141"/>
      <c r="Q336" s="370"/>
      <c r="R336" s="141"/>
      <c r="S336" s="140"/>
      <c r="T336" s="350">
        <f>+T337+T339</f>
        <v>0</v>
      </c>
      <c r="U336" s="350"/>
      <c r="V336" s="350"/>
      <c r="W336" s="350">
        <f>+W337+W339</f>
        <v>0</v>
      </c>
      <c r="X336" s="350"/>
      <c r="Y336" s="350"/>
      <c r="Z336" s="350">
        <f>+Z337+Z339</f>
        <v>0</v>
      </c>
      <c r="AA336" s="350"/>
      <c r="AB336" s="350"/>
      <c r="AC336" s="350">
        <f>+AC337+AC339</f>
        <v>0</v>
      </c>
      <c r="AD336" s="350"/>
      <c r="AE336" s="350"/>
      <c r="AF336" s="350">
        <f>+AF337+AF339</f>
        <v>0</v>
      </c>
      <c r="AG336" s="350"/>
      <c r="AH336" s="350"/>
      <c r="AI336" s="350">
        <f>+AI337+AI339</f>
        <v>0</v>
      </c>
      <c r="AJ336" s="350"/>
      <c r="AK336" s="350"/>
      <c r="AL336" s="350">
        <f>+AL337+AL339</f>
        <v>0</v>
      </c>
      <c r="AM336" s="350"/>
      <c r="AN336" s="350"/>
      <c r="AO336" s="350">
        <f>+AO337+AO339</f>
        <v>0</v>
      </c>
      <c r="AP336" s="350"/>
      <c r="AQ336" s="350"/>
      <c r="AR336" s="350">
        <f>+AR337+AR339</f>
        <v>0</v>
      </c>
      <c r="AS336" s="350"/>
      <c r="AT336" s="350"/>
      <c r="AU336" s="350">
        <f>+AU337+AU339</f>
        <v>0</v>
      </c>
      <c r="AV336" s="350"/>
      <c r="AW336" s="350"/>
      <c r="AX336" s="350">
        <f>+AX337+AX339</f>
        <v>72000000</v>
      </c>
      <c r="AY336" s="350">
        <f>+AY337+AY339</f>
        <v>51074800</v>
      </c>
      <c r="AZ336" s="350">
        <f>+AZ337+AZ339</f>
        <v>51074800</v>
      </c>
      <c r="BA336" s="350">
        <f>+BA337+BA339</f>
        <v>0</v>
      </c>
      <c r="BB336" s="350"/>
      <c r="BC336" s="350"/>
      <c r="BD336" s="350">
        <f>+BD337+BD339</f>
        <v>0</v>
      </c>
      <c r="BE336" s="350"/>
      <c r="BF336" s="350"/>
      <c r="BG336" s="350">
        <f>+BG337+BG339</f>
        <v>72000000</v>
      </c>
      <c r="BH336" s="350">
        <f>+BH337+BH339</f>
        <v>51074800</v>
      </c>
      <c r="BI336" s="350">
        <f>+BI337+BI339</f>
        <v>51074800</v>
      </c>
      <c r="BJ336" s="609"/>
      <c r="BK336" s="608"/>
      <c r="BL336" s="609"/>
    </row>
    <row r="337" spans="1:64" s="137" customFormat="1" ht="15.75" x14ac:dyDescent="0.25">
      <c r="A337" s="393"/>
      <c r="B337" s="379"/>
      <c r="C337" s="308">
        <v>31</v>
      </c>
      <c r="D337" s="149" t="s">
        <v>1232</v>
      </c>
      <c r="E337" s="308" t="s">
        <v>1233</v>
      </c>
      <c r="F337" s="145"/>
      <c r="G337" s="146"/>
      <c r="H337" s="147"/>
      <c r="I337" s="145"/>
      <c r="J337" s="146"/>
      <c r="K337" s="146"/>
      <c r="L337" s="145"/>
      <c r="M337" s="148"/>
      <c r="N337" s="148"/>
      <c r="O337" s="146"/>
      <c r="P337" s="146"/>
      <c r="Q337" s="368"/>
      <c r="R337" s="146"/>
      <c r="S337" s="145"/>
      <c r="T337" s="150">
        <f>+T338</f>
        <v>0</v>
      </c>
      <c r="U337" s="150"/>
      <c r="V337" s="150"/>
      <c r="W337" s="150">
        <f>+W338</f>
        <v>0</v>
      </c>
      <c r="X337" s="150"/>
      <c r="Y337" s="150"/>
      <c r="Z337" s="150">
        <f>+Z338</f>
        <v>0</v>
      </c>
      <c r="AA337" s="150"/>
      <c r="AB337" s="150"/>
      <c r="AC337" s="150">
        <f>+AC338</f>
        <v>0</v>
      </c>
      <c r="AD337" s="150"/>
      <c r="AE337" s="150"/>
      <c r="AF337" s="150">
        <f>+AF338</f>
        <v>0</v>
      </c>
      <c r="AG337" s="150"/>
      <c r="AH337" s="150"/>
      <c r="AI337" s="150">
        <f>+AI338</f>
        <v>0</v>
      </c>
      <c r="AJ337" s="150"/>
      <c r="AK337" s="150"/>
      <c r="AL337" s="150">
        <f>+AL338</f>
        <v>0</v>
      </c>
      <c r="AM337" s="150"/>
      <c r="AN337" s="150"/>
      <c r="AO337" s="150">
        <f>+AO338</f>
        <v>0</v>
      </c>
      <c r="AP337" s="150"/>
      <c r="AQ337" s="150"/>
      <c r="AR337" s="150">
        <f>+AR338</f>
        <v>0</v>
      </c>
      <c r="AS337" s="150"/>
      <c r="AT337" s="150"/>
      <c r="AU337" s="150">
        <f>+AU338</f>
        <v>0</v>
      </c>
      <c r="AV337" s="150"/>
      <c r="AW337" s="150"/>
      <c r="AX337" s="150">
        <f>SUM(AX338:AX338)</f>
        <v>54000000</v>
      </c>
      <c r="AY337" s="150">
        <f>SUM(AY338:AY338)</f>
        <v>51074800</v>
      </c>
      <c r="AZ337" s="150">
        <f>SUM(AZ338:AZ338)</f>
        <v>51074800</v>
      </c>
      <c r="BA337" s="150">
        <f>SUM(BA338:BA338)</f>
        <v>0</v>
      </c>
      <c r="BB337" s="150"/>
      <c r="BC337" s="150"/>
      <c r="BD337" s="150">
        <f>SUM(BD338:BD338)</f>
        <v>0</v>
      </c>
      <c r="BE337" s="150"/>
      <c r="BF337" s="150"/>
      <c r="BG337" s="150">
        <f>SUM(BG338:BG338)</f>
        <v>54000000</v>
      </c>
      <c r="BH337" s="150">
        <f>SUM(BH338:BH338)</f>
        <v>51074800</v>
      </c>
      <c r="BI337" s="150">
        <f>SUM(BI338:BI338)</f>
        <v>51074800</v>
      </c>
      <c r="BJ337" s="609"/>
      <c r="BK337" s="608"/>
      <c r="BL337" s="609"/>
    </row>
    <row r="338" spans="1:64" ht="60" customHeight="1" x14ac:dyDescent="0.2">
      <c r="A338" s="377"/>
      <c r="B338" s="380"/>
      <c r="C338" s="322"/>
      <c r="D338" s="323"/>
      <c r="E338" s="305">
        <v>3903</v>
      </c>
      <c r="F338" s="307" t="s">
        <v>1234</v>
      </c>
      <c r="G338" s="313" t="s">
        <v>1235</v>
      </c>
      <c r="H338" s="305">
        <v>3903005</v>
      </c>
      <c r="I338" s="306" t="s">
        <v>1236</v>
      </c>
      <c r="J338" s="261" t="s">
        <v>1237</v>
      </c>
      <c r="K338" s="264" t="s">
        <v>1392</v>
      </c>
      <c r="L338" s="267" t="s">
        <v>1238</v>
      </c>
      <c r="M338" s="305" t="s">
        <v>89</v>
      </c>
      <c r="N338" s="305">
        <v>1</v>
      </c>
      <c r="O338" s="305">
        <v>1</v>
      </c>
      <c r="P338" s="305">
        <v>1</v>
      </c>
      <c r="Q338" s="367" t="s">
        <v>225</v>
      </c>
      <c r="R338" s="305" t="s">
        <v>1239</v>
      </c>
      <c r="S338" s="306" t="s">
        <v>1449</v>
      </c>
      <c r="T338" s="27"/>
      <c r="U338" s="27"/>
      <c r="V338" s="27"/>
      <c r="W338" s="27"/>
      <c r="X338" s="27"/>
      <c r="Y338" s="27"/>
      <c r="Z338" s="27"/>
      <c r="AA338" s="27"/>
      <c r="AB338" s="27"/>
      <c r="AC338" s="151"/>
      <c r="AD338" s="151"/>
      <c r="AE338" s="151"/>
      <c r="AF338" s="151"/>
      <c r="AG338" s="151"/>
      <c r="AH338" s="151"/>
      <c r="AI338" s="151"/>
      <c r="AJ338" s="151"/>
      <c r="AK338" s="151"/>
      <c r="AL338" s="151"/>
      <c r="AM338" s="151"/>
      <c r="AN338" s="151"/>
      <c r="AO338" s="151"/>
      <c r="AP338" s="151"/>
      <c r="AQ338" s="151"/>
      <c r="AR338" s="151"/>
      <c r="AS338" s="151"/>
      <c r="AT338" s="151"/>
      <c r="AU338" s="151"/>
      <c r="AV338" s="151"/>
      <c r="AW338" s="151"/>
      <c r="AX338" s="151">
        <f>21000000+25000000+8000000</f>
        <v>54000000</v>
      </c>
      <c r="AY338" s="151">
        <v>51074800</v>
      </c>
      <c r="AZ338" s="151">
        <v>51074800</v>
      </c>
      <c r="BA338" s="151"/>
      <c r="BB338" s="151"/>
      <c r="BC338" s="151"/>
      <c r="BD338" s="151"/>
      <c r="BE338" s="151"/>
      <c r="BF338" s="151"/>
      <c r="BG338" s="151">
        <f>+T338+W338+Z338+AC338+AF338+AI338+AL338+AO338+AR338+AU338+AX338+BA338+BD338</f>
        <v>54000000</v>
      </c>
      <c r="BH338" s="151">
        <f>+U338+X338+AA338+AD338+AG338+AJ338+AM338+AP338+AS338+AV338+AY338+BB338+BE338</f>
        <v>51074800</v>
      </c>
      <c r="BI338" s="151">
        <f>+V338+Y338+AB338+AE338+AH338+AK338+AN338+AQ338+AT338+AW338+AZ338+BC338+BF338</f>
        <v>51074800</v>
      </c>
      <c r="BK338" s="608"/>
    </row>
    <row r="339" spans="1:64" s="137" customFormat="1" ht="15.75" x14ac:dyDescent="0.25">
      <c r="A339" s="393"/>
      <c r="B339" s="380"/>
      <c r="C339" s="308">
        <v>32</v>
      </c>
      <c r="D339" s="149">
        <v>3904</v>
      </c>
      <c r="E339" s="308" t="s">
        <v>1241</v>
      </c>
      <c r="F339" s="145"/>
      <c r="G339" s="146"/>
      <c r="H339" s="147"/>
      <c r="I339" s="145"/>
      <c r="J339" s="146"/>
      <c r="K339" s="146"/>
      <c r="L339" s="145"/>
      <c r="M339" s="148"/>
      <c r="N339" s="148"/>
      <c r="O339" s="146"/>
      <c r="P339" s="146"/>
      <c r="Q339" s="368"/>
      <c r="R339" s="146"/>
      <c r="S339" s="145"/>
      <c r="T339" s="150">
        <f>+T340</f>
        <v>0</v>
      </c>
      <c r="U339" s="150"/>
      <c r="V339" s="150"/>
      <c r="W339" s="150">
        <f>+W340</f>
        <v>0</v>
      </c>
      <c r="X339" s="150"/>
      <c r="Y339" s="150"/>
      <c r="Z339" s="150">
        <f>+Z340</f>
        <v>0</v>
      </c>
      <c r="AA339" s="150"/>
      <c r="AB339" s="150"/>
      <c r="AC339" s="150">
        <f>+AC340</f>
        <v>0</v>
      </c>
      <c r="AD339" s="150"/>
      <c r="AE339" s="150"/>
      <c r="AF339" s="150">
        <f>+AF340</f>
        <v>0</v>
      </c>
      <c r="AG339" s="150"/>
      <c r="AH339" s="150"/>
      <c r="AI339" s="150">
        <f>+AI340</f>
        <v>0</v>
      </c>
      <c r="AJ339" s="150"/>
      <c r="AK339" s="150"/>
      <c r="AL339" s="150">
        <f>+AL340</f>
        <v>0</v>
      </c>
      <c r="AM339" s="150"/>
      <c r="AN339" s="150"/>
      <c r="AO339" s="150">
        <f>+AO340</f>
        <v>0</v>
      </c>
      <c r="AP339" s="150"/>
      <c r="AQ339" s="150"/>
      <c r="AR339" s="150">
        <f>+AR340</f>
        <v>0</v>
      </c>
      <c r="AS339" s="150"/>
      <c r="AT339" s="150"/>
      <c r="AU339" s="150">
        <f>+AU340</f>
        <v>0</v>
      </c>
      <c r="AV339" s="150"/>
      <c r="AW339" s="150"/>
      <c r="AX339" s="150">
        <f>+AX340</f>
        <v>18000000</v>
      </c>
      <c r="AY339" s="150">
        <f>+AY340</f>
        <v>0</v>
      </c>
      <c r="AZ339" s="150">
        <f>+AZ340</f>
        <v>0</v>
      </c>
      <c r="BA339" s="150">
        <f>+BA340</f>
        <v>0</v>
      </c>
      <c r="BB339" s="150"/>
      <c r="BC339" s="150"/>
      <c r="BD339" s="150">
        <f>+BD340</f>
        <v>0</v>
      </c>
      <c r="BE339" s="150"/>
      <c r="BF339" s="150"/>
      <c r="BG339" s="150">
        <f>+BG340</f>
        <v>18000000</v>
      </c>
      <c r="BH339" s="150">
        <f>+BH340</f>
        <v>0</v>
      </c>
      <c r="BI339" s="150">
        <f>+BI340</f>
        <v>0</v>
      </c>
      <c r="BJ339" s="609"/>
      <c r="BK339" s="608"/>
      <c r="BL339" s="609"/>
    </row>
    <row r="340" spans="1:64" s="178" customFormat="1" ht="94.5" customHeight="1" x14ac:dyDescent="0.2">
      <c r="A340" s="386"/>
      <c r="B340" s="403"/>
      <c r="C340" s="331"/>
      <c r="D340" s="304"/>
      <c r="E340" s="311">
        <v>3904</v>
      </c>
      <c r="F340" s="211" t="s">
        <v>1450</v>
      </c>
      <c r="G340" s="126" t="s">
        <v>1242</v>
      </c>
      <c r="H340" s="126">
        <v>3904018</v>
      </c>
      <c r="I340" s="211" t="s">
        <v>1243</v>
      </c>
      <c r="J340" s="126" t="s">
        <v>1244</v>
      </c>
      <c r="K340" s="264">
        <v>390401809</v>
      </c>
      <c r="L340" s="211" t="s">
        <v>1245</v>
      </c>
      <c r="M340" s="311" t="s">
        <v>179</v>
      </c>
      <c r="N340" s="311">
        <v>20</v>
      </c>
      <c r="O340" s="311">
        <v>1</v>
      </c>
      <c r="P340" s="311">
        <v>0</v>
      </c>
      <c r="Q340" s="211" t="s">
        <v>225</v>
      </c>
      <c r="R340" s="311" t="s">
        <v>1246</v>
      </c>
      <c r="S340" s="312" t="s">
        <v>1451</v>
      </c>
      <c r="T340" s="27"/>
      <c r="U340" s="27"/>
      <c r="V340" s="27"/>
      <c r="W340" s="27"/>
      <c r="X340" s="27"/>
      <c r="Y340" s="27"/>
      <c r="Z340" s="27"/>
      <c r="AA340" s="27"/>
      <c r="AB340" s="27"/>
      <c r="AC340" s="177"/>
      <c r="AD340" s="177"/>
      <c r="AE340" s="177"/>
      <c r="AF340" s="177"/>
      <c r="AG340" s="177"/>
      <c r="AH340" s="177"/>
      <c r="AI340" s="177"/>
      <c r="AJ340" s="177"/>
      <c r="AK340" s="177"/>
      <c r="AL340" s="177"/>
      <c r="AM340" s="177"/>
      <c r="AN340" s="177"/>
      <c r="AO340" s="177"/>
      <c r="AP340" s="177"/>
      <c r="AQ340" s="177"/>
      <c r="AR340" s="177"/>
      <c r="AS340" s="177"/>
      <c r="AT340" s="177"/>
      <c r="AU340" s="177"/>
      <c r="AV340" s="177"/>
      <c r="AW340" s="177"/>
      <c r="AX340" s="177">
        <v>18000000</v>
      </c>
      <c r="AY340" s="177">
        <v>0</v>
      </c>
      <c r="AZ340" s="177">
        <v>0</v>
      </c>
      <c r="BA340" s="177"/>
      <c r="BB340" s="177"/>
      <c r="BC340" s="177"/>
      <c r="BD340" s="177"/>
      <c r="BE340" s="177"/>
      <c r="BF340" s="177"/>
      <c r="BG340" s="177">
        <f>+T340+W340+Z340+AC340+AF340+AI340+AL340+AO340+AR340+AU340+AX340+BA340+BD340</f>
        <v>18000000</v>
      </c>
      <c r="BH340" s="177">
        <f>+U340+X340+AA340+AD340+AG340+AJ340+AM340+AP340+AS340+AV340+AY340+BB340+BE340</f>
        <v>0</v>
      </c>
      <c r="BI340" s="177">
        <f>+V340+Y340+AB340+AE340+AH340+AK340+AN340+AQ340+AT340+AW340+AZ340+BC340+BF340</f>
        <v>0</v>
      </c>
      <c r="BK340" s="608"/>
    </row>
    <row r="341" spans="1:64" s="137" customFormat="1" ht="21" customHeight="1" x14ac:dyDescent="0.25">
      <c r="A341" s="393"/>
      <c r="B341" s="222">
        <v>4</v>
      </c>
      <c r="C341" s="138" t="s">
        <v>108</v>
      </c>
      <c r="D341" s="139"/>
      <c r="E341" s="139"/>
      <c r="F341" s="140"/>
      <c r="G341" s="141"/>
      <c r="H341" s="142"/>
      <c r="I341" s="140"/>
      <c r="J341" s="141"/>
      <c r="K341" s="141"/>
      <c r="L341" s="140"/>
      <c r="M341" s="143"/>
      <c r="N341" s="143"/>
      <c r="O341" s="141"/>
      <c r="P341" s="141"/>
      <c r="Q341" s="370"/>
      <c r="R341" s="141"/>
      <c r="S341" s="140"/>
      <c r="T341" s="144">
        <f>+T342</f>
        <v>0</v>
      </c>
      <c r="U341" s="144"/>
      <c r="V341" s="144"/>
      <c r="W341" s="144">
        <f>+W342</f>
        <v>0</v>
      </c>
      <c r="X341" s="144"/>
      <c r="Y341" s="144"/>
      <c r="Z341" s="144">
        <f>+Z342</f>
        <v>0</v>
      </c>
      <c r="AA341" s="144"/>
      <c r="AB341" s="144"/>
      <c r="AC341" s="144">
        <f>+AC342</f>
        <v>0</v>
      </c>
      <c r="AD341" s="144"/>
      <c r="AE341" s="144"/>
      <c r="AF341" s="144">
        <f>+AF342</f>
        <v>0</v>
      </c>
      <c r="AG341" s="144"/>
      <c r="AH341" s="144"/>
      <c r="AI341" s="144">
        <f>+AI342</f>
        <v>0</v>
      </c>
      <c r="AJ341" s="144"/>
      <c r="AK341" s="144"/>
      <c r="AL341" s="144">
        <f>+AL342</f>
        <v>0</v>
      </c>
      <c r="AM341" s="144"/>
      <c r="AN341" s="144"/>
      <c r="AO341" s="144">
        <f>+AO342</f>
        <v>0</v>
      </c>
      <c r="AP341" s="144"/>
      <c r="AQ341" s="144"/>
      <c r="AR341" s="144">
        <f>+AR342</f>
        <v>0</v>
      </c>
      <c r="AS341" s="144"/>
      <c r="AT341" s="144"/>
      <c r="AU341" s="144">
        <f>+AU342</f>
        <v>0</v>
      </c>
      <c r="AV341" s="144"/>
      <c r="AW341" s="144"/>
      <c r="AX341" s="144">
        <f>+AX342</f>
        <v>353721000</v>
      </c>
      <c r="AY341" s="144">
        <f>+AY342</f>
        <v>329072188</v>
      </c>
      <c r="AZ341" s="144">
        <f>+AZ342</f>
        <v>329072188</v>
      </c>
      <c r="BA341" s="144">
        <f>+BA342</f>
        <v>0</v>
      </c>
      <c r="BB341" s="144"/>
      <c r="BC341" s="144"/>
      <c r="BD341" s="144">
        <f>+BD342</f>
        <v>0</v>
      </c>
      <c r="BE341" s="144"/>
      <c r="BF341" s="144"/>
      <c r="BG341" s="144">
        <f>+BG342</f>
        <v>353721000</v>
      </c>
      <c r="BH341" s="144">
        <f>+BH342</f>
        <v>329072188</v>
      </c>
      <c r="BI341" s="144">
        <f>+BI342</f>
        <v>329072188</v>
      </c>
      <c r="BJ341" s="609"/>
      <c r="BK341" s="608"/>
      <c r="BL341" s="609"/>
    </row>
    <row r="342" spans="1:64" s="137" customFormat="1" ht="21.75" customHeight="1" x14ac:dyDescent="0.25">
      <c r="A342" s="393"/>
      <c r="B342" s="379"/>
      <c r="C342" s="308">
        <v>17</v>
      </c>
      <c r="D342" s="149">
        <v>2302</v>
      </c>
      <c r="E342" s="308" t="s">
        <v>1448</v>
      </c>
      <c r="F342" s="145"/>
      <c r="G342" s="146"/>
      <c r="H342" s="147"/>
      <c r="I342" s="145"/>
      <c r="J342" s="146"/>
      <c r="K342" s="146"/>
      <c r="L342" s="145"/>
      <c r="M342" s="148"/>
      <c r="N342" s="148"/>
      <c r="O342" s="146"/>
      <c r="P342" s="146"/>
      <c r="Q342" s="368"/>
      <c r="R342" s="146"/>
      <c r="S342" s="145"/>
      <c r="T342" s="150">
        <f t="shared" ref="T342:BI342" si="82">SUM(T343:T344)</f>
        <v>0</v>
      </c>
      <c r="U342" s="150">
        <f t="shared" si="82"/>
        <v>0</v>
      </c>
      <c r="V342" s="150">
        <f t="shared" si="82"/>
        <v>0</v>
      </c>
      <c r="W342" s="150">
        <f t="shared" si="82"/>
        <v>0</v>
      </c>
      <c r="X342" s="150">
        <f t="shared" si="82"/>
        <v>0</v>
      </c>
      <c r="Y342" s="150">
        <f t="shared" si="82"/>
        <v>0</v>
      </c>
      <c r="Z342" s="150">
        <f t="shared" si="82"/>
        <v>0</v>
      </c>
      <c r="AA342" s="150">
        <f t="shared" si="82"/>
        <v>0</v>
      </c>
      <c r="AB342" s="150">
        <f t="shared" si="82"/>
        <v>0</v>
      </c>
      <c r="AC342" s="150">
        <f t="shared" si="82"/>
        <v>0</v>
      </c>
      <c r="AD342" s="150">
        <f t="shared" si="82"/>
        <v>0</v>
      </c>
      <c r="AE342" s="150">
        <f t="shared" si="82"/>
        <v>0</v>
      </c>
      <c r="AF342" s="150">
        <f t="shared" si="82"/>
        <v>0</v>
      </c>
      <c r="AG342" s="150">
        <f t="shared" si="82"/>
        <v>0</v>
      </c>
      <c r="AH342" s="150">
        <f t="shared" si="82"/>
        <v>0</v>
      </c>
      <c r="AI342" s="150">
        <f t="shared" si="82"/>
        <v>0</v>
      </c>
      <c r="AJ342" s="150">
        <f t="shared" si="82"/>
        <v>0</v>
      </c>
      <c r="AK342" s="150">
        <f t="shared" si="82"/>
        <v>0</v>
      </c>
      <c r="AL342" s="150">
        <f t="shared" si="82"/>
        <v>0</v>
      </c>
      <c r="AM342" s="150">
        <f t="shared" si="82"/>
        <v>0</v>
      </c>
      <c r="AN342" s="150">
        <f t="shared" si="82"/>
        <v>0</v>
      </c>
      <c r="AO342" s="150">
        <f t="shared" si="82"/>
        <v>0</v>
      </c>
      <c r="AP342" s="150">
        <f t="shared" si="82"/>
        <v>0</v>
      </c>
      <c r="AQ342" s="150">
        <f t="shared" si="82"/>
        <v>0</v>
      </c>
      <c r="AR342" s="150">
        <f t="shared" si="82"/>
        <v>0</v>
      </c>
      <c r="AS342" s="150">
        <f t="shared" si="82"/>
        <v>0</v>
      </c>
      <c r="AT342" s="150">
        <f t="shared" si="82"/>
        <v>0</v>
      </c>
      <c r="AU342" s="150">
        <f t="shared" si="82"/>
        <v>0</v>
      </c>
      <c r="AV342" s="150">
        <f t="shared" si="82"/>
        <v>0</v>
      </c>
      <c r="AW342" s="150">
        <f t="shared" si="82"/>
        <v>0</v>
      </c>
      <c r="AX342" s="150">
        <f t="shared" si="82"/>
        <v>353721000</v>
      </c>
      <c r="AY342" s="150">
        <f>SUM(AY343:AY344)</f>
        <v>329072188</v>
      </c>
      <c r="AZ342" s="150">
        <f>SUM(AZ343:AZ344)</f>
        <v>329072188</v>
      </c>
      <c r="BA342" s="150">
        <f t="shared" si="82"/>
        <v>0</v>
      </c>
      <c r="BB342" s="150">
        <f t="shared" si="82"/>
        <v>0</v>
      </c>
      <c r="BC342" s="150">
        <f t="shared" si="82"/>
        <v>0</v>
      </c>
      <c r="BD342" s="150">
        <f t="shared" si="82"/>
        <v>0</v>
      </c>
      <c r="BE342" s="150">
        <f t="shared" si="82"/>
        <v>0</v>
      </c>
      <c r="BF342" s="150">
        <f t="shared" si="82"/>
        <v>0</v>
      </c>
      <c r="BG342" s="150">
        <f t="shared" si="82"/>
        <v>353721000</v>
      </c>
      <c r="BH342" s="150">
        <f t="shared" si="82"/>
        <v>329072188</v>
      </c>
      <c r="BI342" s="150">
        <f t="shared" si="82"/>
        <v>329072188</v>
      </c>
      <c r="BJ342" s="609"/>
      <c r="BK342" s="608"/>
      <c r="BL342" s="609"/>
    </row>
    <row r="343" spans="1:64" s="178" customFormat="1" ht="91.5" customHeight="1" x14ac:dyDescent="0.2">
      <c r="A343" s="386"/>
      <c r="B343" s="638"/>
      <c r="C343" s="640"/>
      <c r="D343" s="304"/>
      <c r="E343" s="311">
        <v>2302</v>
      </c>
      <c r="F343" s="312" t="s">
        <v>1248</v>
      </c>
      <c r="G343" s="311" t="s">
        <v>1249</v>
      </c>
      <c r="H343" s="311">
        <v>2302033</v>
      </c>
      <c r="I343" s="312" t="s">
        <v>1250</v>
      </c>
      <c r="J343" s="311" t="s">
        <v>1251</v>
      </c>
      <c r="K343" s="264">
        <v>230203300</v>
      </c>
      <c r="L343" s="312" t="s">
        <v>1252</v>
      </c>
      <c r="M343" s="311" t="s">
        <v>89</v>
      </c>
      <c r="N343" s="311">
        <v>100</v>
      </c>
      <c r="O343" s="311">
        <v>100</v>
      </c>
      <c r="P343" s="311">
        <v>100</v>
      </c>
      <c r="Q343" s="633" t="s">
        <v>90</v>
      </c>
      <c r="R343" s="634" t="s">
        <v>1253</v>
      </c>
      <c r="S343" s="633" t="s">
        <v>1254</v>
      </c>
      <c r="T343" s="27"/>
      <c r="U343" s="27"/>
      <c r="V343" s="27"/>
      <c r="W343" s="27"/>
      <c r="X343" s="27"/>
      <c r="Y343" s="27"/>
      <c r="Z343" s="27"/>
      <c r="AA343" s="27"/>
      <c r="AB343" s="27"/>
      <c r="AC343" s="177"/>
      <c r="AD343" s="177"/>
      <c r="AE343" s="177"/>
      <c r="AF343" s="177"/>
      <c r="AG343" s="177"/>
      <c r="AH343" s="177"/>
      <c r="AI343" s="177"/>
      <c r="AJ343" s="177"/>
      <c r="AK343" s="177"/>
      <c r="AL343" s="177"/>
      <c r="AM343" s="177"/>
      <c r="AN343" s="177"/>
      <c r="AO343" s="177"/>
      <c r="AP343" s="177"/>
      <c r="AQ343" s="177"/>
      <c r="AR343" s="177"/>
      <c r="AS343" s="177"/>
      <c r="AT343" s="177"/>
      <c r="AU343" s="177"/>
      <c r="AV343" s="177"/>
      <c r="AW343" s="177"/>
      <c r="AX343" s="177">
        <v>263401000</v>
      </c>
      <c r="AY343" s="259">
        <v>258494928</v>
      </c>
      <c r="AZ343" s="259">
        <v>258494928</v>
      </c>
      <c r="BA343" s="177"/>
      <c r="BB343" s="177"/>
      <c r="BC343" s="177"/>
      <c r="BD343" s="177"/>
      <c r="BE343" s="177"/>
      <c r="BF343" s="177"/>
      <c r="BG343" s="177">
        <f t="shared" ref="BG343:BI344" si="83">+T343+W343+Z343+AC343+AF343+AI343+AL343+AO343+AR343+AU343+AX343+BA343+BD343</f>
        <v>263401000</v>
      </c>
      <c r="BH343" s="177">
        <f t="shared" si="83"/>
        <v>258494928</v>
      </c>
      <c r="BI343" s="177">
        <f t="shared" si="83"/>
        <v>258494928</v>
      </c>
      <c r="BK343" s="608"/>
    </row>
    <row r="344" spans="1:64" s="178" customFormat="1" ht="72" customHeight="1" x14ac:dyDescent="0.2">
      <c r="A344" s="402"/>
      <c r="B344" s="639"/>
      <c r="C344" s="640"/>
      <c r="D344" s="304"/>
      <c r="E344" s="311">
        <v>2302</v>
      </c>
      <c r="F344" s="312" t="s">
        <v>1248</v>
      </c>
      <c r="G344" s="311" t="s">
        <v>1255</v>
      </c>
      <c r="H344" s="311">
        <v>2302066</v>
      </c>
      <c r="I344" s="312" t="s">
        <v>1256</v>
      </c>
      <c r="J344" s="311" t="s">
        <v>1257</v>
      </c>
      <c r="K344" s="264">
        <v>230206600</v>
      </c>
      <c r="L344" s="312" t="s">
        <v>1258</v>
      </c>
      <c r="M344" s="311" t="s">
        <v>179</v>
      </c>
      <c r="N344" s="311">
        <v>200</v>
      </c>
      <c r="O344" s="311">
        <v>30</v>
      </c>
      <c r="P344" s="311">
        <v>30</v>
      </c>
      <c r="Q344" s="633"/>
      <c r="R344" s="634"/>
      <c r="S344" s="633"/>
      <c r="T344" s="27"/>
      <c r="U344" s="27"/>
      <c r="V344" s="27"/>
      <c r="W344" s="27"/>
      <c r="X344" s="27"/>
      <c r="Y344" s="27"/>
      <c r="Z344" s="27"/>
      <c r="AA344" s="27"/>
      <c r="AB344" s="27"/>
      <c r="AC344" s="177"/>
      <c r="AD344" s="177"/>
      <c r="AE344" s="177"/>
      <c r="AF344" s="177"/>
      <c r="AG344" s="177"/>
      <c r="AH344" s="177"/>
      <c r="AI344" s="177"/>
      <c r="AJ344" s="177"/>
      <c r="AK344" s="177"/>
      <c r="AL344" s="177"/>
      <c r="AM344" s="177"/>
      <c r="AN344" s="177"/>
      <c r="AO344" s="177"/>
      <c r="AP344" s="177"/>
      <c r="AQ344" s="177"/>
      <c r="AR344" s="177"/>
      <c r="AS344" s="177"/>
      <c r="AT344" s="177"/>
      <c r="AU344" s="177"/>
      <c r="AV344" s="177"/>
      <c r="AW344" s="177"/>
      <c r="AX344" s="177">
        <f>14320000+76000000</f>
        <v>90320000</v>
      </c>
      <c r="AY344" s="259">
        <v>70577260</v>
      </c>
      <c r="AZ344" s="259">
        <v>70577260</v>
      </c>
      <c r="BA344" s="177"/>
      <c r="BB344" s="177"/>
      <c r="BC344" s="177"/>
      <c r="BD344" s="177"/>
      <c r="BE344" s="177"/>
      <c r="BF344" s="177"/>
      <c r="BG344" s="177">
        <f t="shared" si="83"/>
        <v>90320000</v>
      </c>
      <c r="BH344" s="177">
        <f t="shared" si="83"/>
        <v>70577260</v>
      </c>
      <c r="BI344" s="177">
        <f t="shared" si="83"/>
        <v>70577260</v>
      </c>
      <c r="BK344" s="608"/>
    </row>
    <row r="345" spans="1:64" s="215" customFormat="1" ht="38.25" customHeight="1" x14ac:dyDescent="0.25">
      <c r="A345" s="352" t="s">
        <v>1259</v>
      </c>
      <c r="B345" s="353"/>
      <c r="C345" s="353"/>
      <c r="D345" s="353"/>
      <c r="E345" s="353"/>
      <c r="F345" s="353"/>
      <c r="G345" s="353"/>
      <c r="H345" s="353"/>
      <c r="I345" s="353"/>
      <c r="J345" s="212"/>
      <c r="K345" s="212"/>
      <c r="L345" s="213"/>
      <c r="M345" s="212"/>
      <c r="N345" s="212"/>
      <c r="O345" s="212"/>
      <c r="P345" s="212"/>
      <c r="Q345" s="213"/>
      <c r="R345" s="212"/>
      <c r="S345" s="213"/>
      <c r="T345" s="214">
        <f t="shared" ref="T345:BI345" si="84">+T329+T264+T221+T194+T187+T140+T124+T112+T75+T35+T30+T14+T7</f>
        <v>8373731127.0799999</v>
      </c>
      <c r="U345" s="214">
        <f t="shared" si="84"/>
        <v>5506153688.8299999</v>
      </c>
      <c r="V345" s="214">
        <f t="shared" si="84"/>
        <v>5475169922.8299999</v>
      </c>
      <c r="W345" s="214">
        <f t="shared" si="84"/>
        <v>2192073558.0099998</v>
      </c>
      <c r="X345" s="214">
        <f t="shared" si="84"/>
        <v>216525722</v>
      </c>
      <c r="Y345" s="214">
        <f t="shared" si="84"/>
        <v>216525722</v>
      </c>
      <c r="Z345" s="214">
        <f t="shared" si="84"/>
        <v>184304077.94</v>
      </c>
      <c r="AA345" s="214">
        <f t="shared" si="84"/>
        <v>184278666</v>
      </c>
      <c r="AB345" s="214">
        <f t="shared" si="84"/>
        <v>128170599</v>
      </c>
      <c r="AC345" s="214">
        <f t="shared" si="84"/>
        <v>2849173512.6999998</v>
      </c>
      <c r="AD345" s="214">
        <f t="shared" si="84"/>
        <v>1814157545.8199999</v>
      </c>
      <c r="AE345" s="214">
        <f t="shared" si="84"/>
        <v>1703056117.5999999</v>
      </c>
      <c r="AF345" s="214">
        <f t="shared" si="84"/>
        <v>6648246009.5</v>
      </c>
      <c r="AG345" s="214">
        <f t="shared" si="84"/>
        <v>5019138342</v>
      </c>
      <c r="AH345" s="214">
        <f t="shared" si="84"/>
        <v>4930531676</v>
      </c>
      <c r="AI345" s="214">
        <f t="shared" si="84"/>
        <v>30215921696.520004</v>
      </c>
      <c r="AJ345" s="214">
        <f t="shared" si="84"/>
        <v>27423772761.440002</v>
      </c>
      <c r="AK345" s="214">
        <f t="shared" si="84"/>
        <v>27423772761.440002</v>
      </c>
      <c r="AL345" s="214">
        <f t="shared" si="84"/>
        <v>132182386450.42001</v>
      </c>
      <c r="AM345" s="214">
        <f t="shared" si="84"/>
        <v>131992978403</v>
      </c>
      <c r="AN345" s="214">
        <f t="shared" si="84"/>
        <v>131989858403</v>
      </c>
      <c r="AO345" s="214">
        <f t="shared" si="84"/>
        <v>23036771417</v>
      </c>
      <c r="AP345" s="214">
        <f t="shared" si="84"/>
        <v>23036771417</v>
      </c>
      <c r="AQ345" s="214">
        <f t="shared" si="84"/>
        <v>23036771417</v>
      </c>
      <c r="AR345" s="214">
        <f t="shared" si="84"/>
        <v>14695615717.32</v>
      </c>
      <c r="AS345" s="214">
        <f t="shared" si="84"/>
        <v>13284269528</v>
      </c>
      <c r="AT345" s="214">
        <f t="shared" si="84"/>
        <v>13280387641.4</v>
      </c>
      <c r="AU345" s="214">
        <f t="shared" si="84"/>
        <v>2780436507.1199999</v>
      </c>
      <c r="AV345" s="214">
        <f t="shared" si="84"/>
        <v>2766983630</v>
      </c>
      <c r="AW345" s="214">
        <f t="shared" si="84"/>
        <v>2766983630</v>
      </c>
      <c r="AX345" s="214">
        <f t="shared" si="84"/>
        <v>21978559403.320004</v>
      </c>
      <c r="AY345" s="214">
        <f t="shared" si="84"/>
        <v>16171243749.75</v>
      </c>
      <c r="AZ345" s="214">
        <f t="shared" si="84"/>
        <v>15443127185.530001</v>
      </c>
      <c r="BA345" s="214">
        <f t="shared" si="84"/>
        <v>6395977028.1100006</v>
      </c>
      <c r="BB345" s="214">
        <f t="shared" si="84"/>
        <v>597817370.96000004</v>
      </c>
      <c r="BC345" s="214">
        <f t="shared" si="84"/>
        <v>597734221</v>
      </c>
      <c r="BD345" s="214">
        <f t="shared" si="84"/>
        <v>4189275355.3000002</v>
      </c>
      <c r="BE345" s="214">
        <f t="shared" si="84"/>
        <v>1801288827</v>
      </c>
      <c r="BF345" s="214">
        <f t="shared" si="84"/>
        <v>1768210535</v>
      </c>
      <c r="BG345" s="214">
        <f t="shared" si="84"/>
        <v>255722471860.34</v>
      </c>
      <c r="BH345" s="214">
        <f t="shared" si="84"/>
        <v>235133136043.79999</v>
      </c>
      <c r="BI345" s="214">
        <f t="shared" si="84"/>
        <v>234065532723.79999</v>
      </c>
      <c r="BJ345" s="608"/>
      <c r="BK345" s="608"/>
      <c r="BL345" s="608"/>
    </row>
    <row r="346" spans="1:64" ht="29.25" customHeight="1" x14ac:dyDescent="0.2">
      <c r="A346" s="183" t="s">
        <v>1260</v>
      </c>
      <c r="B346" s="183"/>
      <c r="C346" s="183"/>
      <c r="D346" s="184"/>
      <c r="E346" s="184"/>
      <c r="F346" s="185"/>
      <c r="G346" s="186"/>
      <c r="H346" s="135"/>
      <c r="I346" s="185"/>
      <c r="J346" s="186"/>
      <c r="K346" s="186"/>
      <c r="L346" s="185"/>
      <c r="M346" s="135"/>
      <c r="N346" s="135"/>
      <c r="O346" s="186"/>
      <c r="P346" s="186"/>
      <c r="Q346" s="369"/>
      <c r="R346" s="186"/>
      <c r="S346" s="185"/>
      <c r="T346" s="164">
        <f>+T347</f>
        <v>0</v>
      </c>
      <c r="U346" s="164"/>
      <c r="V346" s="164"/>
      <c r="W346" s="164">
        <f>+W347</f>
        <v>0</v>
      </c>
      <c r="X346" s="164"/>
      <c r="Y346" s="164"/>
      <c r="Z346" s="164">
        <f>+Z347</f>
        <v>0</v>
      </c>
      <c r="AA346" s="164"/>
      <c r="AB346" s="164"/>
      <c r="AC346" s="164">
        <f>+AC347</f>
        <v>0</v>
      </c>
      <c r="AD346" s="164"/>
      <c r="AE346" s="164"/>
      <c r="AF346" s="164">
        <f>+AF347</f>
        <v>0</v>
      </c>
      <c r="AG346" s="164"/>
      <c r="AH346" s="164"/>
      <c r="AI346" s="164">
        <f>+AI347</f>
        <v>0</v>
      </c>
      <c r="AJ346" s="164"/>
      <c r="AK346" s="164"/>
      <c r="AL346" s="164">
        <f>+AL347</f>
        <v>0</v>
      </c>
      <c r="AM346" s="164"/>
      <c r="AN346" s="164"/>
      <c r="AO346" s="164">
        <f>+AO347</f>
        <v>0</v>
      </c>
      <c r="AP346" s="164"/>
      <c r="AQ346" s="164"/>
      <c r="AR346" s="164">
        <f>+AR347</f>
        <v>0</v>
      </c>
      <c r="AS346" s="164"/>
      <c r="AT346" s="164"/>
      <c r="AU346" s="164">
        <f>+AU347</f>
        <v>0</v>
      </c>
      <c r="AV346" s="164"/>
      <c r="AW346" s="164"/>
      <c r="AX346" s="164">
        <f t="shared" ref="AX346:BD346" si="85">+AX347</f>
        <v>756759724.86000001</v>
      </c>
      <c r="AY346" s="164">
        <f t="shared" si="85"/>
        <v>434939047</v>
      </c>
      <c r="AZ346" s="164">
        <f t="shared" si="85"/>
        <v>434939047</v>
      </c>
      <c r="BA346" s="164">
        <f t="shared" si="85"/>
        <v>2835805757.9200001</v>
      </c>
      <c r="BB346" s="164">
        <f t="shared" si="85"/>
        <v>1814808041</v>
      </c>
      <c r="BC346" s="164">
        <f t="shared" si="85"/>
        <v>1814808041</v>
      </c>
      <c r="BD346" s="164">
        <f t="shared" si="85"/>
        <v>748923828</v>
      </c>
      <c r="BE346" s="164"/>
      <c r="BF346" s="164"/>
      <c r="BG346" s="164">
        <f>BG347</f>
        <v>4341489310.7799997</v>
      </c>
      <c r="BH346" s="164">
        <f>BH347</f>
        <v>2728118219</v>
      </c>
      <c r="BI346" s="164">
        <f>BI347</f>
        <v>2728118219</v>
      </c>
      <c r="BJ346" s="608"/>
      <c r="BK346" s="608"/>
      <c r="BL346" s="608"/>
    </row>
    <row r="347" spans="1:64" ht="22.5" customHeight="1" x14ac:dyDescent="0.2">
      <c r="A347" s="382"/>
      <c r="B347" s="222">
        <v>1</v>
      </c>
      <c r="C347" s="138" t="s">
        <v>1</v>
      </c>
      <c r="D347" s="139"/>
      <c r="E347" s="139"/>
      <c r="F347" s="140"/>
      <c r="G347" s="141"/>
      <c r="H347" s="142"/>
      <c r="I347" s="140"/>
      <c r="J347" s="141"/>
      <c r="K347" s="141"/>
      <c r="L347" s="140"/>
      <c r="M347" s="143"/>
      <c r="N347" s="143"/>
      <c r="O347" s="141"/>
      <c r="P347" s="141"/>
      <c r="Q347" s="370"/>
      <c r="R347" s="141"/>
      <c r="S347" s="140"/>
      <c r="T347" s="144">
        <f>T348+T361</f>
        <v>0</v>
      </c>
      <c r="U347" s="144"/>
      <c r="V347" s="144"/>
      <c r="W347" s="144">
        <f>W348+W361</f>
        <v>0</v>
      </c>
      <c r="X347" s="144"/>
      <c r="Y347" s="144"/>
      <c r="Z347" s="144">
        <f>Z348+Z361</f>
        <v>0</v>
      </c>
      <c r="AA347" s="144"/>
      <c r="AB347" s="144"/>
      <c r="AC347" s="144">
        <f>AC348+AC361</f>
        <v>0</v>
      </c>
      <c r="AD347" s="144"/>
      <c r="AE347" s="144"/>
      <c r="AF347" s="144">
        <f>AF348+AF361</f>
        <v>0</v>
      </c>
      <c r="AG347" s="144"/>
      <c r="AH347" s="144"/>
      <c r="AI347" s="144">
        <f>AI348+AI361</f>
        <v>0</v>
      </c>
      <c r="AJ347" s="144"/>
      <c r="AK347" s="144"/>
      <c r="AL347" s="144">
        <f>AL348+AL361</f>
        <v>0</v>
      </c>
      <c r="AM347" s="144"/>
      <c r="AN347" s="144"/>
      <c r="AO347" s="144">
        <f>AO348+AO361</f>
        <v>0</v>
      </c>
      <c r="AP347" s="144"/>
      <c r="AQ347" s="144"/>
      <c r="AR347" s="144">
        <f>AR348+AR361</f>
        <v>0</v>
      </c>
      <c r="AS347" s="144"/>
      <c r="AT347" s="144"/>
      <c r="AU347" s="144">
        <f>AU348+AU361</f>
        <v>0</v>
      </c>
      <c r="AV347" s="144"/>
      <c r="AW347" s="144"/>
      <c r="AX347" s="144">
        <f t="shared" ref="AX347:BD347" si="86">AX348+AX361</f>
        <v>756759724.86000001</v>
      </c>
      <c r="AY347" s="144">
        <f t="shared" si="86"/>
        <v>434939047</v>
      </c>
      <c r="AZ347" s="144">
        <f t="shared" si="86"/>
        <v>434939047</v>
      </c>
      <c r="BA347" s="144">
        <f t="shared" si="86"/>
        <v>2835805757.9200001</v>
      </c>
      <c r="BB347" s="144">
        <f t="shared" si="86"/>
        <v>1814808041</v>
      </c>
      <c r="BC347" s="144">
        <f t="shared" si="86"/>
        <v>1814808041</v>
      </c>
      <c r="BD347" s="144">
        <f t="shared" si="86"/>
        <v>748923828</v>
      </c>
      <c r="BE347" s="144"/>
      <c r="BF347" s="144"/>
      <c r="BG347" s="144">
        <f>BG348+BG361</f>
        <v>4341489310.7799997</v>
      </c>
      <c r="BH347" s="144">
        <f>BH348+BH361</f>
        <v>2728118219</v>
      </c>
      <c r="BI347" s="144">
        <f>BI348+BI361</f>
        <v>2728118219</v>
      </c>
      <c r="BK347" s="608"/>
    </row>
    <row r="348" spans="1:64" ht="20.25" customHeight="1" x14ac:dyDescent="0.2">
      <c r="A348" s="377"/>
      <c r="B348" s="379"/>
      <c r="C348" s="171">
        <v>39</v>
      </c>
      <c r="D348" s="146">
        <v>4301</v>
      </c>
      <c r="E348" s="308" t="s">
        <v>209</v>
      </c>
      <c r="F348" s="192"/>
      <c r="G348" s="191"/>
      <c r="H348" s="191"/>
      <c r="I348" s="192"/>
      <c r="J348" s="191"/>
      <c r="K348" s="191"/>
      <c r="L348" s="192"/>
      <c r="M348" s="147"/>
      <c r="N348" s="147"/>
      <c r="O348" s="191"/>
      <c r="P348" s="191"/>
      <c r="Q348" s="349"/>
      <c r="R348" s="191"/>
      <c r="S348" s="192"/>
      <c r="T348" s="47">
        <f>SUM(T349:T356)</f>
        <v>0</v>
      </c>
      <c r="U348" s="47"/>
      <c r="V348" s="47"/>
      <c r="W348" s="47">
        <f>SUM(W349:W356)</f>
        <v>0</v>
      </c>
      <c r="X348" s="47"/>
      <c r="Y348" s="47"/>
      <c r="Z348" s="47">
        <f>SUM(Z349:Z356)</f>
        <v>0</v>
      </c>
      <c r="AA348" s="47"/>
      <c r="AB348" s="47"/>
      <c r="AC348" s="47">
        <f>SUM(AC349:AC356)</f>
        <v>0</v>
      </c>
      <c r="AD348" s="47"/>
      <c r="AE348" s="47"/>
      <c r="AF348" s="47">
        <f>SUM(AF349:AF356)</f>
        <v>0</v>
      </c>
      <c r="AG348" s="47"/>
      <c r="AH348" s="47"/>
      <c r="AI348" s="47">
        <f>SUM(AI349:AI356)</f>
        <v>0</v>
      </c>
      <c r="AJ348" s="47"/>
      <c r="AK348" s="47"/>
      <c r="AL348" s="47">
        <f>SUM(AL349:AL356)</f>
        <v>0</v>
      </c>
      <c r="AM348" s="47"/>
      <c r="AN348" s="47"/>
      <c r="AO348" s="47">
        <f>SUM(AO349:AO356)</f>
        <v>0</v>
      </c>
      <c r="AP348" s="47"/>
      <c r="AQ348" s="47"/>
      <c r="AR348" s="47">
        <f>SUM(AR349:AR356)</f>
        <v>0</v>
      </c>
      <c r="AS348" s="47"/>
      <c r="AT348" s="47"/>
      <c r="AU348" s="47">
        <f>SUM(AU349:AU356)</f>
        <v>0</v>
      </c>
      <c r="AV348" s="47"/>
      <c r="AW348" s="47"/>
      <c r="AX348" s="47">
        <f>SUM(AX349:AX360)</f>
        <v>182933997.86000001</v>
      </c>
      <c r="AY348" s="47">
        <f>SUM(AY349:AY360)</f>
        <v>22532130</v>
      </c>
      <c r="AZ348" s="47">
        <f>SUM(AZ349:AZ360)</f>
        <v>22532130</v>
      </c>
      <c r="BA348" s="47">
        <f t="shared" ref="BA348:BI348" si="87">SUM(BA349:BA360)</f>
        <v>2144642882.9200001</v>
      </c>
      <c r="BB348" s="47">
        <f>SUM(BB349:BB360)</f>
        <v>1436077251</v>
      </c>
      <c r="BC348" s="47">
        <f>SUM(BC349:BC360)</f>
        <v>1436077251</v>
      </c>
      <c r="BD348" s="47">
        <f t="shared" si="87"/>
        <v>748923828</v>
      </c>
      <c r="BE348" s="47"/>
      <c r="BF348" s="47"/>
      <c r="BG348" s="47">
        <f>SUM(BG349:BG360)</f>
        <v>3076500708.7799997</v>
      </c>
      <c r="BH348" s="47">
        <f t="shared" si="87"/>
        <v>1936980512</v>
      </c>
      <c r="BI348" s="47">
        <f t="shared" si="87"/>
        <v>1936980512</v>
      </c>
      <c r="BK348" s="608"/>
    </row>
    <row r="349" spans="1:64" s="178" customFormat="1" ht="122.25" customHeight="1" x14ac:dyDescent="0.2">
      <c r="A349" s="386"/>
      <c r="B349" s="528"/>
      <c r="C349" s="530"/>
      <c r="D349" s="530"/>
      <c r="E349" s="532">
        <v>4301</v>
      </c>
      <c r="F349" s="557" t="s">
        <v>1503</v>
      </c>
      <c r="G349" s="532" t="s">
        <v>1261</v>
      </c>
      <c r="H349" s="532">
        <v>4301007</v>
      </c>
      <c r="I349" s="531" t="s">
        <v>1262</v>
      </c>
      <c r="J349" s="532" t="s">
        <v>1263</v>
      </c>
      <c r="K349" s="532">
        <v>430100701</v>
      </c>
      <c r="L349" s="531" t="s">
        <v>1264</v>
      </c>
      <c r="M349" s="202" t="s">
        <v>89</v>
      </c>
      <c r="N349" s="202">
        <v>12</v>
      </c>
      <c r="O349" s="532">
        <v>12</v>
      </c>
      <c r="P349" s="532">
        <v>12</v>
      </c>
      <c r="Q349" s="636" t="s">
        <v>215</v>
      </c>
      <c r="R349" s="634" t="s">
        <v>1265</v>
      </c>
      <c r="S349" s="633" t="s">
        <v>1266</v>
      </c>
      <c r="T349" s="27"/>
      <c r="U349" s="27"/>
      <c r="V349" s="27"/>
      <c r="W349" s="27"/>
      <c r="X349" s="27"/>
      <c r="Y349" s="27"/>
      <c r="Z349" s="27"/>
      <c r="AA349" s="27"/>
      <c r="AB349" s="27"/>
      <c r="AC349" s="27"/>
      <c r="AD349" s="27"/>
      <c r="AE349" s="27"/>
      <c r="AF349" s="27"/>
      <c r="AG349" s="27"/>
      <c r="AH349" s="27"/>
      <c r="AI349" s="336"/>
      <c r="AJ349" s="336"/>
      <c r="AK349" s="336"/>
      <c r="AL349" s="27"/>
      <c r="AM349" s="27"/>
      <c r="AN349" s="27"/>
      <c r="AO349" s="27"/>
      <c r="AP349" s="27"/>
      <c r="AQ349" s="27"/>
      <c r="AR349" s="27"/>
      <c r="AS349" s="27"/>
      <c r="AT349" s="27"/>
      <c r="AU349" s="27"/>
      <c r="AV349" s="27"/>
      <c r="AW349" s="27"/>
      <c r="AX349" s="48"/>
      <c r="AY349" s="48"/>
      <c r="AZ349" s="48"/>
      <c r="BA349" s="558">
        <f>47740000+18240000+96129000</f>
        <v>162109000</v>
      </c>
      <c r="BB349" s="558">
        <v>135538760</v>
      </c>
      <c r="BC349" s="558">
        <v>135538760</v>
      </c>
      <c r="BD349" s="27"/>
      <c r="BE349" s="27"/>
      <c r="BF349" s="27"/>
      <c r="BG349" s="177">
        <f>+T349+W349+Z349+AC349+AF349+AI349+AL349+AO349+AR349+AU349+AX349+BA349+BD349</f>
        <v>162109000</v>
      </c>
      <c r="BH349" s="177">
        <f t="shared" ref="BG349:BI360" si="88">+U349+X349+AA349+AD349+AG349+AJ349+AM349+AP349+AS349+AV349+AY349+BB349+BE349</f>
        <v>135538760</v>
      </c>
      <c r="BI349" s="177">
        <f t="shared" si="88"/>
        <v>135538760</v>
      </c>
      <c r="BK349" s="608"/>
    </row>
    <row r="350" spans="1:64" s="178" customFormat="1" ht="120" customHeight="1" x14ac:dyDescent="0.2">
      <c r="A350" s="386"/>
      <c r="B350" s="528"/>
      <c r="C350" s="530"/>
      <c r="D350" s="530"/>
      <c r="E350" s="532">
        <v>4301</v>
      </c>
      <c r="F350" s="557" t="s">
        <v>1503</v>
      </c>
      <c r="G350" s="532">
        <v>39.200000000000003</v>
      </c>
      <c r="H350" s="532">
        <v>4301037</v>
      </c>
      <c r="I350" s="531" t="s">
        <v>1268</v>
      </c>
      <c r="J350" s="532" t="s">
        <v>1271</v>
      </c>
      <c r="K350" s="532">
        <v>430103704</v>
      </c>
      <c r="L350" s="531" t="s">
        <v>1273</v>
      </c>
      <c r="M350" s="266" t="s">
        <v>89</v>
      </c>
      <c r="N350" s="266">
        <v>12</v>
      </c>
      <c r="O350" s="266">
        <v>12</v>
      </c>
      <c r="P350" s="266">
        <v>12</v>
      </c>
      <c r="Q350" s="636"/>
      <c r="R350" s="634"/>
      <c r="S350" s="633"/>
      <c r="T350" s="27"/>
      <c r="U350" s="27"/>
      <c r="V350" s="27"/>
      <c r="W350" s="27"/>
      <c r="X350" s="27"/>
      <c r="Y350" s="27"/>
      <c r="Z350" s="27"/>
      <c r="AA350" s="27"/>
      <c r="AB350" s="27"/>
      <c r="AC350" s="27"/>
      <c r="AD350" s="27"/>
      <c r="AE350" s="27"/>
      <c r="AF350" s="27"/>
      <c r="AG350" s="27"/>
      <c r="AH350" s="27"/>
      <c r="AI350" s="27"/>
      <c r="AJ350" s="27"/>
      <c r="AK350" s="27"/>
      <c r="AL350" s="27"/>
      <c r="AM350" s="27"/>
      <c r="AN350" s="27"/>
      <c r="AO350" s="27"/>
      <c r="AP350" s="27"/>
      <c r="AQ350" s="27"/>
      <c r="AR350" s="27"/>
      <c r="AS350" s="27"/>
      <c r="AT350" s="27"/>
      <c r="AU350" s="27"/>
      <c r="AV350" s="27"/>
      <c r="AW350" s="27"/>
      <c r="AX350" s="558">
        <v>3480000</v>
      </c>
      <c r="AY350" s="558">
        <v>2120000</v>
      </c>
      <c r="AZ350" s="558">
        <v>2120000</v>
      </c>
      <c r="BA350" s="558">
        <f>10000000</f>
        <v>10000000</v>
      </c>
      <c r="BB350" s="558">
        <v>10000000</v>
      </c>
      <c r="BC350" s="558">
        <v>10000000</v>
      </c>
      <c r="BD350" s="49"/>
      <c r="BE350" s="49"/>
      <c r="BF350" s="49"/>
      <c r="BG350" s="177">
        <f t="shared" si="88"/>
        <v>13480000</v>
      </c>
      <c r="BH350" s="177">
        <f t="shared" si="88"/>
        <v>12120000</v>
      </c>
      <c r="BI350" s="177">
        <f t="shared" si="88"/>
        <v>12120000</v>
      </c>
      <c r="BK350" s="608"/>
    </row>
    <row r="351" spans="1:64" s="178" customFormat="1" ht="134.25" customHeight="1" x14ac:dyDescent="0.2">
      <c r="A351" s="386"/>
      <c r="B351" s="528"/>
      <c r="C351" s="530"/>
      <c r="D351" s="530"/>
      <c r="E351" s="532">
        <v>4301</v>
      </c>
      <c r="F351" s="557" t="s">
        <v>1503</v>
      </c>
      <c r="G351" s="532" t="s">
        <v>1267</v>
      </c>
      <c r="H351" s="532">
        <v>4301037</v>
      </c>
      <c r="I351" s="531" t="s">
        <v>1268</v>
      </c>
      <c r="J351" s="532" t="s">
        <v>1269</v>
      </c>
      <c r="K351" s="532">
        <v>430103701</v>
      </c>
      <c r="L351" s="531" t="s">
        <v>1270</v>
      </c>
      <c r="M351" s="266" t="s">
        <v>89</v>
      </c>
      <c r="N351" s="266">
        <v>12</v>
      </c>
      <c r="O351" s="266">
        <v>12</v>
      </c>
      <c r="P351" s="266">
        <v>11</v>
      </c>
      <c r="Q351" s="211" t="s">
        <v>215</v>
      </c>
      <c r="R351" s="532" t="s">
        <v>1274</v>
      </c>
      <c r="S351" s="531" t="s">
        <v>1452</v>
      </c>
      <c r="T351" s="27"/>
      <c r="U351" s="27"/>
      <c r="V351" s="27"/>
      <c r="W351" s="27"/>
      <c r="X351" s="27"/>
      <c r="Y351" s="27"/>
      <c r="Z351" s="27"/>
      <c r="AA351" s="27"/>
      <c r="AB351" s="27"/>
      <c r="AC351" s="27"/>
      <c r="AD351" s="27"/>
      <c r="AE351" s="27"/>
      <c r="AF351" s="27"/>
      <c r="AG351" s="27"/>
      <c r="AH351" s="27"/>
      <c r="AI351" s="27"/>
      <c r="AJ351" s="27"/>
      <c r="AK351" s="27"/>
      <c r="AL351" s="27"/>
      <c r="AM351" s="27"/>
      <c r="AN351" s="27"/>
      <c r="AO351" s="27"/>
      <c r="AP351" s="27"/>
      <c r="AQ351" s="27"/>
      <c r="AR351" s="27"/>
      <c r="AS351" s="27"/>
      <c r="AT351" s="27"/>
      <c r="AU351" s="27"/>
      <c r="AV351" s="27"/>
      <c r="AW351" s="27"/>
      <c r="AX351" s="558">
        <v>2227426</v>
      </c>
      <c r="AY351" s="558"/>
      <c r="AZ351" s="558"/>
      <c r="BA351" s="558">
        <f>7000000+40000000</f>
        <v>47000000</v>
      </c>
      <c r="BB351" s="558">
        <f>'[10]F-PLA-47 MP INDEPORTES DIC '!$R$24+'[10]F-PLA-47 MP INDEPORTES DIC '!$R$22</f>
        <v>11000000</v>
      </c>
      <c r="BC351" s="558">
        <v>11000000</v>
      </c>
      <c r="BD351" s="27"/>
      <c r="BE351" s="27"/>
      <c r="BF351" s="27"/>
      <c r="BG351" s="177">
        <f t="shared" si="88"/>
        <v>49227426</v>
      </c>
      <c r="BH351" s="177">
        <f t="shared" si="88"/>
        <v>11000000</v>
      </c>
      <c r="BI351" s="177">
        <f t="shared" si="88"/>
        <v>11000000</v>
      </c>
      <c r="BK351" s="608"/>
    </row>
    <row r="352" spans="1:64" s="178" customFormat="1" ht="120.75" customHeight="1" x14ac:dyDescent="0.2">
      <c r="A352" s="386"/>
      <c r="B352" s="528"/>
      <c r="C352" s="530"/>
      <c r="D352" s="530"/>
      <c r="E352" s="532">
        <v>4301</v>
      </c>
      <c r="F352" s="557" t="s">
        <v>1503</v>
      </c>
      <c r="G352" s="532" t="s">
        <v>1267</v>
      </c>
      <c r="H352" s="532">
        <v>4301037</v>
      </c>
      <c r="I352" s="531" t="s">
        <v>1268</v>
      </c>
      <c r="J352" s="532" t="s">
        <v>1271</v>
      </c>
      <c r="K352" s="532">
        <v>430103704</v>
      </c>
      <c r="L352" s="531" t="s">
        <v>1273</v>
      </c>
      <c r="M352" s="266" t="s">
        <v>89</v>
      </c>
      <c r="N352" s="266">
        <v>12</v>
      </c>
      <c r="O352" s="266">
        <v>12</v>
      </c>
      <c r="P352" s="266">
        <v>12</v>
      </c>
      <c r="Q352" s="636" t="s">
        <v>215</v>
      </c>
      <c r="R352" s="634" t="s">
        <v>1276</v>
      </c>
      <c r="S352" s="633" t="s">
        <v>1277</v>
      </c>
      <c r="T352" s="27"/>
      <c r="U352" s="27"/>
      <c r="V352" s="27"/>
      <c r="W352" s="27"/>
      <c r="X352" s="27"/>
      <c r="Y352" s="27"/>
      <c r="Z352" s="27"/>
      <c r="AA352" s="27"/>
      <c r="AB352" s="27"/>
      <c r="AC352" s="27"/>
      <c r="AD352" s="27"/>
      <c r="AE352" s="27"/>
      <c r="AF352" s="27"/>
      <c r="AG352" s="27"/>
      <c r="AH352" s="27"/>
      <c r="AI352" s="27"/>
      <c r="AJ352" s="27"/>
      <c r="AK352" s="27"/>
      <c r="AL352" s="27"/>
      <c r="AM352" s="27"/>
      <c r="AN352" s="27"/>
      <c r="AO352" s="27"/>
      <c r="AP352" s="27"/>
      <c r="AQ352" s="27"/>
      <c r="AR352" s="27"/>
      <c r="AS352" s="27"/>
      <c r="AT352" s="27"/>
      <c r="AU352" s="27"/>
      <c r="AV352" s="27"/>
      <c r="AW352" s="27"/>
      <c r="AX352" s="559"/>
      <c r="AY352" s="559"/>
      <c r="AZ352" s="559"/>
      <c r="BA352" s="423">
        <f>13800000+24000000</f>
        <v>37800000</v>
      </c>
      <c r="BB352" s="281">
        <v>37800000</v>
      </c>
      <c r="BC352" s="423">
        <v>37800000</v>
      </c>
      <c r="BD352" s="27"/>
      <c r="BE352" s="27"/>
      <c r="BF352" s="27"/>
      <c r="BG352" s="177">
        <f t="shared" si="88"/>
        <v>37800000</v>
      </c>
      <c r="BH352" s="177">
        <f t="shared" si="88"/>
        <v>37800000</v>
      </c>
      <c r="BI352" s="177">
        <f t="shared" si="88"/>
        <v>37800000</v>
      </c>
      <c r="BK352" s="608"/>
    </row>
    <row r="353" spans="1:64" s="178" customFormat="1" ht="127.5" customHeight="1" x14ac:dyDescent="0.2">
      <c r="A353" s="386"/>
      <c r="B353" s="528"/>
      <c r="C353" s="530"/>
      <c r="D353" s="530"/>
      <c r="E353" s="532">
        <v>4301</v>
      </c>
      <c r="F353" s="531" t="s">
        <v>1503</v>
      </c>
      <c r="G353" s="532" t="s">
        <v>1278</v>
      </c>
      <c r="H353" s="532" t="s">
        <v>83</v>
      </c>
      <c r="I353" s="531" t="s">
        <v>1279</v>
      </c>
      <c r="J353" s="532" t="s">
        <v>1280</v>
      </c>
      <c r="K353" s="532" t="s">
        <v>83</v>
      </c>
      <c r="L353" s="531" t="s">
        <v>1505</v>
      </c>
      <c r="M353" s="202" t="s">
        <v>89</v>
      </c>
      <c r="N353" s="202">
        <v>1</v>
      </c>
      <c r="O353" s="532">
        <v>1</v>
      </c>
      <c r="P353" s="604">
        <v>0.3</v>
      </c>
      <c r="Q353" s="636"/>
      <c r="R353" s="634"/>
      <c r="S353" s="633"/>
      <c r="T353" s="27"/>
      <c r="U353" s="27"/>
      <c r="V353" s="27"/>
      <c r="W353" s="27"/>
      <c r="X353" s="27"/>
      <c r="Y353" s="27"/>
      <c r="Z353" s="27"/>
      <c r="AA353" s="27"/>
      <c r="AB353" s="27"/>
      <c r="AC353" s="27"/>
      <c r="AD353" s="27"/>
      <c r="AE353" s="27"/>
      <c r="AF353" s="27"/>
      <c r="AG353" s="27"/>
      <c r="AH353" s="27"/>
      <c r="AI353" s="27"/>
      <c r="AJ353" s="27"/>
      <c r="AK353" s="27"/>
      <c r="AL353" s="27"/>
      <c r="AM353" s="27"/>
      <c r="AN353" s="27"/>
      <c r="AO353" s="27"/>
      <c r="AP353" s="27"/>
      <c r="AQ353" s="27"/>
      <c r="AR353" s="27"/>
      <c r="AS353" s="27"/>
      <c r="AT353" s="27"/>
      <c r="AU353" s="27"/>
      <c r="AV353" s="27"/>
      <c r="AW353" s="27"/>
      <c r="AX353" s="40"/>
      <c r="AY353" s="40"/>
      <c r="AZ353" s="40"/>
      <c r="BA353" s="281">
        <f>19500000+12000000</f>
        <v>31500000</v>
      </c>
      <c r="BB353" s="281">
        <v>31361384</v>
      </c>
      <c r="BC353" s="281">
        <v>31361384</v>
      </c>
      <c r="BD353" s="560"/>
      <c r="BE353" s="560"/>
      <c r="BF353" s="560"/>
      <c r="BG353" s="177">
        <f t="shared" si="88"/>
        <v>31500000</v>
      </c>
      <c r="BH353" s="177">
        <f t="shared" si="88"/>
        <v>31361384</v>
      </c>
      <c r="BI353" s="177">
        <f t="shared" si="88"/>
        <v>31361384</v>
      </c>
      <c r="BK353" s="608"/>
    </row>
    <row r="354" spans="1:64" s="178" customFormat="1" ht="129.75" customHeight="1" x14ac:dyDescent="0.2">
      <c r="A354" s="386"/>
      <c r="B354" s="528"/>
      <c r="C354" s="530"/>
      <c r="D354" s="530"/>
      <c r="E354" s="532">
        <v>4301</v>
      </c>
      <c r="F354" s="557" t="s">
        <v>1503</v>
      </c>
      <c r="G354" s="532" t="s">
        <v>1261</v>
      </c>
      <c r="H354" s="532">
        <v>4301007</v>
      </c>
      <c r="I354" s="531" t="s">
        <v>1262</v>
      </c>
      <c r="J354" s="532" t="s">
        <v>1263</v>
      </c>
      <c r="K354" s="532">
        <v>430100701</v>
      </c>
      <c r="L354" s="531" t="s">
        <v>1264</v>
      </c>
      <c r="M354" s="202" t="s">
        <v>89</v>
      </c>
      <c r="N354" s="202">
        <v>12</v>
      </c>
      <c r="O354" s="532">
        <v>12</v>
      </c>
      <c r="P354" s="532">
        <v>12</v>
      </c>
      <c r="Q354" s="211" t="s">
        <v>215</v>
      </c>
      <c r="R354" s="634" t="s">
        <v>1281</v>
      </c>
      <c r="S354" s="633" t="s">
        <v>1453</v>
      </c>
      <c r="T354" s="27"/>
      <c r="U354" s="27"/>
      <c r="V354" s="27"/>
      <c r="W354" s="27"/>
      <c r="X354" s="27"/>
      <c r="Y354" s="27"/>
      <c r="Z354" s="27"/>
      <c r="AA354" s="27"/>
      <c r="AB354" s="27"/>
      <c r="AC354" s="27"/>
      <c r="AD354" s="27"/>
      <c r="AE354" s="27"/>
      <c r="AF354" s="27"/>
      <c r="AG354" s="27"/>
      <c r="AH354" s="27"/>
      <c r="AI354" s="27"/>
      <c r="AJ354" s="27"/>
      <c r="AK354" s="27"/>
      <c r="AL354" s="27"/>
      <c r="AM354" s="27"/>
      <c r="AN354" s="27"/>
      <c r="AO354" s="27"/>
      <c r="AP354" s="27"/>
      <c r="AQ354" s="27"/>
      <c r="AR354" s="27"/>
      <c r="AS354" s="27"/>
      <c r="AT354" s="27"/>
      <c r="AU354" s="27"/>
      <c r="AV354" s="27"/>
      <c r="AW354" s="27"/>
      <c r="AX354" s="40"/>
      <c r="AY354" s="40"/>
      <c r="AZ354" s="40"/>
      <c r="BA354" s="423">
        <v>348605598</v>
      </c>
      <c r="BB354" s="423">
        <v>348605598</v>
      </c>
      <c r="BC354" s="423">
        <v>348605598</v>
      </c>
      <c r="BD354" s="560"/>
      <c r="BE354" s="560"/>
      <c r="BF354" s="560"/>
      <c r="BG354" s="177">
        <f t="shared" si="88"/>
        <v>348605598</v>
      </c>
      <c r="BH354" s="177">
        <f t="shared" si="88"/>
        <v>348605598</v>
      </c>
      <c r="BI354" s="177">
        <f t="shared" si="88"/>
        <v>348605598</v>
      </c>
      <c r="BK354" s="608"/>
    </row>
    <row r="355" spans="1:64" s="178" customFormat="1" ht="119.25" customHeight="1" x14ac:dyDescent="0.2">
      <c r="A355" s="386"/>
      <c r="B355" s="528"/>
      <c r="C355" s="530"/>
      <c r="D355" s="530"/>
      <c r="E355" s="532">
        <v>4301</v>
      </c>
      <c r="F355" s="557" t="s">
        <v>1503</v>
      </c>
      <c r="G355" s="532" t="s">
        <v>1267</v>
      </c>
      <c r="H355" s="532">
        <v>4301037</v>
      </c>
      <c r="I355" s="531" t="s">
        <v>1268</v>
      </c>
      <c r="J355" s="532" t="s">
        <v>1271</v>
      </c>
      <c r="K355" s="532" t="s">
        <v>1272</v>
      </c>
      <c r="L355" s="531" t="s">
        <v>1273</v>
      </c>
      <c r="M355" s="266" t="s">
        <v>89</v>
      </c>
      <c r="N355" s="266">
        <v>12</v>
      </c>
      <c r="O355" s="266">
        <v>12</v>
      </c>
      <c r="P355" s="266">
        <v>12</v>
      </c>
      <c r="Q355" s="211" t="s">
        <v>215</v>
      </c>
      <c r="R355" s="634"/>
      <c r="S355" s="633"/>
      <c r="T355" s="27"/>
      <c r="U355" s="27"/>
      <c r="V355" s="27"/>
      <c r="W355" s="27"/>
      <c r="X355" s="27"/>
      <c r="Y355" s="27"/>
      <c r="Z355" s="27"/>
      <c r="AA355" s="27"/>
      <c r="AB355" s="27"/>
      <c r="AC355" s="27"/>
      <c r="AD355" s="27"/>
      <c r="AE355" s="27"/>
      <c r="AF355" s="27"/>
      <c r="AG355" s="27"/>
      <c r="AH355" s="27"/>
      <c r="AI355" s="27"/>
      <c r="AJ355" s="27"/>
      <c r="AK355" s="27"/>
      <c r="AL355" s="27"/>
      <c r="AM355" s="27"/>
      <c r="AN355" s="27"/>
      <c r="AO355" s="27"/>
      <c r="AP355" s="27"/>
      <c r="AQ355" s="27"/>
      <c r="AR355" s="27"/>
      <c r="AS355" s="27"/>
      <c r="AT355" s="27"/>
      <c r="AU355" s="27"/>
      <c r="AV355" s="27"/>
      <c r="AW355" s="27"/>
      <c r="AX355" s="281">
        <v>18480000</v>
      </c>
      <c r="AY355" s="281">
        <f>AX355</f>
        <v>18480000</v>
      </c>
      <c r="AZ355" s="281">
        <f>AY355</f>
        <v>18480000</v>
      </c>
      <c r="BA355" s="561"/>
      <c r="BB355" s="561"/>
      <c r="BC355" s="561"/>
      <c r="BD355" s="560"/>
      <c r="BE355" s="560"/>
      <c r="BF355" s="560"/>
      <c r="BG355" s="177">
        <f t="shared" si="88"/>
        <v>18480000</v>
      </c>
      <c r="BH355" s="177">
        <f t="shared" si="88"/>
        <v>18480000</v>
      </c>
      <c r="BI355" s="177">
        <f t="shared" si="88"/>
        <v>18480000</v>
      </c>
      <c r="BK355" s="608"/>
    </row>
    <row r="356" spans="1:64" s="178" customFormat="1" ht="113.25" customHeight="1" x14ac:dyDescent="0.2">
      <c r="A356" s="386"/>
      <c r="B356" s="528"/>
      <c r="C356" s="530"/>
      <c r="D356" s="530"/>
      <c r="E356" s="532">
        <v>4301</v>
      </c>
      <c r="F356" s="557" t="s">
        <v>1503</v>
      </c>
      <c r="G356" s="532" t="s">
        <v>1267</v>
      </c>
      <c r="H356" s="532">
        <v>4301037</v>
      </c>
      <c r="I356" s="531" t="s">
        <v>1268</v>
      </c>
      <c r="J356" s="532" t="s">
        <v>1271</v>
      </c>
      <c r="K356" s="532" t="s">
        <v>1272</v>
      </c>
      <c r="L356" s="531" t="s">
        <v>1273</v>
      </c>
      <c r="M356" s="266" t="s">
        <v>89</v>
      </c>
      <c r="N356" s="266">
        <v>12</v>
      </c>
      <c r="O356" s="266">
        <v>12</v>
      </c>
      <c r="P356" s="266">
        <v>12</v>
      </c>
      <c r="Q356" s="211" t="s">
        <v>215</v>
      </c>
      <c r="R356" s="532" t="s">
        <v>1283</v>
      </c>
      <c r="S356" s="531" t="s">
        <v>1454</v>
      </c>
      <c r="T356" s="27"/>
      <c r="U356" s="27"/>
      <c r="V356" s="27"/>
      <c r="W356" s="27"/>
      <c r="X356" s="27"/>
      <c r="Y356" s="27"/>
      <c r="Z356" s="27"/>
      <c r="AA356" s="27"/>
      <c r="AB356" s="27"/>
      <c r="AC356" s="27"/>
      <c r="AD356" s="27"/>
      <c r="AE356" s="27"/>
      <c r="AF356" s="27"/>
      <c r="AG356" s="27"/>
      <c r="AH356" s="27"/>
      <c r="AI356" s="27"/>
      <c r="AJ356" s="27"/>
      <c r="AK356" s="27"/>
      <c r="AL356" s="27"/>
      <c r="AM356" s="27"/>
      <c r="AN356" s="27"/>
      <c r="AO356" s="27"/>
      <c r="AP356" s="27"/>
      <c r="AQ356" s="27"/>
      <c r="AR356" s="27"/>
      <c r="AS356" s="27"/>
      <c r="AT356" s="27"/>
      <c r="AU356" s="27"/>
      <c r="AV356" s="27"/>
      <c r="AW356" s="27"/>
      <c r="AX356" s="281">
        <v>359648</v>
      </c>
      <c r="AY356" s="281"/>
      <c r="AZ356" s="281"/>
      <c r="BA356" s="561">
        <f>30633333+60592102</f>
        <v>91225435</v>
      </c>
      <c r="BB356" s="561">
        <v>57090908</v>
      </c>
      <c r="BC356" s="561">
        <f>BB356</f>
        <v>57090908</v>
      </c>
      <c r="BD356" s="560"/>
      <c r="BE356" s="560"/>
      <c r="BF356" s="560"/>
      <c r="BG356" s="177">
        <f t="shared" si="88"/>
        <v>91585083</v>
      </c>
      <c r="BH356" s="177">
        <f t="shared" si="88"/>
        <v>57090908</v>
      </c>
      <c r="BI356" s="177">
        <f t="shared" si="88"/>
        <v>57090908</v>
      </c>
      <c r="BK356" s="608"/>
    </row>
    <row r="357" spans="1:64" s="178" customFormat="1" ht="109.5" customHeight="1" x14ac:dyDescent="0.2">
      <c r="A357" s="386"/>
      <c r="B357" s="528"/>
      <c r="C357" s="530"/>
      <c r="D357" s="530"/>
      <c r="E357" s="532">
        <v>4301</v>
      </c>
      <c r="F357" s="557" t="s">
        <v>1503</v>
      </c>
      <c r="G357" s="532" t="s">
        <v>1261</v>
      </c>
      <c r="H357" s="532">
        <v>4301007</v>
      </c>
      <c r="I357" s="531" t="s">
        <v>1262</v>
      </c>
      <c r="J357" s="532" t="s">
        <v>1263</v>
      </c>
      <c r="K357" s="532">
        <v>430100701</v>
      </c>
      <c r="L357" s="531" t="s">
        <v>1264</v>
      </c>
      <c r="M357" s="202" t="s">
        <v>89</v>
      </c>
      <c r="N357" s="202">
        <v>12</v>
      </c>
      <c r="O357" s="532">
        <v>12</v>
      </c>
      <c r="P357" s="532">
        <v>12</v>
      </c>
      <c r="Q357" s="636" t="s">
        <v>215</v>
      </c>
      <c r="R357" s="644" t="s">
        <v>1293</v>
      </c>
      <c r="S357" s="636" t="s">
        <v>1502</v>
      </c>
      <c r="T357" s="27"/>
      <c r="U357" s="27"/>
      <c r="V357" s="27"/>
      <c r="W357" s="27"/>
      <c r="X357" s="27"/>
      <c r="Y357" s="27"/>
      <c r="Z357" s="27"/>
      <c r="AA357" s="27"/>
      <c r="AB357" s="27"/>
      <c r="AC357" s="27"/>
      <c r="AD357" s="27"/>
      <c r="AE357" s="27"/>
      <c r="AF357" s="27"/>
      <c r="AG357" s="27"/>
      <c r="AH357" s="27"/>
      <c r="AI357" s="27"/>
      <c r="AJ357" s="27"/>
      <c r="AK357" s="27"/>
      <c r="AL357" s="27"/>
      <c r="AM357" s="27"/>
      <c r="AN357" s="27"/>
      <c r="AO357" s="27"/>
      <c r="AP357" s="27"/>
      <c r="AQ357" s="27"/>
      <c r="AR357" s="27"/>
      <c r="AS357" s="27"/>
      <c r="AT357" s="27"/>
      <c r="AU357" s="27"/>
      <c r="AV357" s="27"/>
      <c r="AW357" s="27"/>
      <c r="AX357" s="281"/>
      <c r="AY357" s="281"/>
      <c r="AZ357" s="281"/>
      <c r="BA357" s="561">
        <f>730678430+35631000</f>
        <v>766309430</v>
      </c>
      <c r="BB357" s="561">
        <v>747335398</v>
      </c>
      <c r="BC357" s="561">
        <v>747335398</v>
      </c>
      <c r="BD357" s="444">
        <v>224301000</v>
      </c>
      <c r="BE357" s="560">
        <v>153500734</v>
      </c>
      <c r="BF357" s="560">
        <v>153500734</v>
      </c>
      <c r="BG357" s="177">
        <f t="shared" si="88"/>
        <v>990610430</v>
      </c>
      <c r="BH357" s="177">
        <f t="shared" si="88"/>
        <v>900836132</v>
      </c>
      <c r="BI357" s="177">
        <f t="shared" si="88"/>
        <v>900836132</v>
      </c>
      <c r="BK357" s="608"/>
    </row>
    <row r="358" spans="1:64" s="178" customFormat="1" ht="114.75" customHeight="1" x14ac:dyDescent="0.2">
      <c r="A358" s="386"/>
      <c r="B358" s="528"/>
      <c r="C358" s="530"/>
      <c r="D358" s="530"/>
      <c r="E358" s="532">
        <v>4301</v>
      </c>
      <c r="F358" s="557" t="s">
        <v>1503</v>
      </c>
      <c r="G358" s="634" t="s">
        <v>1267</v>
      </c>
      <c r="H358" s="634">
        <v>4301037</v>
      </c>
      <c r="I358" s="633" t="s">
        <v>1268</v>
      </c>
      <c r="J358" s="532" t="s">
        <v>1269</v>
      </c>
      <c r="K358" s="532">
        <v>430103701</v>
      </c>
      <c r="L358" s="531" t="s">
        <v>1270</v>
      </c>
      <c r="M358" s="266" t="s">
        <v>89</v>
      </c>
      <c r="N358" s="266">
        <v>12</v>
      </c>
      <c r="O358" s="266">
        <v>12</v>
      </c>
      <c r="P358" s="266">
        <v>11</v>
      </c>
      <c r="Q358" s="636"/>
      <c r="R358" s="644"/>
      <c r="S358" s="636"/>
      <c r="T358" s="27"/>
      <c r="U358" s="27"/>
      <c r="V358" s="27"/>
      <c r="W358" s="27"/>
      <c r="X358" s="27"/>
      <c r="Y358" s="27"/>
      <c r="Z358" s="27"/>
      <c r="AA358" s="27"/>
      <c r="AB358" s="27"/>
      <c r="AC358" s="27"/>
      <c r="AD358" s="27"/>
      <c r="AE358" s="27"/>
      <c r="AF358" s="27"/>
      <c r="AG358" s="27"/>
      <c r="AH358" s="27"/>
      <c r="AI358" s="27"/>
      <c r="AJ358" s="27"/>
      <c r="AK358" s="27"/>
      <c r="AL358" s="27"/>
      <c r="AM358" s="27"/>
      <c r="AN358" s="27"/>
      <c r="AO358" s="27"/>
      <c r="AP358" s="27"/>
      <c r="AQ358" s="27"/>
      <c r="AR358" s="27"/>
      <c r="AS358" s="27"/>
      <c r="AT358" s="27"/>
      <c r="AU358" s="27"/>
      <c r="AV358" s="27"/>
      <c r="AW358" s="27"/>
      <c r="AX358" s="40">
        <v>77772574</v>
      </c>
      <c r="AY358" s="40"/>
      <c r="AZ358" s="40"/>
      <c r="BA358" s="562">
        <v>113000000</v>
      </c>
      <c r="BB358" s="281"/>
      <c r="BC358" s="281"/>
      <c r="BD358" s="444">
        <v>140758086</v>
      </c>
      <c r="BE358" s="560">
        <v>27320003</v>
      </c>
      <c r="BF358" s="560">
        <v>27320003</v>
      </c>
      <c r="BG358" s="177">
        <f t="shared" si="88"/>
        <v>331530660</v>
      </c>
      <c r="BH358" s="177">
        <f t="shared" si="88"/>
        <v>27320003</v>
      </c>
      <c r="BI358" s="177">
        <f t="shared" si="88"/>
        <v>27320003</v>
      </c>
      <c r="BK358" s="608"/>
    </row>
    <row r="359" spans="1:64" s="178" customFormat="1" ht="124.5" customHeight="1" x14ac:dyDescent="0.2">
      <c r="A359" s="386"/>
      <c r="B359" s="528"/>
      <c r="C359" s="530"/>
      <c r="D359" s="530"/>
      <c r="E359" s="532">
        <v>4301</v>
      </c>
      <c r="F359" s="557" t="s">
        <v>1503</v>
      </c>
      <c r="G359" s="634"/>
      <c r="H359" s="634">
        <v>4301037</v>
      </c>
      <c r="I359" s="633" t="s">
        <v>1268</v>
      </c>
      <c r="J359" s="532" t="s">
        <v>1271</v>
      </c>
      <c r="K359" s="532" t="s">
        <v>1272</v>
      </c>
      <c r="L359" s="531" t="s">
        <v>1273</v>
      </c>
      <c r="M359" s="266" t="s">
        <v>89</v>
      </c>
      <c r="N359" s="266">
        <v>12</v>
      </c>
      <c r="O359" s="266">
        <v>12</v>
      </c>
      <c r="P359" s="266">
        <v>12</v>
      </c>
      <c r="Q359" s="636"/>
      <c r="R359" s="644"/>
      <c r="S359" s="636"/>
      <c r="T359" s="27"/>
      <c r="U359" s="27"/>
      <c r="V359" s="27"/>
      <c r="W359" s="27"/>
      <c r="X359" s="27"/>
      <c r="Y359" s="27"/>
      <c r="Z359" s="27"/>
      <c r="AA359" s="27"/>
      <c r="AB359" s="27"/>
      <c r="AC359" s="27"/>
      <c r="AD359" s="27"/>
      <c r="AE359" s="27"/>
      <c r="AF359" s="27"/>
      <c r="AG359" s="27"/>
      <c r="AH359" s="27"/>
      <c r="AI359" s="27"/>
      <c r="AJ359" s="27"/>
      <c r="AK359" s="27"/>
      <c r="AL359" s="27"/>
      <c r="AM359" s="27"/>
      <c r="AN359" s="27"/>
      <c r="AO359" s="27"/>
      <c r="AP359" s="27"/>
      <c r="AQ359" s="27"/>
      <c r="AR359" s="27"/>
      <c r="AS359" s="27"/>
      <c r="AT359" s="27"/>
      <c r="AU359" s="27"/>
      <c r="AV359" s="27"/>
      <c r="AW359" s="27"/>
      <c r="AX359" s="40">
        <f>37040000+43574349.86</f>
        <v>80614349.859999999</v>
      </c>
      <c r="AY359" s="40">
        <v>1932130</v>
      </c>
      <c r="AZ359" s="40">
        <v>1932130</v>
      </c>
      <c r="BA359" s="563">
        <f>162119520+319473899.92</f>
        <v>481593419.92000002</v>
      </c>
      <c r="BB359" s="563">
        <v>50345203</v>
      </c>
      <c r="BC359" s="563">
        <v>50345203</v>
      </c>
      <c r="BD359" s="444">
        <v>383864742</v>
      </c>
      <c r="BE359" s="560">
        <v>297550394</v>
      </c>
      <c r="BF359" s="560">
        <v>297550394</v>
      </c>
      <c r="BG359" s="177">
        <f>+T359+W359+Z359+AC359+AF359+AI359+AL359+AO359+AR359+AU359+AX359+BA359+BD359</f>
        <v>946072511.77999997</v>
      </c>
      <c r="BH359" s="177">
        <f t="shared" si="88"/>
        <v>349827727</v>
      </c>
      <c r="BI359" s="177">
        <f t="shared" si="88"/>
        <v>349827727</v>
      </c>
      <c r="BK359" s="608"/>
    </row>
    <row r="360" spans="1:64" s="178" customFormat="1" ht="122.25" customHeight="1" x14ac:dyDescent="0.2">
      <c r="A360" s="386"/>
      <c r="B360" s="528"/>
      <c r="C360" s="530"/>
      <c r="D360" s="530"/>
      <c r="E360" s="532">
        <v>4301</v>
      </c>
      <c r="F360" s="531" t="s">
        <v>1503</v>
      </c>
      <c r="G360" s="532" t="s">
        <v>1278</v>
      </c>
      <c r="H360" s="532" t="s">
        <v>83</v>
      </c>
      <c r="I360" s="531" t="s">
        <v>1279</v>
      </c>
      <c r="J360" s="532" t="s">
        <v>1280</v>
      </c>
      <c r="K360" s="532" t="s">
        <v>83</v>
      </c>
      <c r="L360" s="531" t="s">
        <v>1505</v>
      </c>
      <c r="M360" s="202" t="s">
        <v>89</v>
      </c>
      <c r="N360" s="202">
        <v>1</v>
      </c>
      <c r="O360" s="532">
        <v>1</v>
      </c>
      <c r="P360" s="604">
        <v>0.3</v>
      </c>
      <c r="Q360" s="636"/>
      <c r="R360" s="644"/>
      <c r="S360" s="636"/>
      <c r="T360" s="27"/>
      <c r="U360" s="27"/>
      <c r="V360" s="27"/>
      <c r="W360" s="27"/>
      <c r="X360" s="27"/>
      <c r="Y360" s="27"/>
      <c r="Z360" s="27"/>
      <c r="AA360" s="27"/>
      <c r="AB360" s="27"/>
      <c r="AC360" s="27"/>
      <c r="AD360" s="27"/>
      <c r="AE360" s="27"/>
      <c r="AF360" s="27"/>
      <c r="AG360" s="27"/>
      <c r="AH360" s="27"/>
      <c r="AI360" s="27"/>
      <c r="AJ360" s="27"/>
      <c r="AK360" s="27"/>
      <c r="AL360" s="27"/>
      <c r="AM360" s="27"/>
      <c r="AN360" s="27"/>
      <c r="AO360" s="27"/>
      <c r="AP360" s="27"/>
      <c r="AQ360" s="27"/>
      <c r="AR360" s="27"/>
      <c r="AS360" s="27"/>
      <c r="AT360" s="27"/>
      <c r="AU360" s="27"/>
      <c r="AV360" s="27"/>
      <c r="AW360" s="27"/>
      <c r="AX360" s="564"/>
      <c r="AY360" s="565"/>
      <c r="AZ360" s="193"/>
      <c r="BA360" s="281">
        <v>55500000</v>
      </c>
      <c r="BB360" s="281">
        <v>7000000</v>
      </c>
      <c r="BC360" s="281">
        <v>7000000</v>
      </c>
      <c r="BD360" s="560"/>
      <c r="BE360" s="560"/>
      <c r="BF360" s="560"/>
      <c r="BG360" s="177">
        <f t="shared" si="88"/>
        <v>55500000</v>
      </c>
      <c r="BH360" s="177">
        <f t="shared" si="88"/>
        <v>7000000</v>
      </c>
      <c r="BI360" s="177">
        <f t="shared" si="88"/>
        <v>7000000</v>
      </c>
      <c r="BK360" s="608"/>
    </row>
    <row r="361" spans="1:64" ht="25.5" customHeight="1" x14ac:dyDescent="0.2">
      <c r="A361" s="377"/>
      <c r="B361" s="380"/>
      <c r="C361" s="171">
        <v>40</v>
      </c>
      <c r="D361" s="146">
        <v>4302</v>
      </c>
      <c r="E361" s="308" t="s">
        <v>216</v>
      </c>
      <c r="F361" s="145"/>
      <c r="G361" s="145"/>
      <c r="H361" s="147"/>
      <c r="I361" s="145"/>
      <c r="J361" s="146"/>
      <c r="K361" s="146"/>
      <c r="L361" s="145"/>
      <c r="M361" s="148"/>
      <c r="N361" s="148"/>
      <c r="O361" s="146"/>
      <c r="P361" s="146"/>
      <c r="Q361" s="368"/>
      <c r="R361" s="146"/>
      <c r="S361" s="145"/>
      <c r="T361" s="150">
        <f>+T362+T364</f>
        <v>0</v>
      </c>
      <c r="U361" s="150"/>
      <c r="V361" s="150"/>
      <c r="W361" s="150">
        <f>+W362+W364</f>
        <v>0</v>
      </c>
      <c r="X361" s="150"/>
      <c r="Y361" s="150"/>
      <c r="Z361" s="150">
        <f>+Z362+Z364</f>
        <v>0</v>
      </c>
      <c r="AA361" s="150"/>
      <c r="AB361" s="150"/>
      <c r="AC361" s="150">
        <f>+AC362+AC364</f>
        <v>0</v>
      </c>
      <c r="AD361" s="150"/>
      <c r="AE361" s="150"/>
      <c r="AF361" s="150">
        <f>+AF362+AF364</f>
        <v>0</v>
      </c>
      <c r="AG361" s="150"/>
      <c r="AH361" s="150"/>
      <c r="AI361" s="150">
        <f>+AI362+AI364</f>
        <v>0</v>
      </c>
      <c r="AJ361" s="150"/>
      <c r="AK361" s="150"/>
      <c r="AL361" s="150">
        <f>+AL362+AL364</f>
        <v>0</v>
      </c>
      <c r="AM361" s="150"/>
      <c r="AN361" s="150"/>
      <c r="AO361" s="150">
        <f>+AO362+AO364</f>
        <v>0</v>
      </c>
      <c r="AP361" s="150"/>
      <c r="AQ361" s="150"/>
      <c r="AR361" s="150">
        <f>+AR362+AR364</f>
        <v>0</v>
      </c>
      <c r="AS361" s="150"/>
      <c r="AT361" s="150"/>
      <c r="AU361" s="150">
        <f>+AU362+AU364</f>
        <v>0</v>
      </c>
      <c r="AV361" s="150"/>
      <c r="AW361" s="150"/>
      <c r="AX361" s="150">
        <f>+AX362+AX364+AX363</f>
        <v>573825727</v>
      </c>
      <c r="AY361" s="150">
        <f>+AY362+AY364+AY363</f>
        <v>412406917</v>
      </c>
      <c r="AZ361" s="150">
        <f>+AZ362+AZ364+AZ363</f>
        <v>412406917</v>
      </c>
      <c r="BA361" s="150">
        <f t="shared" ref="BA361:BI361" si="89">+BA362+BA364+BA363</f>
        <v>691162875</v>
      </c>
      <c r="BB361" s="150">
        <f t="shared" si="89"/>
        <v>378730790</v>
      </c>
      <c r="BC361" s="150">
        <f t="shared" si="89"/>
        <v>378730790</v>
      </c>
      <c r="BD361" s="150">
        <f t="shared" si="89"/>
        <v>0</v>
      </c>
      <c r="BE361" s="150"/>
      <c r="BF361" s="150"/>
      <c r="BG361" s="150">
        <f t="shared" si="89"/>
        <v>1264988602</v>
      </c>
      <c r="BH361" s="150">
        <f t="shared" si="89"/>
        <v>791137707</v>
      </c>
      <c r="BI361" s="150">
        <f t="shared" si="89"/>
        <v>791137707</v>
      </c>
      <c r="BK361" s="608"/>
    </row>
    <row r="362" spans="1:64" s="178" customFormat="1" ht="91.5" customHeight="1" x14ac:dyDescent="0.2">
      <c r="A362" s="386"/>
      <c r="B362" s="528"/>
      <c r="C362" s="530"/>
      <c r="D362" s="530"/>
      <c r="E362" s="566">
        <v>4302</v>
      </c>
      <c r="F362" s="531" t="s">
        <v>1394</v>
      </c>
      <c r="G362" s="264" t="s">
        <v>1285</v>
      </c>
      <c r="H362" s="274">
        <v>4302075</v>
      </c>
      <c r="I362" s="531" t="s">
        <v>1286</v>
      </c>
      <c r="J362" s="264" t="s">
        <v>1287</v>
      </c>
      <c r="K362" s="266">
        <v>430207500</v>
      </c>
      <c r="L362" s="271" t="s">
        <v>1288</v>
      </c>
      <c r="M362" s="202" t="s">
        <v>89</v>
      </c>
      <c r="N362" s="202">
        <v>25</v>
      </c>
      <c r="O362" s="532">
        <v>25</v>
      </c>
      <c r="P362" s="532">
        <v>26</v>
      </c>
      <c r="Q362" s="211" t="s">
        <v>215</v>
      </c>
      <c r="R362" s="532" t="s">
        <v>1289</v>
      </c>
      <c r="S362" s="567" t="s">
        <v>1290</v>
      </c>
      <c r="T362" s="27"/>
      <c r="U362" s="27"/>
      <c r="V362" s="27"/>
      <c r="W362" s="27"/>
      <c r="X362" s="27"/>
      <c r="Y362" s="27"/>
      <c r="Z362" s="27"/>
      <c r="AA362" s="27"/>
      <c r="AB362" s="27"/>
      <c r="AC362" s="27"/>
      <c r="AD362" s="27"/>
      <c r="AE362" s="27"/>
      <c r="AF362" s="27"/>
      <c r="AG362" s="27"/>
      <c r="AH362" s="27"/>
      <c r="AI362" s="27"/>
      <c r="AJ362" s="27"/>
      <c r="AK362" s="27"/>
      <c r="AL362" s="27"/>
      <c r="AM362" s="27"/>
      <c r="AN362" s="27"/>
      <c r="AO362" s="27"/>
      <c r="AP362" s="27"/>
      <c r="AQ362" s="27"/>
      <c r="AR362" s="27"/>
      <c r="AS362" s="27"/>
      <c r="AT362" s="27"/>
      <c r="AU362" s="27"/>
      <c r="AV362" s="27"/>
      <c r="AW362" s="27"/>
      <c r="AX362" s="568">
        <v>110883174</v>
      </c>
      <c r="AY362" s="568">
        <v>105883174</v>
      </c>
      <c r="AZ362" s="568">
        <v>105883174</v>
      </c>
      <c r="BA362" s="568">
        <v>102415591</v>
      </c>
      <c r="BB362" s="568">
        <v>100673924</v>
      </c>
      <c r="BC362" s="568">
        <v>100673924</v>
      </c>
      <c r="BD362" s="27"/>
      <c r="BE362" s="27"/>
      <c r="BF362" s="27"/>
      <c r="BG362" s="177">
        <f t="shared" ref="BG362:BI364" si="90">+T362+W362+Z362+AC362+AF362+AI362+AL362+AO362+AR362+AU362+AX362+BA362+BD362</f>
        <v>213298765</v>
      </c>
      <c r="BH362" s="177">
        <f t="shared" si="90"/>
        <v>206557098</v>
      </c>
      <c r="BI362" s="177">
        <f t="shared" si="90"/>
        <v>206557098</v>
      </c>
      <c r="BK362" s="608"/>
    </row>
    <row r="363" spans="1:64" s="178" customFormat="1" ht="91.5" customHeight="1" x14ac:dyDescent="0.2">
      <c r="A363" s="386"/>
      <c r="B363" s="528"/>
      <c r="C363" s="530"/>
      <c r="D363" s="530"/>
      <c r="E363" s="566">
        <v>4302</v>
      </c>
      <c r="F363" s="531" t="s">
        <v>1394</v>
      </c>
      <c r="G363" s="264" t="s">
        <v>1285</v>
      </c>
      <c r="H363" s="274">
        <v>4302075</v>
      </c>
      <c r="I363" s="531" t="s">
        <v>1286</v>
      </c>
      <c r="J363" s="264" t="s">
        <v>1287</v>
      </c>
      <c r="K363" s="266">
        <v>430207500</v>
      </c>
      <c r="L363" s="271" t="s">
        <v>1288</v>
      </c>
      <c r="M363" s="202" t="s">
        <v>89</v>
      </c>
      <c r="N363" s="202">
        <v>25</v>
      </c>
      <c r="O363" s="532">
        <v>25</v>
      </c>
      <c r="P363" s="532">
        <v>26</v>
      </c>
      <c r="Q363" s="211" t="s">
        <v>215</v>
      </c>
      <c r="R363" s="532" t="s">
        <v>1364</v>
      </c>
      <c r="S363" s="569" t="s">
        <v>1504</v>
      </c>
      <c r="T363" s="27"/>
      <c r="U363" s="27"/>
      <c r="V363" s="27"/>
      <c r="W363" s="27"/>
      <c r="X363" s="27"/>
      <c r="Y363" s="27"/>
      <c r="Z363" s="27"/>
      <c r="AA363" s="27"/>
      <c r="AB363" s="27"/>
      <c r="AC363" s="27"/>
      <c r="AD363" s="27"/>
      <c r="AE363" s="27"/>
      <c r="AF363" s="27"/>
      <c r="AG363" s="27"/>
      <c r="AH363" s="27"/>
      <c r="AI363" s="27"/>
      <c r="AJ363" s="27"/>
      <c r="AK363" s="27"/>
      <c r="AL363" s="27"/>
      <c r="AM363" s="27"/>
      <c r="AN363" s="27"/>
      <c r="AO363" s="27"/>
      <c r="AP363" s="27"/>
      <c r="AQ363" s="27"/>
      <c r="AR363" s="27"/>
      <c r="AS363" s="27"/>
      <c r="AT363" s="27"/>
      <c r="AU363" s="27"/>
      <c r="AV363" s="27"/>
      <c r="AW363" s="27"/>
      <c r="AX363" s="177">
        <v>432942553</v>
      </c>
      <c r="AY363" s="177">
        <v>294273743</v>
      </c>
      <c r="AZ363" s="177">
        <v>294273743</v>
      </c>
      <c r="BA363" s="568">
        <f>148924918+58059026+381763340</f>
        <v>588747284</v>
      </c>
      <c r="BB363" s="568">
        <v>278056866</v>
      </c>
      <c r="BC363" s="568">
        <v>278056866</v>
      </c>
      <c r="BD363" s="27"/>
      <c r="BE363" s="27"/>
      <c r="BF363" s="27"/>
      <c r="BG363" s="177">
        <f t="shared" si="90"/>
        <v>1021689837</v>
      </c>
      <c r="BH363" s="177">
        <f t="shared" si="90"/>
        <v>572330609</v>
      </c>
      <c r="BI363" s="177">
        <f t="shared" si="90"/>
        <v>572330609</v>
      </c>
      <c r="BK363" s="608"/>
    </row>
    <row r="364" spans="1:64" s="178" customFormat="1" ht="97.5" customHeight="1" x14ac:dyDescent="0.2">
      <c r="A364" s="402"/>
      <c r="B364" s="529"/>
      <c r="C364" s="530"/>
      <c r="D364" s="530"/>
      <c r="E364" s="566">
        <v>4302</v>
      </c>
      <c r="F364" s="531" t="s">
        <v>1394</v>
      </c>
      <c r="G364" s="264" t="s">
        <v>1285</v>
      </c>
      <c r="H364" s="274">
        <v>4302075</v>
      </c>
      <c r="I364" s="531" t="s">
        <v>1286</v>
      </c>
      <c r="J364" s="264" t="s">
        <v>1291</v>
      </c>
      <c r="K364" s="570" t="s">
        <v>83</v>
      </c>
      <c r="L364" s="271" t="s">
        <v>1292</v>
      </c>
      <c r="M364" s="202" t="s">
        <v>89</v>
      </c>
      <c r="N364" s="202">
        <v>1</v>
      </c>
      <c r="O364" s="532">
        <v>1</v>
      </c>
      <c r="P364" s="532">
        <v>1</v>
      </c>
      <c r="Q364" s="211" t="s">
        <v>215</v>
      </c>
      <c r="R364" s="532" t="s">
        <v>1395</v>
      </c>
      <c r="S364" s="531" t="s">
        <v>1294</v>
      </c>
      <c r="T364" s="27"/>
      <c r="U364" s="27"/>
      <c r="V364" s="27"/>
      <c r="W364" s="27"/>
      <c r="X364" s="27"/>
      <c r="Y364" s="27"/>
      <c r="Z364" s="27"/>
      <c r="AA364" s="27"/>
      <c r="AB364" s="27"/>
      <c r="AC364" s="27"/>
      <c r="AD364" s="27"/>
      <c r="AE364" s="27"/>
      <c r="AF364" s="27"/>
      <c r="AG364" s="27"/>
      <c r="AH364" s="27"/>
      <c r="AI364" s="27"/>
      <c r="AJ364" s="27"/>
      <c r="AK364" s="27"/>
      <c r="AL364" s="27"/>
      <c r="AM364" s="27"/>
      <c r="AN364" s="27"/>
      <c r="AO364" s="27"/>
      <c r="AP364" s="27"/>
      <c r="AQ364" s="27"/>
      <c r="AR364" s="27"/>
      <c r="AS364" s="27"/>
      <c r="AT364" s="27"/>
      <c r="AU364" s="27"/>
      <c r="AV364" s="27"/>
      <c r="AW364" s="27"/>
      <c r="AX364" s="177">
        <v>30000000</v>
      </c>
      <c r="AY364" s="177">
        <v>12250000</v>
      </c>
      <c r="AZ364" s="177">
        <v>12250000</v>
      </c>
      <c r="BA364" s="571"/>
      <c r="BB364" s="571"/>
      <c r="BC364" s="571"/>
      <c r="BD364" s="27"/>
      <c r="BE364" s="27"/>
      <c r="BF364" s="27"/>
      <c r="BG364" s="177">
        <f t="shared" si="90"/>
        <v>30000000</v>
      </c>
      <c r="BH364" s="177">
        <f t="shared" si="90"/>
        <v>12250000</v>
      </c>
      <c r="BI364" s="177">
        <f t="shared" si="90"/>
        <v>12250000</v>
      </c>
      <c r="BK364" s="608"/>
    </row>
    <row r="365" spans="1:64" s="155" customFormat="1" ht="18" customHeight="1" x14ac:dyDescent="0.2">
      <c r="A365" s="183" t="s">
        <v>1295</v>
      </c>
      <c r="B365" s="183"/>
      <c r="C365" s="183"/>
      <c r="D365" s="184"/>
      <c r="E365" s="184"/>
      <c r="F365" s="185"/>
      <c r="G365" s="186"/>
      <c r="H365" s="135"/>
      <c r="I365" s="185"/>
      <c r="J365" s="186"/>
      <c r="K365" s="186"/>
      <c r="L365" s="185"/>
      <c r="M365" s="135"/>
      <c r="N365" s="135"/>
      <c r="O365" s="186"/>
      <c r="P365" s="186"/>
      <c r="Q365" s="369"/>
      <c r="R365" s="186"/>
      <c r="S365" s="185"/>
      <c r="T365" s="164">
        <f>T366+T371+T379</f>
        <v>966927089.5</v>
      </c>
      <c r="U365" s="164">
        <f>U366+U371+U379</f>
        <v>843197763.74333346</v>
      </c>
      <c r="V365" s="164">
        <f>V366+V371+V379</f>
        <v>843197763.74333346</v>
      </c>
      <c r="W365" s="164">
        <f>W366+W371+W379</f>
        <v>0</v>
      </c>
      <c r="X365" s="164"/>
      <c r="Y365" s="164"/>
      <c r="Z365" s="164">
        <f>Z366+Z371+Z379</f>
        <v>0</v>
      </c>
      <c r="AA365" s="164"/>
      <c r="AB365" s="164"/>
      <c r="AC365" s="164">
        <f>AC366+AC371+AC379</f>
        <v>0</v>
      </c>
      <c r="AD365" s="164"/>
      <c r="AE365" s="164"/>
      <c r="AF365" s="164">
        <f>AF366+AF371+AF379</f>
        <v>0</v>
      </c>
      <c r="AG365" s="164"/>
      <c r="AH365" s="164"/>
      <c r="AI365" s="164">
        <f>AI366+AI371+AI379</f>
        <v>0</v>
      </c>
      <c r="AJ365" s="164"/>
      <c r="AK365" s="164"/>
      <c r="AL365" s="164">
        <f>AL366+AL371+AL379</f>
        <v>0</v>
      </c>
      <c r="AM365" s="164"/>
      <c r="AN365" s="164"/>
      <c r="AO365" s="164">
        <f>AO366+AO371+AO379</f>
        <v>0</v>
      </c>
      <c r="AP365" s="164"/>
      <c r="AQ365" s="164"/>
      <c r="AR365" s="164">
        <f>AR366+AR371+AR379</f>
        <v>0</v>
      </c>
      <c r="AS365" s="164"/>
      <c r="AT365" s="164"/>
      <c r="AU365" s="164">
        <f>AU366+AU371+AU379</f>
        <v>0</v>
      </c>
      <c r="AV365" s="164"/>
      <c r="AW365" s="164"/>
      <c r="AX365" s="164">
        <f>AX366+AX371+AX379</f>
        <v>0</v>
      </c>
      <c r="AY365" s="164"/>
      <c r="AZ365" s="164"/>
      <c r="BA365" s="164">
        <f>BA366+BA371+BA379</f>
        <v>742152000</v>
      </c>
      <c r="BB365" s="164">
        <f>BB366+BB371+BB379</f>
        <v>633416644.66999996</v>
      </c>
      <c r="BC365" s="164">
        <f>BC366+BC371+BC379</f>
        <v>633416644.66999996</v>
      </c>
      <c r="BD365" s="164">
        <f>BD366+BD371+BD379</f>
        <v>0</v>
      </c>
      <c r="BE365" s="164"/>
      <c r="BF365" s="164"/>
      <c r="BG365" s="164">
        <f>BG366+BG371+BG379</f>
        <v>1709079089.5</v>
      </c>
      <c r="BH365" s="164">
        <f>BH366+BH371+BH379</f>
        <v>1476614408.4133334</v>
      </c>
      <c r="BI365" s="164">
        <f>BI366+BI371+BI379</f>
        <v>1476614408.4133334</v>
      </c>
      <c r="BJ365" s="608"/>
      <c r="BK365" s="608"/>
      <c r="BL365" s="608"/>
    </row>
    <row r="366" spans="1:64" s="155" customFormat="1" ht="15.75" customHeight="1" x14ac:dyDescent="0.2">
      <c r="A366" s="399"/>
      <c r="B366" s="222">
        <v>1</v>
      </c>
      <c r="C366" s="138" t="s">
        <v>1</v>
      </c>
      <c r="D366" s="138"/>
      <c r="E366" s="138"/>
      <c r="F366" s="138"/>
      <c r="G366" s="139"/>
      <c r="H366" s="355"/>
      <c r="I366" s="140"/>
      <c r="J366" s="141"/>
      <c r="K366" s="141"/>
      <c r="L366" s="140"/>
      <c r="M366" s="356"/>
      <c r="N366" s="356"/>
      <c r="O366" s="141"/>
      <c r="P366" s="141"/>
      <c r="Q366" s="140"/>
      <c r="R366" s="141"/>
      <c r="S366" s="140"/>
      <c r="T366" s="216">
        <f>T368+T370</f>
        <v>745140660</v>
      </c>
      <c r="U366" s="216">
        <f>U368+U370</f>
        <v>641156430.41333342</v>
      </c>
      <c r="V366" s="216">
        <f>V368+V370</f>
        <v>641156430.41333342</v>
      </c>
      <c r="W366" s="216">
        <f>W368+W370</f>
        <v>0</v>
      </c>
      <c r="X366" s="216"/>
      <c r="Y366" s="216"/>
      <c r="Z366" s="216">
        <f>Z368+Z370</f>
        <v>0</v>
      </c>
      <c r="AA366" s="216"/>
      <c r="AB366" s="216"/>
      <c r="AC366" s="216">
        <f>AC368+AC370</f>
        <v>0</v>
      </c>
      <c r="AD366" s="216"/>
      <c r="AE366" s="216"/>
      <c r="AF366" s="216">
        <f>AF368+AF370</f>
        <v>0</v>
      </c>
      <c r="AG366" s="216"/>
      <c r="AH366" s="216"/>
      <c r="AI366" s="216">
        <f>AI368+AI370</f>
        <v>0</v>
      </c>
      <c r="AJ366" s="216"/>
      <c r="AK366" s="216"/>
      <c r="AL366" s="216">
        <f>AL368+AL370</f>
        <v>0</v>
      </c>
      <c r="AM366" s="216"/>
      <c r="AN366" s="216"/>
      <c r="AO366" s="216">
        <f>AO368+AO370</f>
        <v>0</v>
      </c>
      <c r="AP366" s="216"/>
      <c r="AQ366" s="216"/>
      <c r="AR366" s="216">
        <f>AR368+AR370</f>
        <v>0</v>
      </c>
      <c r="AS366" s="216"/>
      <c r="AT366" s="216"/>
      <c r="AU366" s="216">
        <f>AU368+AU370</f>
        <v>0</v>
      </c>
      <c r="AV366" s="216"/>
      <c r="AW366" s="216"/>
      <c r="AX366" s="216">
        <f>AX368+AX370</f>
        <v>0</v>
      </c>
      <c r="AY366" s="216"/>
      <c r="AZ366" s="216"/>
      <c r="BA366" s="216">
        <f>BA368+BA370</f>
        <v>145520000</v>
      </c>
      <c r="BB366" s="216">
        <f>BB368+BB370</f>
        <v>108304983.15000001</v>
      </c>
      <c r="BC366" s="216">
        <f>BC368+BC370</f>
        <v>108304983.15000001</v>
      </c>
      <c r="BD366" s="216">
        <f>BD368+BD370</f>
        <v>0</v>
      </c>
      <c r="BE366" s="216"/>
      <c r="BF366" s="216"/>
      <c r="BG366" s="216">
        <f>BG368+BG370</f>
        <v>890660660</v>
      </c>
      <c r="BH366" s="216">
        <f>BH368+BH370</f>
        <v>749461413.56333327</v>
      </c>
      <c r="BI366" s="216">
        <f>BI368+BI370</f>
        <v>749461413.56333327</v>
      </c>
      <c r="BJ366" s="206"/>
      <c r="BK366" s="608"/>
      <c r="BL366" s="206"/>
    </row>
    <row r="367" spans="1:64" s="155" customFormat="1" ht="15.75" x14ac:dyDescent="0.2">
      <c r="A367" s="383"/>
      <c r="B367" s="647"/>
      <c r="C367" s="171">
        <v>39</v>
      </c>
      <c r="D367" s="146">
        <v>4301</v>
      </c>
      <c r="E367" s="308" t="s">
        <v>209</v>
      </c>
      <c r="F367" s="145"/>
      <c r="G367" s="146"/>
      <c r="H367" s="191"/>
      <c r="I367" s="181"/>
      <c r="J367" s="217"/>
      <c r="K367" s="217"/>
      <c r="L367" s="181"/>
      <c r="M367" s="218"/>
      <c r="N367" s="219"/>
      <c r="O367" s="146"/>
      <c r="P367" s="146"/>
      <c r="Q367" s="181"/>
      <c r="R367" s="217"/>
      <c r="S367" s="181"/>
      <c r="T367" s="220">
        <f>T368</f>
        <v>372570330</v>
      </c>
      <c r="U367" s="220">
        <f>U368</f>
        <v>268586100.41000003</v>
      </c>
      <c r="V367" s="220">
        <f>V368</f>
        <v>268586100.41000003</v>
      </c>
      <c r="W367" s="220">
        <f>W368</f>
        <v>0</v>
      </c>
      <c r="X367" s="220"/>
      <c r="Y367" s="220"/>
      <c r="Z367" s="220">
        <f>Z368</f>
        <v>0</v>
      </c>
      <c r="AA367" s="220"/>
      <c r="AB367" s="220"/>
      <c r="AC367" s="220">
        <f>AC368</f>
        <v>0</v>
      </c>
      <c r="AD367" s="220"/>
      <c r="AE367" s="220"/>
      <c r="AF367" s="220">
        <f>AF368</f>
        <v>0</v>
      </c>
      <c r="AG367" s="220"/>
      <c r="AH367" s="220"/>
      <c r="AI367" s="220">
        <f>AI368</f>
        <v>0</v>
      </c>
      <c r="AJ367" s="220"/>
      <c r="AK367" s="220"/>
      <c r="AL367" s="220">
        <f>AL368</f>
        <v>0</v>
      </c>
      <c r="AM367" s="220"/>
      <c r="AN367" s="220"/>
      <c r="AO367" s="220">
        <f>AO368</f>
        <v>0</v>
      </c>
      <c r="AP367" s="220"/>
      <c r="AQ367" s="220"/>
      <c r="AR367" s="220">
        <f>AR368</f>
        <v>0</v>
      </c>
      <c r="AS367" s="220"/>
      <c r="AT367" s="220"/>
      <c r="AU367" s="220">
        <f>AU368</f>
        <v>0</v>
      </c>
      <c r="AV367" s="220"/>
      <c r="AW367" s="220"/>
      <c r="AX367" s="220">
        <f>AX368</f>
        <v>0</v>
      </c>
      <c r="AY367" s="220"/>
      <c r="AZ367" s="220"/>
      <c r="BA367" s="220">
        <f>BA368</f>
        <v>0</v>
      </c>
      <c r="BB367" s="220">
        <f>BB368</f>
        <v>0</v>
      </c>
      <c r="BC367" s="220">
        <f>BC368</f>
        <v>0</v>
      </c>
      <c r="BD367" s="220">
        <f>BD368</f>
        <v>0</v>
      </c>
      <c r="BE367" s="220"/>
      <c r="BF367" s="220"/>
      <c r="BG367" s="220">
        <f>BG368</f>
        <v>372570330</v>
      </c>
      <c r="BH367" s="220">
        <f>BH368</f>
        <v>268586100.41000003</v>
      </c>
      <c r="BI367" s="220">
        <f>BI368</f>
        <v>268586100.41000003</v>
      </c>
      <c r="BJ367" s="206"/>
      <c r="BK367" s="608"/>
      <c r="BL367" s="206"/>
    </row>
    <row r="368" spans="1:64" s="155" customFormat="1" ht="197.25" customHeight="1" x14ac:dyDescent="0.2">
      <c r="A368" s="383"/>
      <c r="B368" s="648"/>
      <c r="C368" s="322"/>
      <c r="D368" s="323"/>
      <c r="E368" s="314">
        <v>4301</v>
      </c>
      <c r="F368" s="169" t="s">
        <v>210</v>
      </c>
      <c r="G368" s="363" t="s">
        <v>211</v>
      </c>
      <c r="H368" s="305" t="s">
        <v>83</v>
      </c>
      <c r="I368" s="31" t="s">
        <v>212</v>
      </c>
      <c r="J368" s="175" t="s">
        <v>213</v>
      </c>
      <c r="K368" s="175" t="s">
        <v>83</v>
      </c>
      <c r="L368" s="31" t="s">
        <v>1486</v>
      </c>
      <c r="M368" s="305" t="s">
        <v>179</v>
      </c>
      <c r="N368" s="305">
        <v>12</v>
      </c>
      <c r="O368" s="175">
        <v>3</v>
      </c>
      <c r="P368" s="175">
        <v>5</v>
      </c>
      <c r="Q368" s="365" t="s">
        <v>215</v>
      </c>
      <c r="R368" s="305" t="s">
        <v>1296</v>
      </c>
      <c r="S368" s="357" t="s">
        <v>1455</v>
      </c>
      <c r="T368" s="174">
        <f>413967000-41396670</f>
        <v>372570330</v>
      </c>
      <c r="U368" s="174">
        <v>268586100.41000003</v>
      </c>
      <c r="V368" s="174">
        <v>268586100.41000003</v>
      </c>
      <c r="W368" s="27"/>
      <c r="X368" s="27"/>
      <c r="Y368" s="27"/>
      <c r="Z368" s="27"/>
      <c r="AA368" s="27"/>
      <c r="AB368" s="27"/>
      <c r="AC368" s="27"/>
      <c r="AD368" s="27"/>
      <c r="AE368" s="27"/>
      <c r="AF368" s="27"/>
      <c r="AG368" s="27"/>
      <c r="AH368" s="27"/>
      <c r="AI368" s="27"/>
      <c r="AJ368" s="27"/>
      <c r="AK368" s="27"/>
      <c r="AL368" s="27"/>
      <c r="AM368" s="27"/>
      <c r="AN368" s="27"/>
      <c r="AO368" s="27"/>
      <c r="AP368" s="27"/>
      <c r="AQ368" s="27"/>
      <c r="AR368" s="27"/>
      <c r="AS368" s="27"/>
      <c r="AT368" s="27"/>
      <c r="AU368" s="27"/>
      <c r="AV368" s="27"/>
      <c r="AW368" s="27"/>
      <c r="AX368" s="45"/>
      <c r="AY368" s="45"/>
      <c r="AZ368" s="45"/>
      <c r="BA368" s="358"/>
      <c r="BB368" s="358"/>
      <c r="BC368" s="358"/>
      <c r="BD368" s="27"/>
      <c r="BE368" s="27"/>
      <c r="BF368" s="27"/>
      <c r="BG368" s="151">
        <f>+T368+W368+Z368+AC368+AF368+AI368+AL368+AO368+AR368+AU368+AX368+BA368+BD368</f>
        <v>372570330</v>
      </c>
      <c r="BH368" s="151">
        <f>+U368+X368+AA368+AD368+AG368+AJ368+AM368+AP368+AS368+AV368+AY368+BB368+BE368</f>
        <v>268586100.41000003</v>
      </c>
      <c r="BI368" s="151">
        <f>+V368+Y368+AB368+AE368+AH368+AK368+AN368+AQ368+AT368+AW368+AZ368+BC368+BF368</f>
        <v>268586100.41000003</v>
      </c>
      <c r="BJ368" s="206"/>
      <c r="BK368" s="608"/>
      <c r="BL368" s="206"/>
    </row>
    <row r="369" spans="1:64" s="155" customFormat="1" ht="15.75" customHeight="1" x14ac:dyDescent="0.2">
      <c r="A369" s="383"/>
      <c r="B369" s="404"/>
      <c r="C369" s="171">
        <v>15</v>
      </c>
      <c r="D369" s="146">
        <v>2201</v>
      </c>
      <c r="E369" s="308" t="s">
        <v>191</v>
      </c>
      <c r="F369" s="308"/>
      <c r="G369" s="149"/>
      <c r="H369" s="191"/>
      <c r="I369" s="145"/>
      <c r="J369" s="146"/>
      <c r="K369" s="146"/>
      <c r="L369" s="145"/>
      <c r="M369" s="219"/>
      <c r="N369" s="219"/>
      <c r="O369" s="146"/>
      <c r="P369" s="146"/>
      <c r="Q369" s="145"/>
      <c r="R369" s="146"/>
      <c r="S369" s="145"/>
      <c r="T369" s="220">
        <f>T370</f>
        <v>372570330</v>
      </c>
      <c r="U369" s="220">
        <f>U370</f>
        <v>372570330.00333333</v>
      </c>
      <c r="V369" s="220">
        <f>V370</f>
        <v>372570330.00333333</v>
      </c>
      <c r="W369" s="220">
        <f>W370</f>
        <v>0</v>
      </c>
      <c r="X369" s="220"/>
      <c r="Y369" s="220"/>
      <c r="Z369" s="220">
        <f>Z370</f>
        <v>0</v>
      </c>
      <c r="AA369" s="220"/>
      <c r="AB369" s="220"/>
      <c r="AC369" s="220">
        <f>AC370</f>
        <v>0</v>
      </c>
      <c r="AD369" s="220"/>
      <c r="AE369" s="220"/>
      <c r="AF369" s="220">
        <f>AF370</f>
        <v>0</v>
      </c>
      <c r="AG369" s="220"/>
      <c r="AH369" s="220"/>
      <c r="AI369" s="220">
        <f>AI370</f>
        <v>0</v>
      </c>
      <c r="AJ369" s="220"/>
      <c r="AK369" s="220"/>
      <c r="AL369" s="220">
        <f>AL370</f>
        <v>0</v>
      </c>
      <c r="AM369" s="220"/>
      <c r="AN369" s="220"/>
      <c r="AO369" s="220">
        <f>AO370</f>
        <v>0</v>
      </c>
      <c r="AP369" s="220"/>
      <c r="AQ369" s="220"/>
      <c r="AR369" s="220">
        <f>AR370</f>
        <v>0</v>
      </c>
      <c r="AS369" s="220"/>
      <c r="AT369" s="220"/>
      <c r="AU369" s="220">
        <f>AU370</f>
        <v>0</v>
      </c>
      <c r="AV369" s="220"/>
      <c r="AW369" s="220"/>
      <c r="AX369" s="220">
        <f>AX370</f>
        <v>0</v>
      </c>
      <c r="AY369" s="220"/>
      <c r="AZ369" s="220"/>
      <c r="BA369" s="220">
        <f>BA370</f>
        <v>145520000</v>
      </c>
      <c r="BB369" s="220">
        <f>BB370</f>
        <v>108304983.15000001</v>
      </c>
      <c r="BC369" s="220">
        <f>BC370</f>
        <v>108304983.15000001</v>
      </c>
      <c r="BD369" s="220">
        <f>BD370</f>
        <v>0</v>
      </c>
      <c r="BE369" s="220"/>
      <c r="BF369" s="220"/>
      <c r="BG369" s="220">
        <f>BG370</f>
        <v>518090330</v>
      </c>
      <c r="BH369" s="220">
        <f>BH370</f>
        <v>480875313.15333331</v>
      </c>
      <c r="BI369" s="220">
        <f>BI370</f>
        <v>480875313.15333331</v>
      </c>
      <c r="BJ369" s="206"/>
      <c r="BK369" s="608"/>
      <c r="BL369" s="206"/>
    </row>
    <row r="370" spans="1:64" s="155" customFormat="1" ht="99.75" customHeight="1" x14ac:dyDescent="0.2">
      <c r="A370" s="383"/>
      <c r="B370" s="381"/>
      <c r="C370" s="322"/>
      <c r="D370" s="323"/>
      <c r="E370" s="314">
        <v>2201</v>
      </c>
      <c r="F370" s="307" t="s">
        <v>193</v>
      </c>
      <c r="G370" s="293" t="s">
        <v>194</v>
      </c>
      <c r="H370" s="175" t="s">
        <v>83</v>
      </c>
      <c r="I370" s="306" t="s">
        <v>195</v>
      </c>
      <c r="J370" s="601" t="s">
        <v>196</v>
      </c>
      <c r="K370" s="305" t="s">
        <v>83</v>
      </c>
      <c r="L370" s="306" t="s">
        <v>197</v>
      </c>
      <c r="M370" s="305" t="s">
        <v>179</v>
      </c>
      <c r="N370" s="305">
        <v>54</v>
      </c>
      <c r="O370" s="305">
        <v>9</v>
      </c>
      <c r="P370" s="305">
        <v>15</v>
      </c>
      <c r="Q370" s="371" t="s">
        <v>198</v>
      </c>
      <c r="R370" s="305" t="s">
        <v>1296</v>
      </c>
      <c r="S370" s="357" t="s">
        <v>1455</v>
      </c>
      <c r="T370" s="174">
        <f>413967000-41396670</f>
        <v>372570330</v>
      </c>
      <c r="U370" s="174">
        <v>372570330.00333333</v>
      </c>
      <c r="V370" s="174">
        <v>372570330.00333333</v>
      </c>
      <c r="W370" s="27"/>
      <c r="X370" s="27"/>
      <c r="Y370" s="27"/>
      <c r="Z370" s="27"/>
      <c r="AA370" s="27"/>
      <c r="AB370" s="27"/>
      <c r="AC370" s="27"/>
      <c r="AD370" s="27"/>
      <c r="AE370" s="27"/>
      <c r="AF370" s="27"/>
      <c r="AG370" s="27"/>
      <c r="AH370" s="27"/>
      <c r="AI370" s="27"/>
      <c r="AJ370" s="27"/>
      <c r="AK370" s="27"/>
      <c r="AL370" s="27"/>
      <c r="AM370" s="27"/>
      <c r="AN370" s="27"/>
      <c r="AO370" s="27"/>
      <c r="AP370" s="27"/>
      <c r="AQ370" s="27"/>
      <c r="AR370" s="27"/>
      <c r="AS370" s="27"/>
      <c r="AT370" s="27"/>
      <c r="AU370" s="27"/>
      <c r="AV370" s="27"/>
      <c r="AW370" s="27"/>
      <c r="AX370" s="45"/>
      <c r="AY370" s="45"/>
      <c r="AZ370" s="45"/>
      <c r="BA370" s="27">
        <v>145520000</v>
      </c>
      <c r="BB370" s="27">
        <v>108304983.15000001</v>
      </c>
      <c r="BC370" s="27">
        <v>108304983.15000001</v>
      </c>
      <c r="BD370" s="30"/>
      <c r="BE370" s="30"/>
      <c r="BF370" s="30"/>
      <c r="BG370" s="151">
        <f>+T370+W370+Z370+AC370+AF370+AI370+AL370+AO370+AR370+AU370+AX370+BA370+BD370</f>
        <v>518090330</v>
      </c>
      <c r="BH370" s="151">
        <f>+U370+X370+AA370+AD370+AG370+AJ370+AM370+AP370+AS370+AV370+AY370+BB370+BE370</f>
        <v>480875313.15333331</v>
      </c>
      <c r="BI370" s="151">
        <f>+V370+Y370+AB370+AE370+AH370+AK370+AN370+AQ370+AT370+AW370+AZ370+BC370+BF370</f>
        <v>480875313.15333331</v>
      </c>
      <c r="BJ370" s="206"/>
      <c r="BK370" s="608"/>
      <c r="BL370" s="206"/>
    </row>
    <row r="371" spans="1:64" s="155" customFormat="1" ht="15.75" customHeight="1" x14ac:dyDescent="0.2">
      <c r="A371" s="383"/>
      <c r="B371" s="222">
        <v>3</v>
      </c>
      <c r="C371" s="138" t="s">
        <v>3</v>
      </c>
      <c r="D371" s="138"/>
      <c r="E371" s="138"/>
      <c r="F371" s="138"/>
      <c r="G371" s="139"/>
      <c r="H371" s="355"/>
      <c r="I371" s="140"/>
      <c r="J371" s="141"/>
      <c r="K371" s="141"/>
      <c r="L371" s="140"/>
      <c r="M371" s="356"/>
      <c r="N371" s="356"/>
      <c r="O371" s="141"/>
      <c r="P371" s="141"/>
      <c r="Q371" s="140"/>
      <c r="R371" s="141"/>
      <c r="S371" s="140"/>
      <c r="T371" s="216">
        <f>T372+T374</f>
        <v>221786429.5</v>
      </c>
      <c r="U371" s="216">
        <f>U372+U374</f>
        <v>202041333.33000001</v>
      </c>
      <c r="V371" s="216">
        <f>V372+V374</f>
        <v>202041333.33000001</v>
      </c>
      <c r="W371" s="216">
        <f>W372+W374</f>
        <v>0</v>
      </c>
      <c r="X371" s="216"/>
      <c r="Y371" s="216"/>
      <c r="Z371" s="216">
        <f>Z372+Z374</f>
        <v>0</v>
      </c>
      <c r="AA371" s="216"/>
      <c r="AB371" s="216"/>
      <c r="AC371" s="216">
        <f>AC372+AC374</f>
        <v>0</v>
      </c>
      <c r="AD371" s="216"/>
      <c r="AE371" s="216"/>
      <c r="AF371" s="216">
        <f>AF372+AF374</f>
        <v>0</v>
      </c>
      <c r="AG371" s="216"/>
      <c r="AH371" s="216"/>
      <c r="AI371" s="216">
        <f>AI372+AI374</f>
        <v>0</v>
      </c>
      <c r="AJ371" s="216"/>
      <c r="AK371" s="216"/>
      <c r="AL371" s="216">
        <f>AL372+AL374</f>
        <v>0</v>
      </c>
      <c r="AM371" s="216"/>
      <c r="AN371" s="216"/>
      <c r="AO371" s="216">
        <f>AO372+AO374</f>
        <v>0</v>
      </c>
      <c r="AP371" s="216"/>
      <c r="AQ371" s="216"/>
      <c r="AR371" s="216">
        <f>AR372+AR374</f>
        <v>0</v>
      </c>
      <c r="AS371" s="216"/>
      <c r="AT371" s="216"/>
      <c r="AU371" s="216">
        <f>AU372+AU374</f>
        <v>0</v>
      </c>
      <c r="AV371" s="216"/>
      <c r="AW371" s="216"/>
      <c r="AX371" s="216">
        <f>AX372+AX374</f>
        <v>0</v>
      </c>
      <c r="AY371" s="216"/>
      <c r="AZ371" s="216"/>
      <c r="BA371" s="216">
        <f>BA372+BA374</f>
        <v>407456000</v>
      </c>
      <c r="BB371" s="216">
        <f>BB372+BB374</f>
        <v>336051486.51999998</v>
      </c>
      <c r="BC371" s="216">
        <f>BC372+BC374</f>
        <v>336051486.51999998</v>
      </c>
      <c r="BD371" s="216">
        <f>BD372+BD374</f>
        <v>0</v>
      </c>
      <c r="BE371" s="216"/>
      <c r="BF371" s="216"/>
      <c r="BG371" s="216">
        <f>BG372+BG374</f>
        <v>629242429.5</v>
      </c>
      <c r="BH371" s="216">
        <f>BH372+BH374</f>
        <v>538092819.85000002</v>
      </c>
      <c r="BI371" s="216">
        <f>BI372+BI374</f>
        <v>538092819.85000002</v>
      </c>
      <c r="BJ371" s="206"/>
      <c r="BK371" s="608"/>
      <c r="BL371" s="206"/>
    </row>
    <row r="372" spans="1:64" s="155" customFormat="1" ht="18.75" customHeight="1" x14ac:dyDescent="0.2">
      <c r="A372" s="383"/>
      <c r="B372" s="647"/>
      <c r="C372" s="171">
        <v>18</v>
      </c>
      <c r="D372" s="146">
        <v>2402</v>
      </c>
      <c r="E372" s="308" t="s">
        <v>233</v>
      </c>
      <c r="F372" s="308"/>
      <c r="G372" s="149"/>
      <c r="H372" s="191"/>
      <c r="I372" s="145"/>
      <c r="J372" s="146"/>
      <c r="K372" s="146"/>
      <c r="L372" s="145"/>
      <c r="M372" s="219"/>
      <c r="N372" s="219"/>
      <c r="O372" s="146"/>
      <c r="P372" s="146"/>
      <c r="Q372" s="145"/>
      <c r="R372" s="146"/>
      <c r="S372" s="145"/>
      <c r="T372" s="220">
        <f>T373</f>
        <v>0</v>
      </c>
      <c r="U372" s="220">
        <f>U373</f>
        <v>0</v>
      </c>
      <c r="V372" s="220">
        <f>V373</f>
        <v>0</v>
      </c>
      <c r="W372" s="220">
        <f>W373</f>
        <v>0</v>
      </c>
      <c r="X372" s="220"/>
      <c r="Y372" s="220"/>
      <c r="Z372" s="220">
        <f>Z373</f>
        <v>0</v>
      </c>
      <c r="AA372" s="220"/>
      <c r="AB372" s="220"/>
      <c r="AC372" s="220">
        <f>AC373</f>
        <v>0</v>
      </c>
      <c r="AD372" s="220"/>
      <c r="AE372" s="220"/>
      <c r="AF372" s="220">
        <f>AF373</f>
        <v>0</v>
      </c>
      <c r="AG372" s="220"/>
      <c r="AH372" s="220"/>
      <c r="AI372" s="220">
        <f>AI373</f>
        <v>0</v>
      </c>
      <c r="AJ372" s="220"/>
      <c r="AK372" s="220"/>
      <c r="AL372" s="220">
        <f>AL373</f>
        <v>0</v>
      </c>
      <c r="AM372" s="220"/>
      <c r="AN372" s="220"/>
      <c r="AO372" s="220">
        <f>AO373</f>
        <v>0</v>
      </c>
      <c r="AP372" s="220"/>
      <c r="AQ372" s="220"/>
      <c r="AR372" s="220">
        <f>AR373</f>
        <v>0</v>
      </c>
      <c r="AS372" s="220"/>
      <c r="AT372" s="220"/>
      <c r="AU372" s="220">
        <f>AU373</f>
        <v>0</v>
      </c>
      <c r="AV372" s="220"/>
      <c r="AW372" s="220"/>
      <c r="AX372" s="220">
        <f>AX373</f>
        <v>0</v>
      </c>
      <c r="AY372" s="220"/>
      <c r="AZ372" s="220"/>
      <c r="BA372" s="220">
        <f>BA373</f>
        <v>218280000</v>
      </c>
      <c r="BB372" s="220">
        <f>BB373</f>
        <v>218159599.37</v>
      </c>
      <c r="BC372" s="220">
        <f>BC373</f>
        <v>218159599.37</v>
      </c>
      <c r="BD372" s="220">
        <f>BD373</f>
        <v>0</v>
      </c>
      <c r="BE372" s="220"/>
      <c r="BF372" s="220"/>
      <c r="BG372" s="220">
        <f>BG373</f>
        <v>218280000</v>
      </c>
      <c r="BH372" s="220">
        <f>BH373</f>
        <v>218159599.37</v>
      </c>
      <c r="BI372" s="220">
        <f>BI373</f>
        <v>218159599.37</v>
      </c>
      <c r="BJ372" s="206"/>
      <c r="BK372" s="608"/>
      <c r="BL372" s="206"/>
    </row>
    <row r="373" spans="1:64" s="155" customFormat="1" ht="82.5" customHeight="1" x14ac:dyDescent="0.2">
      <c r="A373" s="383"/>
      <c r="B373" s="648"/>
      <c r="C373" s="322"/>
      <c r="D373" s="323"/>
      <c r="E373" s="314">
        <v>2402</v>
      </c>
      <c r="F373" s="31" t="s">
        <v>1456</v>
      </c>
      <c r="G373" s="197" t="s">
        <v>234</v>
      </c>
      <c r="H373" s="175" t="s">
        <v>83</v>
      </c>
      <c r="I373" s="306" t="s">
        <v>235</v>
      </c>
      <c r="J373" s="601" t="s">
        <v>236</v>
      </c>
      <c r="K373" s="305" t="s">
        <v>83</v>
      </c>
      <c r="L373" s="306" t="s">
        <v>1485</v>
      </c>
      <c r="M373" s="305" t="s">
        <v>89</v>
      </c>
      <c r="N373" s="305">
        <v>130</v>
      </c>
      <c r="O373" s="305">
        <v>130</v>
      </c>
      <c r="P373" s="305">
        <v>97</v>
      </c>
      <c r="Q373" s="365" t="s">
        <v>237</v>
      </c>
      <c r="R373" s="305" t="s">
        <v>1296</v>
      </c>
      <c r="S373" s="357" t="s">
        <v>1455</v>
      </c>
      <c r="T373" s="27"/>
      <c r="U373" s="27"/>
      <c r="V373" s="27"/>
      <c r="W373" s="27"/>
      <c r="X373" s="27"/>
      <c r="Y373" s="27"/>
      <c r="Z373" s="45"/>
      <c r="AA373" s="45"/>
      <c r="AB373" s="45"/>
      <c r="AC373" s="27"/>
      <c r="AD373" s="27"/>
      <c r="AE373" s="27"/>
      <c r="AF373" s="27"/>
      <c r="AG373" s="27"/>
      <c r="AH373" s="27"/>
      <c r="AI373" s="27"/>
      <c r="AJ373" s="27"/>
      <c r="AK373" s="27"/>
      <c r="AL373" s="27"/>
      <c r="AM373" s="27"/>
      <c r="AN373" s="27"/>
      <c r="AO373" s="27"/>
      <c r="AP373" s="27"/>
      <c r="AQ373" s="27"/>
      <c r="AR373" s="27"/>
      <c r="AS373" s="27"/>
      <c r="AT373" s="27"/>
      <c r="AU373" s="27"/>
      <c r="AV373" s="27"/>
      <c r="AW373" s="27"/>
      <c r="AX373" s="45"/>
      <c r="AY373" s="45"/>
      <c r="AZ373" s="45"/>
      <c r="BA373" s="358">
        <v>218280000</v>
      </c>
      <c r="BB373" s="358">
        <v>218159599.37</v>
      </c>
      <c r="BC373" s="358">
        <v>218159599.37</v>
      </c>
      <c r="BD373" s="27"/>
      <c r="BE373" s="27"/>
      <c r="BF373" s="27"/>
      <c r="BG373" s="151">
        <f>+T373+W373+Z373+AC373+AF373+AI373+AL373+AO373+AR373+AU373+AX373+BA373+BD373</f>
        <v>218280000</v>
      </c>
      <c r="BH373" s="151">
        <f>+U373+X373+AA373+AD373+AG373+AJ373+AM373+AP373+AS373+AV373+AY373+BB373+BE373</f>
        <v>218159599.37</v>
      </c>
      <c r="BI373" s="151">
        <f>+V373+Y373+AB373+AE373+AH373+AK373+AN373+AQ373+AT373+AW373+AZ373+BC373+BF373</f>
        <v>218159599.37</v>
      </c>
      <c r="BJ373" s="206"/>
      <c r="BK373" s="608"/>
      <c r="BL373" s="206"/>
    </row>
    <row r="374" spans="1:64" s="155" customFormat="1" ht="15.75" customHeight="1" x14ac:dyDescent="0.2">
      <c r="A374" s="383"/>
      <c r="B374" s="404"/>
      <c r="C374" s="171">
        <v>33</v>
      </c>
      <c r="D374" s="146">
        <v>4001</v>
      </c>
      <c r="E374" s="308" t="s">
        <v>250</v>
      </c>
      <c r="F374" s="308"/>
      <c r="G374" s="149"/>
      <c r="H374" s="191"/>
      <c r="I374" s="145"/>
      <c r="J374" s="146"/>
      <c r="K374" s="146"/>
      <c r="L374" s="145"/>
      <c r="M374" s="219"/>
      <c r="N374" s="219"/>
      <c r="O374" s="146"/>
      <c r="P374" s="146"/>
      <c r="Q374" s="145"/>
      <c r="R374" s="146"/>
      <c r="S374" s="145"/>
      <c r="T374" s="220">
        <f>SUM(T375:T378)</f>
        <v>221786429.5</v>
      </c>
      <c r="U374" s="220">
        <f>SUM(U375:U378)</f>
        <v>202041333.33000001</v>
      </c>
      <c r="V374" s="220">
        <f>SUM(V375:V378)</f>
        <v>202041333.33000001</v>
      </c>
      <c r="W374" s="220">
        <f>SUM(W375:W378)</f>
        <v>0</v>
      </c>
      <c r="X374" s="220"/>
      <c r="Y374" s="220"/>
      <c r="Z374" s="220">
        <f>SUM(Z375:Z378)</f>
        <v>0</v>
      </c>
      <c r="AA374" s="220"/>
      <c r="AB374" s="220"/>
      <c r="AC374" s="220">
        <f>SUM(AC375:AC378)</f>
        <v>0</v>
      </c>
      <c r="AD374" s="220"/>
      <c r="AE374" s="220"/>
      <c r="AF374" s="220">
        <f>SUM(AF375:AF378)</f>
        <v>0</v>
      </c>
      <c r="AG374" s="220"/>
      <c r="AH374" s="220"/>
      <c r="AI374" s="220">
        <f>SUM(AI375:AI378)</f>
        <v>0</v>
      </c>
      <c r="AJ374" s="220"/>
      <c r="AK374" s="220"/>
      <c r="AL374" s="220">
        <f>SUM(AL375:AL378)</f>
        <v>0</v>
      </c>
      <c r="AM374" s="220"/>
      <c r="AN374" s="220"/>
      <c r="AO374" s="220">
        <f>SUM(AO375:AO378)</f>
        <v>0</v>
      </c>
      <c r="AP374" s="220"/>
      <c r="AQ374" s="220"/>
      <c r="AR374" s="220">
        <f>SUM(AR375:AR378)</f>
        <v>0</v>
      </c>
      <c r="AS374" s="220"/>
      <c r="AT374" s="220"/>
      <c r="AU374" s="220">
        <f>SUM(AU375:AU378)</f>
        <v>0</v>
      </c>
      <c r="AV374" s="220"/>
      <c r="AW374" s="220"/>
      <c r="AX374" s="220">
        <f>SUM(AX375:AX378)</f>
        <v>0</v>
      </c>
      <c r="AY374" s="220"/>
      <c r="AZ374" s="220"/>
      <c r="BA374" s="220">
        <f>SUM(BA375:BA378)</f>
        <v>189176000</v>
      </c>
      <c r="BB374" s="220">
        <f>SUM(BB375:BB378)</f>
        <v>117891887.14999999</v>
      </c>
      <c r="BC374" s="220">
        <f>SUM(BC375:BC378)</f>
        <v>117891887.14999999</v>
      </c>
      <c r="BD374" s="220">
        <f>SUM(BD375:BD378)</f>
        <v>0</v>
      </c>
      <c r="BE374" s="220"/>
      <c r="BF374" s="220"/>
      <c r="BG374" s="220">
        <f>SUM(BG375:BG378)</f>
        <v>410962429.5</v>
      </c>
      <c r="BH374" s="220">
        <f>SUM(BH375:BH378)</f>
        <v>319933220.48000002</v>
      </c>
      <c r="BI374" s="220">
        <f>SUM(BI375:BI378)</f>
        <v>319933220.48000002</v>
      </c>
      <c r="BJ374" s="206"/>
      <c r="BK374" s="608"/>
      <c r="BL374" s="206"/>
    </row>
    <row r="375" spans="1:64" s="155" customFormat="1" ht="58.5" customHeight="1" x14ac:dyDescent="0.2">
      <c r="A375" s="383"/>
      <c r="B375" s="642"/>
      <c r="C375" s="628"/>
      <c r="D375" s="323"/>
      <c r="E375" s="314">
        <v>4001</v>
      </c>
      <c r="F375" s="306" t="s">
        <v>1417</v>
      </c>
      <c r="G375" s="289" t="s">
        <v>1298</v>
      </c>
      <c r="H375" s="221">
        <v>4001001</v>
      </c>
      <c r="I375" s="306" t="s">
        <v>1299</v>
      </c>
      <c r="J375" s="261" t="s">
        <v>1300</v>
      </c>
      <c r="K375" s="261" t="s">
        <v>1301</v>
      </c>
      <c r="L375" s="267" t="s">
        <v>1302</v>
      </c>
      <c r="M375" s="305" t="s">
        <v>1391</v>
      </c>
      <c r="N375" s="305">
        <v>12</v>
      </c>
      <c r="O375" s="311">
        <v>3</v>
      </c>
      <c r="P375" s="311">
        <v>3</v>
      </c>
      <c r="Q375" s="646" t="s">
        <v>1303</v>
      </c>
      <c r="R375" s="613" t="s">
        <v>1296</v>
      </c>
      <c r="S375" s="645" t="s">
        <v>1455</v>
      </c>
      <c r="T375" s="174"/>
      <c r="U375" s="174"/>
      <c r="V375" s="174"/>
      <c r="W375" s="27"/>
      <c r="X375" s="27"/>
      <c r="Y375" s="27"/>
      <c r="Z375" s="27"/>
      <c r="AA375" s="27"/>
      <c r="AB375" s="27"/>
      <c r="AC375" s="27"/>
      <c r="AD375" s="27"/>
      <c r="AE375" s="27"/>
      <c r="AF375" s="27"/>
      <c r="AG375" s="27"/>
      <c r="AH375" s="27"/>
      <c r="AI375" s="27"/>
      <c r="AJ375" s="27"/>
      <c r="AK375" s="27"/>
      <c r="AL375" s="27"/>
      <c r="AM375" s="27"/>
      <c r="AN375" s="27"/>
      <c r="AO375" s="27"/>
      <c r="AP375" s="27"/>
      <c r="AQ375" s="27"/>
      <c r="AR375" s="27"/>
      <c r="AS375" s="27"/>
      <c r="AT375" s="27"/>
      <c r="AU375" s="27"/>
      <c r="AV375" s="27"/>
      <c r="AW375" s="27"/>
      <c r="AX375" s="45"/>
      <c r="AY375" s="45"/>
      <c r="AZ375" s="45"/>
      <c r="BA375" s="327">
        <v>89176000</v>
      </c>
      <c r="BB375" s="327">
        <v>74970308.149999991</v>
      </c>
      <c r="BC375" s="327">
        <v>74970308.149999991</v>
      </c>
      <c r="BD375" s="30"/>
      <c r="BE375" s="30"/>
      <c r="BF375" s="30"/>
      <c r="BG375" s="151">
        <f>+T375+W375+Z375+AC375+AF375+AI375+AL375+AO375+AR375+AU375+AX375+BA375+BD375</f>
        <v>89176000</v>
      </c>
      <c r="BH375" s="151">
        <f t="shared" ref="BH375:BI378" si="91">+U375+X375+AA375+AD375+AG375+AJ375+AM375+AP375+AS375+AV375+AY375+BB375+BE375</f>
        <v>74970308.149999991</v>
      </c>
      <c r="BI375" s="151">
        <f t="shared" si="91"/>
        <v>74970308.149999991</v>
      </c>
      <c r="BJ375" s="206"/>
      <c r="BK375" s="608"/>
      <c r="BL375" s="206"/>
    </row>
    <row r="376" spans="1:64" s="155" customFormat="1" ht="58.5" customHeight="1" x14ac:dyDescent="0.2">
      <c r="A376" s="383"/>
      <c r="B376" s="642"/>
      <c r="C376" s="628"/>
      <c r="D376" s="323"/>
      <c r="E376" s="314">
        <v>4001</v>
      </c>
      <c r="F376" s="306" t="s">
        <v>1457</v>
      </c>
      <c r="G376" s="289" t="s">
        <v>1304</v>
      </c>
      <c r="H376" s="221">
        <v>4001017</v>
      </c>
      <c r="I376" s="306" t="s">
        <v>1458</v>
      </c>
      <c r="J376" s="261" t="s">
        <v>1305</v>
      </c>
      <c r="K376" s="261" t="s">
        <v>1306</v>
      </c>
      <c r="L376" s="267" t="s">
        <v>1307</v>
      </c>
      <c r="M376" s="305" t="s">
        <v>179</v>
      </c>
      <c r="N376" s="305">
        <v>100</v>
      </c>
      <c r="O376" s="311">
        <v>25</v>
      </c>
      <c r="P376" s="311">
        <v>0</v>
      </c>
      <c r="Q376" s="646"/>
      <c r="R376" s="613"/>
      <c r="S376" s="645"/>
      <c r="T376" s="174"/>
      <c r="U376" s="174"/>
      <c r="V376" s="174"/>
      <c r="W376" s="27"/>
      <c r="X376" s="27"/>
      <c r="Y376" s="27"/>
      <c r="Z376" s="27"/>
      <c r="AA376" s="27"/>
      <c r="AB376" s="27"/>
      <c r="AC376" s="27"/>
      <c r="AD376" s="27"/>
      <c r="AE376" s="27"/>
      <c r="AF376" s="27"/>
      <c r="AG376" s="27"/>
      <c r="AH376" s="27"/>
      <c r="AI376" s="27"/>
      <c r="AJ376" s="27"/>
      <c r="AK376" s="27"/>
      <c r="AL376" s="27"/>
      <c r="AM376" s="27"/>
      <c r="AN376" s="27"/>
      <c r="AO376" s="27"/>
      <c r="AP376" s="27"/>
      <c r="AQ376" s="27"/>
      <c r="AR376" s="27"/>
      <c r="AS376" s="27"/>
      <c r="AT376" s="27"/>
      <c r="AU376" s="27"/>
      <c r="AV376" s="27"/>
      <c r="AW376" s="27"/>
      <c r="AX376" s="45"/>
      <c r="AY376" s="45"/>
      <c r="AZ376" s="45"/>
      <c r="BA376" s="327">
        <v>100000000</v>
      </c>
      <c r="BB376" s="327">
        <v>42921579</v>
      </c>
      <c r="BC376" s="327">
        <v>42921579</v>
      </c>
      <c r="BD376" s="30"/>
      <c r="BE376" s="30"/>
      <c r="BF376" s="30"/>
      <c r="BG376" s="151">
        <f>+T376+W376+Z376+AC376+AF376+AI376+AL376+AO376+AR376+AU376+AX376+BA376+BD376</f>
        <v>100000000</v>
      </c>
      <c r="BH376" s="151">
        <f t="shared" si="91"/>
        <v>42921579</v>
      </c>
      <c r="BI376" s="151">
        <f t="shared" si="91"/>
        <v>42921579</v>
      </c>
      <c r="BJ376" s="206"/>
      <c r="BK376" s="608"/>
      <c r="BL376" s="206"/>
    </row>
    <row r="377" spans="1:64" s="155" customFormat="1" ht="58.5" customHeight="1" x14ac:dyDescent="0.2">
      <c r="A377" s="383"/>
      <c r="B377" s="642"/>
      <c r="C377" s="628"/>
      <c r="D377" s="323"/>
      <c r="E377" s="314">
        <v>4001</v>
      </c>
      <c r="F377" s="306" t="s">
        <v>1417</v>
      </c>
      <c r="G377" s="289" t="s">
        <v>1308</v>
      </c>
      <c r="H377" s="221">
        <v>4001018</v>
      </c>
      <c r="I377" s="306" t="s">
        <v>1309</v>
      </c>
      <c r="J377" s="261" t="s">
        <v>1310</v>
      </c>
      <c r="K377" s="261" t="s">
        <v>1311</v>
      </c>
      <c r="L377" s="267" t="s">
        <v>1312</v>
      </c>
      <c r="M377" s="305" t="s">
        <v>179</v>
      </c>
      <c r="N377" s="305">
        <v>300</v>
      </c>
      <c r="O377" s="311">
        <v>75</v>
      </c>
      <c r="P377" s="311">
        <v>52</v>
      </c>
      <c r="Q377" s="646"/>
      <c r="R377" s="613"/>
      <c r="S377" s="645"/>
      <c r="T377" s="174">
        <v>170814443.5</v>
      </c>
      <c r="U377" s="174">
        <v>170041333.33000001</v>
      </c>
      <c r="V377" s="174">
        <v>170041333.33000001</v>
      </c>
      <c r="W377" s="27"/>
      <c r="X377" s="27"/>
      <c r="Y377" s="27"/>
      <c r="Z377" s="27"/>
      <c r="AA377" s="27"/>
      <c r="AB377" s="27"/>
      <c r="AC377" s="27"/>
      <c r="AD377" s="27"/>
      <c r="AE377" s="27"/>
      <c r="AF377" s="27"/>
      <c r="AG377" s="27"/>
      <c r="AH377" s="27"/>
      <c r="AI377" s="27"/>
      <c r="AJ377" s="27"/>
      <c r="AK377" s="27"/>
      <c r="AL377" s="27"/>
      <c r="AM377" s="27"/>
      <c r="AN377" s="27"/>
      <c r="AO377" s="27"/>
      <c r="AP377" s="27"/>
      <c r="AQ377" s="27"/>
      <c r="AR377" s="27"/>
      <c r="AS377" s="27"/>
      <c r="AT377" s="27"/>
      <c r="AU377" s="27"/>
      <c r="AV377" s="27"/>
      <c r="AW377" s="27"/>
      <c r="AX377" s="45"/>
      <c r="AY377" s="45"/>
      <c r="AZ377" s="45"/>
      <c r="BA377" s="327"/>
      <c r="BB377" s="327"/>
      <c r="BC377" s="327"/>
      <c r="BD377" s="30"/>
      <c r="BE377" s="30"/>
      <c r="BF377" s="30"/>
      <c r="BG377" s="151">
        <f>+T377+W377+Z377+AC377+AF377+AI377+AL377+AO377+AR377+AU377+AX377+BA377+BD377</f>
        <v>170814443.5</v>
      </c>
      <c r="BH377" s="151">
        <f t="shared" si="91"/>
        <v>170041333.33000001</v>
      </c>
      <c r="BI377" s="151">
        <f t="shared" si="91"/>
        <v>170041333.33000001</v>
      </c>
      <c r="BJ377" s="206"/>
      <c r="BK377" s="608"/>
      <c r="BL377" s="206"/>
    </row>
    <row r="378" spans="1:64" s="155" customFormat="1" ht="43.5" customHeight="1" x14ac:dyDescent="0.2">
      <c r="A378" s="383"/>
      <c r="B378" s="649"/>
      <c r="C378" s="628"/>
      <c r="D378" s="323"/>
      <c r="E378" s="314">
        <v>4001</v>
      </c>
      <c r="F378" s="306" t="s">
        <v>1417</v>
      </c>
      <c r="G378" s="289" t="s">
        <v>1313</v>
      </c>
      <c r="H378" s="221">
        <v>4001030</v>
      </c>
      <c r="I378" s="306" t="s">
        <v>1314</v>
      </c>
      <c r="J378" s="261" t="s">
        <v>1315</v>
      </c>
      <c r="K378" s="261" t="s">
        <v>1316</v>
      </c>
      <c r="L378" s="267" t="s">
        <v>280</v>
      </c>
      <c r="M378" s="305" t="s">
        <v>1391</v>
      </c>
      <c r="N378" s="305">
        <v>12</v>
      </c>
      <c r="O378" s="311">
        <v>3</v>
      </c>
      <c r="P378" s="311">
        <v>0</v>
      </c>
      <c r="Q378" s="646"/>
      <c r="R378" s="613"/>
      <c r="S378" s="645"/>
      <c r="T378" s="174">
        <v>50971986</v>
      </c>
      <c r="U378" s="174">
        <v>32000000</v>
      </c>
      <c r="V378" s="174">
        <v>32000000</v>
      </c>
      <c r="W378" s="27"/>
      <c r="X378" s="27"/>
      <c r="Y378" s="27"/>
      <c r="Z378" s="27"/>
      <c r="AA378" s="27"/>
      <c r="AB378" s="27"/>
      <c r="AC378" s="27"/>
      <c r="AD378" s="27"/>
      <c r="AE378" s="27"/>
      <c r="AF378" s="27"/>
      <c r="AG378" s="27"/>
      <c r="AH378" s="27"/>
      <c r="AI378" s="27"/>
      <c r="AJ378" s="27"/>
      <c r="AK378" s="27"/>
      <c r="AL378" s="27"/>
      <c r="AM378" s="27"/>
      <c r="AN378" s="27"/>
      <c r="AO378" s="27"/>
      <c r="AP378" s="27"/>
      <c r="AQ378" s="27"/>
      <c r="AR378" s="27"/>
      <c r="AS378" s="27"/>
      <c r="AT378" s="27"/>
      <c r="AU378" s="27"/>
      <c r="AV378" s="27"/>
      <c r="AW378" s="27"/>
      <c r="AX378" s="310"/>
      <c r="AY378" s="310"/>
      <c r="AZ378" s="310"/>
      <c r="BA378" s="327"/>
      <c r="BB378" s="327"/>
      <c r="BC378" s="327"/>
      <c r="BD378" s="30"/>
      <c r="BE378" s="30"/>
      <c r="BF378" s="30"/>
      <c r="BG378" s="151">
        <f>+T378+W378+Z378+AC378+AF378+AI378+AL378+AO378+AR378+AU378+AX378+BA378+BD378</f>
        <v>50971986</v>
      </c>
      <c r="BH378" s="151">
        <f t="shared" si="91"/>
        <v>32000000</v>
      </c>
      <c r="BI378" s="151">
        <f t="shared" si="91"/>
        <v>32000000</v>
      </c>
      <c r="BJ378" s="206"/>
      <c r="BK378" s="608"/>
      <c r="BL378" s="206"/>
    </row>
    <row r="379" spans="1:64" s="155" customFormat="1" ht="15.75" customHeight="1" x14ac:dyDescent="0.2">
      <c r="A379" s="383"/>
      <c r="B379" s="222">
        <v>4</v>
      </c>
      <c r="C379" s="138" t="s">
        <v>108</v>
      </c>
      <c r="D379" s="138"/>
      <c r="E379" s="138"/>
      <c r="F379" s="138"/>
      <c r="G379" s="139"/>
      <c r="H379" s="355"/>
      <c r="I379" s="140"/>
      <c r="J379" s="141"/>
      <c r="K379" s="141"/>
      <c r="L379" s="140"/>
      <c r="M379" s="356"/>
      <c r="N379" s="356"/>
      <c r="O379" s="141"/>
      <c r="P379" s="141"/>
      <c r="Q379" s="140"/>
      <c r="R379" s="141"/>
      <c r="S379" s="140"/>
      <c r="T379" s="216">
        <f>T380</f>
        <v>0</v>
      </c>
      <c r="U379" s="216"/>
      <c r="V379" s="216"/>
      <c r="W379" s="216">
        <f>W380</f>
        <v>0</v>
      </c>
      <c r="X379" s="216"/>
      <c r="Y379" s="216"/>
      <c r="Z379" s="216">
        <f>Z380</f>
        <v>0</v>
      </c>
      <c r="AA379" s="216"/>
      <c r="AB379" s="216"/>
      <c r="AC379" s="216">
        <f>AC380</f>
        <v>0</v>
      </c>
      <c r="AD379" s="216"/>
      <c r="AE379" s="216"/>
      <c r="AF379" s="216">
        <f>AF380</f>
        <v>0</v>
      </c>
      <c r="AG379" s="216"/>
      <c r="AH379" s="216"/>
      <c r="AI379" s="216">
        <f>AI380</f>
        <v>0</v>
      </c>
      <c r="AJ379" s="216"/>
      <c r="AK379" s="216"/>
      <c r="AL379" s="216">
        <f>AL380</f>
        <v>0</v>
      </c>
      <c r="AM379" s="216"/>
      <c r="AN379" s="216"/>
      <c r="AO379" s="216">
        <f>AO380</f>
        <v>0</v>
      </c>
      <c r="AP379" s="216"/>
      <c r="AQ379" s="216"/>
      <c r="AR379" s="216">
        <f>AR380</f>
        <v>0</v>
      </c>
      <c r="AS379" s="216"/>
      <c r="AT379" s="216"/>
      <c r="AU379" s="216">
        <f>AU380</f>
        <v>0</v>
      </c>
      <c r="AV379" s="216"/>
      <c r="AW379" s="216"/>
      <c r="AX379" s="216">
        <f>AX380</f>
        <v>0</v>
      </c>
      <c r="AY379" s="216"/>
      <c r="AZ379" s="216"/>
      <c r="BA379" s="216">
        <f t="shared" ref="BA379:BD380" si="92">BA380</f>
        <v>189176000</v>
      </c>
      <c r="BB379" s="216">
        <f t="shared" si="92"/>
        <v>189060175</v>
      </c>
      <c r="BC379" s="216">
        <f t="shared" si="92"/>
        <v>189060175</v>
      </c>
      <c r="BD379" s="216">
        <f t="shared" si="92"/>
        <v>0</v>
      </c>
      <c r="BE379" s="216"/>
      <c r="BF379" s="216"/>
      <c r="BG379" s="216">
        <f t="shared" ref="BG379:BI380" si="93">BG380</f>
        <v>189176000</v>
      </c>
      <c r="BH379" s="216">
        <f t="shared" si="93"/>
        <v>189060175</v>
      </c>
      <c r="BI379" s="216">
        <f t="shared" si="93"/>
        <v>189060175</v>
      </c>
      <c r="BJ379" s="206"/>
      <c r="BK379" s="608"/>
      <c r="BL379" s="206"/>
    </row>
    <row r="380" spans="1:64" s="155" customFormat="1" ht="15.75" customHeight="1" x14ac:dyDescent="0.2">
      <c r="A380" s="383"/>
      <c r="B380" s="405"/>
      <c r="C380" s="171">
        <v>45</v>
      </c>
      <c r="D380" s="146" t="s">
        <v>83</v>
      </c>
      <c r="E380" s="308" t="s">
        <v>84</v>
      </c>
      <c r="F380" s="308"/>
      <c r="G380" s="149"/>
      <c r="H380" s="191"/>
      <c r="I380" s="145"/>
      <c r="J380" s="146"/>
      <c r="K380" s="146"/>
      <c r="L380" s="145"/>
      <c r="M380" s="219"/>
      <c r="N380" s="219"/>
      <c r="O380" s="146"/>
      <c r="P380" s="146"/>
      <c r="Q380" s="145"/>
      <c r="R380" s="146"/>
      <c r="S380" s="145"/>
      <c r="T380" s="220">
        <f>T381</f>
        <v>0</v>
      </c>
      <c r="U380" s="220"/>
      <c r="V380" s="220"/>
      <c r="W380" s="220">
        <f>W381</f>
        <v>0</v>
      </c>
      <c r="X380" s="220"/>
      <c r="Y380" s="220"/>
      <c r="Z380" s="220">
        <f>Z381</f>
        <v>0</v>
      </c>
      <c r="AA380" s="220"/>
      <c r="AB380" s="220"/>
      <c r="AC380" s="220">
        <f>AC381</f>
        <v>0</v>
      </c>
      <c r="AD380" s="220"/>
      <c r="AE380" s="220"/>
      <c r="AF380" s="220">
        <f>AF381</f>
        <v>0</v>
      </c>
      <c r="AG380" s="220"/>
      <c r="AH380" s="220"/>
      <c r="AI380" s="220">
        <f>AI381</f>
        <v>0</v>
      </c>
      <c r="AJ380" s="220"/>
      <c r="AK380" s="220"/>
      <c r="AL380" s="220">
        <f>AL381</f>
        <v>0</v>
      </c>
      <c r="AM380" s="220"/>
      <c r="AN380" s="220"/>
      <c r="AO380" s="220">
        <f>AO381</f>
        <v>0</v>
      </c>
      <c r="AP380" s="220"/>
      <c r="AQ380" s="220"/>
      <c r="AR380" s="220">
        <f>AR381</f>
        <v>0</v>
      </c>
      <c r="AS380" s="220"/>
      <c r="AT380" s="220"/>
      <c r="AU380" s="220">
        <f>AU381</f>
        <v>0</v>
      </c>
      <c r="AV380" s="220"/>
      <c r="AW380" s="220"/>
      <c r="AX380" s="220">
        <f>AX381</f>
        <v>0</v>
      </c>
      <c r="AY380" s="220"/>
      <c r="AZ380" s="220"/>
      <c r="BA380" s="220">
        <f t="shared" si="92"/>
        <v>189176000</v>
      </c>
      <c r="BB380" s="220">
        <f t="shared" si="92"/>
        <v>189060175</v>
      </c>
      <c r="BC380" s="220">
        <f t="shared" si="92"/>
        <v>189060175</v>
      </c>
      <c r="BD380" s="220">
        <f t="shared" si="92"/>
        <v>0</v>
      </c>
      <c r="BE380" s="220"/>
      <c r="BF380" s="220"/>
      <c r="BG380" s="220">
        <f t="shared" si="93"/>
        <v>189176000</v>
      </c>
      <c r="BH380" s="220">
        <f t="shared" si="93"/>
        <v>189060175</v>
      </c>
      <c r="BI380" s="220">
        <f t="shared" si="93"/>
        <v>189060175</v>
      </c>
      <c r="BJ380" s="206"/>
      <c r="BK380" s="608"/>
      <c r="BL380" s="206"/>
    </row>
    <row r="381" spans="1:64" s="155" customFormat="1" ht="112.5" customHeight="1" x14ac:dyDescent="0.2">
      <c r="A381" s="401"/>
      <c r="B381" s="381"/>
      <c r="C381" s="322"/>
      <c r="D381" s="323"/>
      <c r="E381" s="314" t="s">
        <v>83</v>
      </c>
      <c r="F381" s="307" t="s">
        <v>85</v>
      </c>
      <c r="G381" s="364" t="s">
        <v>281</v>
      </c>
      <c r="H381" s="175" t="s">
        <v>83</v>
      </c>
      <c r="I381" s="34" t="s">
        <v>1459</v>
      </c>
      <c r="J381" s="332" t="s">
        <v>283</v>
      </c>
      <c r="K381" s="332" t="s">
        <v>83</v>
      </c>
      <c r="L381" s="34" t="s">
        <v>284</v>
      </c>
      <c r="M381" s="305" t="s">
        <v>89</v>
      </c>
      <c r="N381" s="305">
        <v>4</v>
      </c>
      <c r="O381" s="175">
        <v>4</v>
      </c>
      <c r="P381" s="175">
        <v>16</v>
      </c>
      <c r="Q381" s="367" t="s">
        <v>90</v>
      </c>
      <c r="R381" s="305" t="s">
        <v>1296</v>
      </c>
      <c r="S381" s="357" t="s">
        <v>1455</v>
      </c>
      <c r="T381" s="174"/>
      <c r="U381" s="174"/>
      <c r="V381" s="174"/>
      <c r="W381" s="27"/>
      <c r="X381" s="27"/>
      <c r="Y381" s="27"/>
      <c r="Z381" s="27"/>
      <c r="AA381" s="27"/>
      <c r="AB381" s="27"/>
      <c r="AC381" s="27"/>
      <c r="AD381" s="27"/>
      <c r="AE381" s="27"/>
      <c r="AF381" s="27"/>
      <c r="AG381" s="27"/>
      <c r="AH381" s="27"/>
      <c r="AI381" s="27"/>
      <c r="AJ381" s="27"/>
      <c r="AK381" s="27"/>
      <c r="AL381" s="27"/>
      <c r="AM381" s="27"/>
      <c r="AN381" s="27"/>
      <c r="AO381" s="27"/>
      <c r="AP381" s="27"/>
      <c r="AQ381" s="27"/>
      <c r="AR381" s="27"/>
      <c r="AS381" s="27"/>
      <c r="AT381" s="27"/>
      <c r="AU381" s="27"/>
      <c r="AV381" s="27"/>
      <c r="AW381" s="27"/>
      <c r="AX381" s="45"/>
      <c r="AY381" s="45"/>
      <c r="AZ381" s="45"/>
      <c r="BA381" s="327">
        <f>218280000-29104000</f>
        <v>189176000</v>
      </c>
      <c r="BB381" s="327">
        <v>189060175</v>
      </c>
      <c r="BC381" s="327">
        <v>189060175</v>
      </c>
      <c r="BD381" s="30"/>
      <c r="BE381" s="30"/>
      <c r="BF381" s="30"/>
      <c r="BG381" s="151">
        <f>+T381+W381+Z381+AC381+AF381+AI381+AL381+AO381+AR381+AU381+AX381+BA381+BD381</f>
        <v>189176000</v>
      </c>
      <c r="BH381" s="151">
        <f>+U381+X381+AA381+AD381+AG381+AJ381+AM381+AP381+AS381+AV381+AY381+BB381+BE381</f>
        <v>189060175</v>
      </c>
      <c r="BI381" s="151">
        <f>+V381+Y381+AB381+AE381+AH381+AK381+AN381+AQ381+AT381+AW381+AZ381+BC381+BF381</f>
        <v>189060175</v>
      </c>
      <c r="BJ381" s="206"/>
      <c r="BK381" s="608"/>
      <c r="BL381" s="206"/>
    </row>
    <row r="382" spans="1:64" ht="15.75" x14ac:dyDescent="0.2">
      <c r="A382" s="183" t="s">
        <v>1317</v>
      </c>
      <c r="B382" s="183"/>
      <c r="C382" s="183"/>
      <c r="D382" s="184"/>
      <c r="E382" s="184"/>
      <c r="F382" s="185"/>
      <c r="G382" s="186"/>
      <c r="H382" s="135"/>
      <c r="I382" s="185"/>
      <c r="J382" s="186"/>
      <c r="K382" s="186"/>
      <c r="L382" s="185"/>
      <c r="M382" s="135"/>
      <c r="N382" s="135"/>
      <c r="O382" s="186"/>
      <c r="P382" s="186"/>
      <c r="Q382" s="369"/>
      <c r="R382" s="186"/>
      <c r="S382" s="185"/>
      <c r="T382" s="164">
        <f>T383</f>
        <v>0</v>
      </c>
      <c r="U382" s="164"/>
      <c r="V382" s="164"/>
      <c r="W382" s="164">
        <f>W383</f>
        <v>0</v>
      </c>
      <c r="X382" s="164"/>
      <c r="Y382" s="164"/>
      <c r="Z382" s="164">
        <f>Z383</f>
        <v>0</v>
      </c>
      <c r="AA382" s="164"/>
      <c r="AB382" s="164"/>
      <c r="AC382" s="164">
        <f>AC383</f>
        <v>0</v>
      </c>
      <c r="AD382" s="164"/>
      <c r="AE382" s="164"/>
      <c r="AF382" s="164">
        <f>AF383</f>
        <v>0</v>
      </c>
      <c r="AG382" s="164"/>
      <c r="AH382" s="164"/>
      <c r="AI382" s="164">
        <f>AI383</f>
        <v>0</v>
      </c>
      <c r="AJ382" s="164"/>
      <c r="AK382" s="164"/>
      <c r="AL382" s="164">
        <f>AL383</f>
        <v>0</v>
      </c>
      <c r="AM382" s="164"/>
      <c r="AN382" s="164"/>
      <c r="AO382" s="164">
        <f>AO383</f>
        <v>0</v>
      </c>
      <c r="AP382" s="164"/>
      <c r="AQ382" s="164"/>
      <c r="AR382" s="164">
        <f>AR383</f>
        <v>0</v>
      </c>
      <c r="AS382" s="164"/>
      <c r="AT382" s="164"/>
      <c r="AU382" s="164">
        <f>AU383</f>
        <v>0</v>
      </c>
      <c r="AV382" s="164"/>
      <c r="AW382" s="164"/>
      <c r="AX382" s="164">
        <f>AX383</f>
        <v>0</v>
      </c>
      <c r="AY382" s="164"/>
      <c r="AZ382" s="164"/>
      <c r="BA382" s="164">
        <f t="shared" ref="BA382:BD383" si="94">BA383</f>
        <v>107000000</v>
      </c>
      <c r="BB382" s="164">
        <f t="shared" si="94"/>
        <v>52352000</v>
      </c>
      <c r="BC382" s="164">
        <f t="shared" si="94"/>
        <v>52352000</v>
      </c>
      <c r="BD382" s="164">
        <f t="shared" si="94"/>
        <v>0</v>
      </c>
      <c r="BE382" s="164"/>
      <c r="BF382" s="164"/>
      <c r="BG382" s="164">
        <f t="shared" ref="BG382:BI383" si="95">BG383</f>
        <v>107000000</v>
      </c>
      <c r="BH382" s="164">
        <f t="shared" si="95"/>
        <v>52352000</v>
      </c>
      <c r="BI382" s="164">
        <f t="shared" si="95"/>
        <v>52352000</v>
      </c>
      <c r="BJ382" s="608"/>
      <c r="BK382" s="608"/>
      <c r="BL382" s="608"/>
    </row>
    <row r="383" spans="1:64" ht="15.75" x14ac:dyDescent="0.2">
      <c r="A383" s="382"/>
      <c r="B383" s="222">
        <v>3</v>
      </c>
      <c r="C383" s="138" t="s">
        <v>1318</v>
      </c>
      <c r="D383" s="139"/>
      <c r="E383" s="139"/>
      <c r="F383" s="140"/>
      <c r="G383" s="141"/>
      <c r="H383" s="355"/>
      <c r="I383" s="140"/>
      <c r="J383" s="141"/>
      <c r="K383" s="141"/>
      <c r="L383" s="140"/>
      <c r="M383" s="356"/>
      <c r="N383" s="356"/>
      <c r="O383" s="141"/>
      <c r="P383" s="141"/>
      <c r="Q383" s="140"/>
      <c r="R383" s="141"/>
      <c r="S383" s="140"/>
      <c r="T383" s="216">
        <f>T384</f>
        <v>0</v>
      </c>
      <c r="U383" s="216"/>
      <c r="V383" s="216"/>
      <c r="W383" s="216">
        <f>W384</f>
        <v>0</v>
      </c>
      <c r="X383" s="216"/>
      <c r="Y383" s="216"/>
      <c r="Z383" s="216">
        <f>Z384</f>
        <v>0</v>
      </c>
      <c r="AA383" s="216"/>
      <c r="AB383" s="216"/>
      <c r="AC383" s="216">
        <f>AC384</f>
        <v>0</v>
      </c>
      <c r="AD383" s="216"/>
      <c r="AE383" s="216"/>
      <c r="AF383" s="216">
        <f>AF384</f>
        <v>0</v>
      </c>
      <c r="AG383" s="216"/>
      <c r="AH383" s="216"/>
      <c r="AI383" s="216">
        <f>AI384</f>
        <v>0</v>
      </c>
      <c r="AJ383" s="216"/>
      <c r="AK383" s="216"/>
      <c r="AL383" s="216">
        <f>AL384</f>
        <v>0</v>
      </c>
      <c r="AM383" s="216"/>
      <c r="AN383" s="216"/>
      <c r="AO383" s="216">
        <f>AO384</f>
        <v>0</v>
      </c>
      <c r="AP383" s="216"/>
      <c r="AQ383" s="216"/>
      <c r="AR383" s="216">
        <f>AR384</f>
        <v>0</v>
      </c>
      <c r="AS383" s="216"/>
      <c r="AT383" s="216"/>
      <c r="AU383" s="216">
        <f>AU384</f>
        <v>0</v>
      </c>
      <c r="AV383" s="216"/>
      <c r="AW383" s="216"/>
      <c r="AX383" s="216">
        <f>AX384</f>
        <v>0</v>
      </c>
      <c r="AY383" s="216"/>
      <c r="AZ383" s="216"/>
      <c r="BA383" s="216">
        <f t="shared" si="94"/>
        <v>107000000</v>
      </c>
      <c r="BB383" s="216">
        <f t="shared" si="94"/>
        <v>52352000</v>
      </c>
      <c r="BC383" s="216">
        <f t="shared" si="94"/>
        <v>52352000</v>
      </c>
      <c r="BD383" s="216">
        <f t="shared" si="94"/>
        <v>0</v>
      </c>
      <c r="BE383" s="216"/>
      <c r="BF383" s="216"/>
      <c r="BG383" s="216">
        <f t="shared" si="95"/>
        <v>107000000</v>
      </c>
      <c r="BH383" s="216">
        <f t="shared" si="95"/>
        <v>52352000</v>
      </c>
      <c r="BI383" s="216">
        <f t="shared" si="95"/>
        <v>52352000</v>
      </c>
      <c r="BK383" s="608"/>
    </row>
    <row r="384" spans="1:64" ht="15.75" x14ac:dyDescent="0.2">
      <c r="A384" s="377"/>
      <c r="B384" s="379"/>
      <c r="C384" s="171">
        <v>19</v>
      </c>
      <c r="D384" s="171">
        <v>2409</v>
      </c>
      <c r="E384" s="308" t="s">
        <v>1319</v>
      </c>
      <c r="F384" s="145"/>
      <c r="G384" s="146"/>
      <c r="H384" s="147"/>
      <c r="I384" s="145"/>
      <c r="J384" s="146"/>
      <c r="K384" s="146"/>
      <c r="L384" s="145"/>
      <c r="M384" s="219"/>
      <c r="N384" s="219"/>
      <c r="O384" s="146"/>
      <c r="P384" s="146"/>
      <c r="Q384" s="145"/>
      <c r="R384" s="146"/>
      <c r="S384" s="145"/>
      <c r="T384" s="220">
        <f>SUM(T385:T388)</f>
        <v>0</v>
      </c>
      <c r="U384" s="220"/>
      <c r="V384" s="220"/>
      <c r="W384" s="220">
        <f>SUM(W385:W388)</f>
        <v>0</v>
      </c>
      <c r="X384" s="220"/>
      <c r="Y384" s="220"/>
      <c r="Z384" s="220">
        <f>SUM(Z385:Z388)</f>
        <v>0</v>
      </c>
      <c r="AA384" s="220"/>
      <c r="AB384" s="220"/>
      <c r="AC384" s="220">
        <f>SUM(AC385:AC388)</f>
        <v>0</v>
      </c>
      <c r="AD384" s="220"/>
      <c r="AE384" s="220"/>
      <c r="AF384" s="220">
        <f>SUM(AF385:AF388)</f>
        <v>0</v>
      </c>
      <c r="AG384" s="220"/>
      <c r="AH384" s="220"/>
      <c r="AI384" s="220">
        <f>SUM(AI385:AI388)</f>
        <v>0</v>
      </c>
      <c r="AJ384" s="220"/>
      <c r="AK384" s="220"/>
      <c r="AL384" s="220">
        <f>SUM(AL385:AL388)</f>
        <v>0</v>
      </c>
      <c r="AM384" s="220"/>
      <c r="AN384" s="220"/>
      <c r="AO384" s="220">
        <f>SUM(AO385:AO388)</f>
        <v>0</v>
      </c>
      <c r="AP384" s="220"/>
      <c r="AQ384" s="220"/>
      <c r="AR384" s="220">
        <f>SUM(AR385:AR388)</f>
        <v>0</v>
      </c>
      <c r="AS384" s="220"/>
      <c r="AT384" s="220"/>
      <c r="AU384" s="220">
        <f>SUM(AU385:AU388)</f>
        <v>0</v>
      </c>
      <c r="AV384" s="220"/>
      <c r="AW384" s="220"/>
      <c r="AX384" s="220">
        <f>SUM(AX385:AX388)</f>
        <v>0</v>
      </c>
      <c r="AY384" s="220"/>
      <c r="AZ384" s="220"/>
      <c r="BA384" s="220">
        <f>SUM(BA385:BA388)</f>
        <v>107000000</v>
      </c>
      <c r="BB384" s="220">
        <f>SUM(BB385:BB388)</f>
        <v>52352000</v>
      </c>
      <c r="BC384" s="220">
        <f>SUM(BC385:BC388)</f>
        <v>52352000</v>
      </c>
      <c r="BD384" s="220">
        <f>SUM(BD385:BD388)</f>
        <v>0</v>
      </c>
      <c r="BE384" s="220"/>
      <c r="BF384" s="220"/>
      <c r="BG384" s="220">
        <f>SUM(BG385:BG388)</f>
        <v>107000000</v>
      </c>
      <c r="BH384" s="220">
        <f>SUM(BH385:BH388)</f>
        <v>52352000</v>
      </c>
      <c r="BI384" s="220">
        <f>SUM(BI385:BI388)</f>
        <v>52352000</v>
      </c>
      <c r="BK384" s="608"/>
    </row>
    <row r="385" spans="1:63" ht="111" customHeight="1" x14ac:dyDescent="0.2">
      <c r="A385" s="377"/>
      <c r="B385" s="380"/>
      <c r="C385" s="133"/>
      <c r="D385" s="341"/>
      <c r="E385" s="305">
        <v>2409</v>
      </c>
      <c r="F385" s="306" t="s">
        <v>1501</v>
      </c>
      <c r="G385" s="280" t="s">
        <v>1320</v>
      </c>
      <c r="H385" s="305" t="s">
        <v>83</v>
      </c>
      <c r="I385" s="307" t="s">
        <v>1321</v>
      </c>
      <c r="J385" s="280" t="s">
        <v>1322</v>
      </c>
      <c r="K385" s="261" t="s">
        <v>83</v>
      </c>
      <c r="L385" s="269" t="s">
        <v>1323</v>
      </c>
      <c r="M385" s="305" t="s">
        <v>89</v>
      </c>
      <c r="N385" s="305">
        <v>1</v>
      </c>
      <c r="O385" s="313">
        <v>1</v>
      </c>
      <c r="P385" s="313" t="s">
        <v>1506</v>
      </c>
      <c r="Q385" s="646" t="s">
        <v>1324</v>
      </c>
      <c r="R385" s="613" t="s">
        <v>1325</v>
      </c>
      <c r="S385" s="611" t="s">
        <v>1326</v>
      </c>
      <c r="T385" s="27"/>
      <c r="U385" s="27"/>
      <c r="V385" s="27"/>
      <c r="W385" s="27"/>
      <c r="X385" s="27"/>
      <c r="Y385" s="27"/>
      <c r="Z385" s="27"/>
      <c r="AA385" s="27"/>
      <c r="AB385" s="27"/>
      <c r="AC385" s="27"/>
      <c r="AD385" s="27"/>
      <c r="AE385" s="27"/>
      <c r="AF385" s="27"/>
      <c r="AG385" s="27"/>
      <c r="AH385" s="27"/>
      <c r="AI385" s="27"/>
      <c r="AJ385" s="27"/>
      <c r="AK385" s="27"/>
      <c r="AL385" s="27"/>
      <c r="AM385" s="27"/>
      <c r="AN385" s="27"/>
      <c r="AO385" s="27"/>
      <c r="AP385" s="27"/>
      <c r="AQ385" s="27"/>
      <c r="AR385" s="27"/>
      <c r="AS385" s="27"/>
      <c r="AT385" s="27"/>
      <c r="AU385" s="27"/>
      <c r="AV385" s="27"/>
      <c r="AW385" s="27"/>
      <c r="AX385" s="45"/>
      <c r="AY385" s="45"/>
      <c r="AZ385" s="45"/>
      <c r="BA385" s="45">
        <v>26400000</v>
      </c>
      <c r="BB385" s="45">
        <v>25052000</v>
      </c>
      <c r="BC385" s="45">
        <v>25052000</v>
      </c>
      <c r="BD385" s="27"/>
      <c r="BE385" s="27"/>
      <c r="BF385" s="27"/>
      <c r="BG385" s="151">
        <f>+T385+W385+Z385+AC385+AF385+AI385+AL385+AO385+AR385+AU385+AX385+BA385+BD385</f>
        <v>26400000</v>
      </c>
      <c r="BH385" s="151">
        <f t="shared" ref="BH385:BI388" si="96">+U385+X385+AA385+AD385+AG385+AJ385+AM385+AP385+AS385+AV385+AY385+BB385+BE385</f>
        <v>25052000</v>
      </c>
      <c r="BI385" s="151">
        <f t="shared" si="96"/>
        <v>25052000</v>
      </c>
      <c r="BK385" s="608"/>
    </row>
    <row r="386" spans="1:63" ht="105" customHeight="1" x14ac:dyDescent="0.2">
      <c r="A386" s="377"/>
      <c r="B386" s="380"/>
      <c r="C386" s="133"/>
      <c r="D386" s="341"/>
      <c r="E386" s="305">
        <v>2409</v>
      </c>
      <c r="F386" s="306" t="s">
        <v>1501</v>
      </c>
      <c r="G386" s="280" t="s">
        <v>1327</v>
      </c>
      <c r="H386" s="305" t="s">
        <v>83</v>
      </c>
      <c r="I386" s="307" t="s">
        <v>1328</v>
      </c>
      <c r="J386" s="280" t="s">
        <v>1329</v>
      </c>
      <c r="K386" s="261" t="s">
        <v>83</v>
      </c>
      <c r="L386" s="269" t="s">
        <v>1330</v>
      </c>
      <c r="M386" s="305" t="s">
        <v>89</v>
      </c>
      <c r="N386" s="305">
        <v>1</v>
      </c>
      <c r="O386" s="313">
        <v>1</v>
      </c>
      <c r="P386" s="362" t="s">
        <v>1507</v>
      </c>
      <c r="Q386" s="646"/>
      <c r="R386" s="613"/>
      <c r="S386" s="611"/>
      <c r="T386" s="27"/>
      <c r="U386" s="27"/>
      <c r="V386" s="27"/>
      <c r="W386" s="36"/>
      <c r="X386" s="36"/>
      <c r="Y386" s="36"/>
      <c r="Z386" s="36"/>
      <c r="AA386" s="36"/>
      <c r="AB386" s="36"/>
      <c r="AC386" s="36"/>
      <c r="AD386" s="36"/>
      <c r="AE386" s="36"/>
      <c r="AF386" s="36"/>
      <c r="AG386" s="36"/>
      <c r="AH386" s="36"/>
      <c r="AI386" s="36"/>
      <c r="AJ386" s="36"/>
      <c r="AK386" s="36"/>
      <c r="AL386" s="36"/>
      <c r="AM386" s="36"/>
      <c r="AN386" s="36"/>
      <c r="AO386" s="36"/>
      <c r="AP386" s="36"/>
      <c r="AQ386" s="36"/>
      <c r="AR386" s="36"/>
      <c r="AS386" s="36"/>
      <c r="AT386" s="36"/>
      <c r="AU386" s="36"/>
      <c r="AV386" s="36"/>
      <c r="AW386" s="36"/>
      <c r="AX386" s="359"/>
      <c r="AY386" s="359"/>
      <c r="AZ386" s="359"/>
      <c r="BA386" s="359">
        <v>8400000</v>
      </c>
      <c r="BB386" s="359">
        <v>4590000</v>
      </c>
      <c r="BC386" s="359">
        <v>4590000</v>
      </c>
      <c r="BD386" s="36"/>
      <c r="BE386" s="36"/>
      <c r="BF386" s="36"/>
      <c r="BG386" s="151">
        <f>+T386+W386+Z386+AC386+AF386+AI386+AL386+AO386+AR386+AU386+AX386+BA386+BD386</f>
        <v>8400000</v>
      </c>
      <c r="BH386" s="151">
        <f t="shared" si="96"/>
        <v>4590000</v>
      </c>
      <c r="BI386" s="151">
        <f t="shared" si="96"/>
        <v>4590000</v>
      </c>
      <c r="BK386" s="608"/>
    </row>
    <row r="387" spans="1:63" ht="60" x14ac:dyDescent="0.2">
      <c r="A387" s="377"/>
      <c r="B387" s="380"/>
      <c r="C387" s="133"/>
      <c r="D387" s="341"/>
      <c r="E387" s="305">
        <v>2409</v>
      </c>
      <c r="F387" s="306" t="s">
        <v>1501</v>
      </c>
      <c r="G387" s="280" t="s">
        <v>1331</v>
      </c>
      <c r="H387" s="305" t="s">
        <v>83</v>
      </c>
      <c r="I387" s="307" t="s">
        <v>1332</v>
      </c>
      <c r="J387" s="280" t="s">
        <v>1333</v>
      </c>
      <c r="K387" s="261" t="s">
        <v>83</v>
      </c>
      <c r="L387" s="269" t="s">
        <v>1334</v>
      </c>
      <c r="M387" s="305" t="s">
        <v>89</v>
      </c>
      <c r="N387" s="305">
        <v>1</v>
      </c>
      <c r="O387" s="313">
        <v>1</v>
      </c>
      <c r="P387" s="432" t="s">
        <v>1506</v>
      </c>
      <c r="Q387" s="646"/>
      <c r="R387" s="613"/>
      <c r="S387" s="611"/>
      <c r="T387" s="27"/>
      <c r="U387" s="27"/>
      <c r="V387" s="27"/>
      <c r="W387" s="36"/>
      <c r="X387" s="36"/>
      <c r="Y387" s="36"/>
      <c r="Z387" s="36"/>
      <c r="AA387" s="36"/>
      <c r="AB387" s="36"/>
      <c r="AC387" s="36"/>
      <c r="AD387" s="36"/>
      <c r="AE387" s="36"/>
      <c r="AF387" s="36"/>
      <c r="AG387" s="36"/>
      <c r="AH387" s="36"/>
      <c r="AI387" s="36"/>
      <c r="AJ387" s="36"/>
      <c r="AK387" s="36"/>
      <c r="AL387" s="36"/>
      <c r="AM387" s="36"/>
      <c r="AN387" s="36"/>
      <c r="AO387" s="36"/>
      <c r="AP387" s="36"/>
      <c r="AQ387" s="36"/>
      <c r="AR387" s="36"/>
      <c r="AS387" s="36"/>
      <c r="AT387" s="36"/>
      <c r="AU387" s="36"/>
      <c r="AV387" s="36"/>
      <c r="AW387" s="36"/>
      <c r="AX387" s="359"/>
      <c r="AY387" s="359"/>
      <c r="AZ387" s="359"/>
      <c r="BA387" s="359">
        <v>25200000</v>
      </c>
      <c r="BB387" s="359">
        <v>14346000</v>
      </c>
      <c r="BC387" s="359">
        <v>14346000</v>
      </c>
      <c r="BD387" s="36"/>
      <c r="BE387" s="36"/>
      <c r="BF387" s="36"/>
      <c r="BG387" s="151">
        <f>+T387+W387+Z387+AC387+AF387+AI387+AL387+AO387+AR387+AU387+AX387+BA387+BD387</f>
        <v>25200000</v>
      </c>
      <c r="BH387" s="151">
        <f t="shared" si="96"/>
        <v>14346000</v>
      </c>
      <c r="BI387" s="151">
        <f t="shared" si="96"/>
        <v>14346000</v>
      </c>
      <c r="BK387" s="608"/>
    </row>
    <row r="388" spans="1:63" ht="84.75" customHeight="1" x14ac:dyDescent="0.2">
      <c r="A388" s="378"/>
      <c r="B388" s="381"/>
      <c r="C388" s="133"/>
      <c r="D388" s="341"/>
      <c r="E388" s="305">
        <v>2409</v>
      </c>
      <c r="F388" s="306" t="s">
        <v>1501</v>
      </c>
      <c r="G388" s="280" t="s">
        <v>1335</v>
      </c>
      <c r="H388" s="305" t="s">
        <v>83</v>
      </c>
      <c r="I388" s="307" t="s">
        <v>1336</v>
      </c>
      <c r="J388" s="280" t="s">
        <v>1337</v>
      </c>
      <c r="K388" s="261" t="s">
        <v>83</v>
      </c>
      <c r="L388" s="269" t="s">
        <v>1338</v>
      </c>
      <c r="M388" s="305" t="s">
        <v>89</v>
      </c>
      <c r="N388" s="305">
        <v>1</v>
      </c>
      <c r="O388" s="313">
        <v>1</v>
      </c>
      <c r="P388" s="362" t="s">
        <v>1508</v>
      </c>
      <c r="Q388" s="646"/>
      <c r="R388" s="613"/>
      <c r="S388" s="611"/>
      <c r="T388" s="36"/>
      <c r="U388" s="36"/>
      <c r="V388" s="36"/>
      <c r="W388" s="36"/>
      <c r="X388" s="36"/>
      <c r="Y388" s="36"/>
      <c r="Z388" s="36"/>
      <c r="AA388" s="36"/>
      <c r="AB388" s="36"/>
      <c r="AC388" s="36"/>
      <c r="AD388" s="36"/>
      <c r="AE388" s="36"/>
      <c r="AF388" s="36"/>
      <c r="AG388" s="36"/>
      <c r="AH388" s="36"/>
      <c r="AI388" s="36"/>
      <c r="AJ388" s="36"/>
      <c r="AK388" s="36"/>
      <c r="AL388" s="36"/>
      <c r="AM388" s="36"/>
      <c r="AN388" s="36"/>
      <c r="AO388" s="36"/>
      <c r="AP388" s="36"/>
      <c r="AQ388" s="36"/>
      <c r="AR388" s="36"/>
      <c r="AS388" s="36"/>
      <c r="AT388" s="36"/>
      <c r="AU388" s="36"/>
      <c r="AV388" s="36"/>
      <c r="AW388" s="36"/>
      <c r="AX388" s="359"/>
      <c r="AY388" s="359"/>
      <c r="AZ388" s="359"/>
      <c r="BA388" s="359">
        <v>47000000</v>
      </c>
      <c r="BB388" s="359">
        <v>8364000</v>
      </c>
      <c r="BC388" s="359">
        <v>8364000</v>
      </c>
      <c r="BD388" s="36"/>
      <c r="BE388" s="36"/>
      <c r="BF388" s="36"/>
      <c r="BG388" s="151">
        <f>+T388+W388+Z388+AC388+AF388+AI388+AL388+AO388+AR388+AU388+AX388+BA388+BD388</f>
        <v>47000000</v>
      </c>
      <c r="BH388" s="151">
        <f t="shared" si="96"/>
        <v>8364000</v>
      </c>
      <c r="BI388" s="151">
        <f t="shared" si="96"/>
        <v>8364000</v>
      </c>
      <c r="BK388" s="608"/>
    </row>
    <row r="389" spans="1:63" s="411" customFormat="1" ht="28.5" customHeight="1" x14ac:dyDescent="0.25">
      <c r="A389" s="406" t="s">
        <v>1339</v>
      </c>
      <c r="B389" s="406"/>
      <c r="C389" s="406"/>
      <c r="D389" s="407"/>
      <c r="E389" s="408"/>
      <c r="F389" s="409"/>
      <c r="G389" s="304"/>
      <c r="H389" s="408"/>
      <c r="I389" s="409"/>
      <c r="J389" s="304"/>
      <c r="K389" s="304"/>
      <c r="L389" s="409"/>
      <c r="M389" s="408"/>
      <c r="N389" s="408"/>
      <c r="O389" s="304"/>
      <c r="P389" s="304"/>
      <c r="Q389" s="408"/>
      <c r="R389" s="410"/>
      <c r="S389" s="409"/>
      <c r="T389" s="412">
        <f t="shared" ref="T389:BI389" si="97">+T382+T365+T346</f>
        <v>966927089.5</v>
      </c>
      <c r="U389" s="412">
        <f t="shared" si="97"/>
        <v>843197763.74333346</v>
      </c>
      <c r="V389" s="412">
        <f t="shared" si="97"/>
        <v>843197763.74333346</v>
      </c>
      <c r="W389" s="412">
        <f t="shared" si="97"/>
        <v>0</v>
      </c>
      <c r="X389" s="412">
        <f t="shared" si="97"/>
        <v>0</v>
      </c>
      <c r="Y389" s="412">
        <f t="shared" si="97"/>
        <v>0</v>
      </c>
      <c r="Z389" s="412">
        <f t="shared" si="97"/>
        <v>0</v>
      </c>
      <c r="AA389" s="412">
        <f t="shared" si="97"/>
        <v>0</v>
      </c>
      <c r="AB389" s="412">
        <f t="shared" si="97"/>
        <v>0</v>
      </c>
      <c r="AC389" s="412">
        <f t="shared" si="97"/>
        <v>0</v>
      </c>
      <c r="AD389" s="412">
        <f t="shared" si="97"/>
        <v>0</v>
      </c>
      <c r="AE389" s="412">
        <f t="shared" si="97"/>
        <v>0</v>
      </c>
      <c r="AF389" s="412">
        <f t="shared" si="97"/>
        <v>0</v>
      </c>
      <c r="AG389" s="412">
        <f t="shared" si="97"/>
        <v>0</v>
      </c>
      <c r="AH389" s="412">
        <f t="shared" si="97"/>
        <v>0</v>
      </c>
      <c r="AI389" s="412">
        <f t="shared" si="97"/>
        <v>0</v>
      </c>
      <c r="AJ389" s="412">
        <f t="shared" si="97"/>
        <v>0</v>
      </c>
      <c r="AK389" s="412">
        <f t="shared" si="97"/>
        <v>0</v>
      </c>
      <c r="AL389" s="412">
        <f t="shared" si="97"/>
        <v>0</v>
      </c>
      <c r="AM389" s="412">
        <f t="shared" si="97"/>
        <v>0</v>
      </c>
      <c r="AN389" s="412">
        <f t="shared" si="97"/>
        <v>0</v>
      </c>
      <c r="AO389" s="412">
        <f t="shared" si="97"/>
        <v>0</v>
      </c>
      <c r="AP389" s="412">
        <f t="shared" si="97"/>
        <v>0</v>
      </c>
      <c r="AQ389" s="412">
        <f t="shared" si="97"/>
        <v>0</v>
      </c>
      <c r="AR389" s="412">
        <f t="shared" si="97"/>
        <v>0</v>
      </c>
      <c r="AS389" s="412">
        <f t="shared" si="97"/>
        <v>0</v>
      </c>
      <c r="AT389" s="412">
        <f t="shared" si="97"/>
        <v>0</v>
      </c>
      <c r="AU389" s="412">
        <f t="shared" si="97"/>
        <v>0</v>
      </c>
      <c r="AV389" s="412">
        <f t="shared" si="97"/>
        <v>0</v>
      </c>
      <c r="AW389" s="412">
        <f t="shared" si="97"/>
        <v>0</v>
      </c>
      <c r="AX389" s="412">
        <f t="shared" si="97"/>
        <v>756759724.86000001</v>
      </c>
      <c r="AY389" s="412">
        <f t="shared" si="97"/>
        <v>434939047</v>
      </c>
      <c r="AZ389" s="412">
        <f t="shared" si="97"/>
        <v>434939047</v>
      </c>
      <c r="BA389" s="412">
        <f t="shared" si="97"/>
        <v>3684957757.9200001</v>
      </c>
      <c r="BB389" s="412">
        <f t="shared" si="97"/>
        <v>2500576685.6700001</v>
      </c>
      <c r="BC389" s="412">
        <f t="shared" si="97"/>
        <v>2500576685.6700001</v>
      </c>
      <c r="BD389" s="412">
        <f t="shared" si="97"/>
        <v>748923828</v>
      </c>
      <c r="BE389" s="412">
        <f t="shared" si="97"/>
        <v>0</v>
      </c>
      <c r="BF389" s="412">
        <f t="shared" si="97"/>
        <v>0</v>
      </c>
      <c r="BG389" s="412">
        <f t="shared" si="97"/>
        <v>6157568400.2799997</v>
      </c>
      <c r="BH389" s="412">
        <f t="shared" si="97"/>
        <v>4257084627.4133334</v>
      </c>
      <c r="BI389" s="412">
        <f t="shared" si="97"/>
        <v>4257084627.4133334</v>
      </c>
      <c r="BK389" s="608"/>
    </row>
    <row r="390" spans="1:63" s="489" customFormat="1" ht="36.75" customHeight="1" x14ac:dyDescent="0.25">
      <c r="A390" s="618" t="s">
        <v>1340</v>
      </c>
      <c r="B390" s="618"/>
      <c r="C390" s="618"/>
      <c r="D390" s="618"/>
      <c r="E390" s="618"/>
      <c r="F390" s="451"/>
      <c r="G390" s="452"/>
      <c r="H390" s="202"/>
      <c r="I390" s="451"/>
      <c r="J390" s="452"/>
      <c r="K390" s="452"/>
      <c r="L390" s="451"/>
      <c r="M390" s="202"/>
      <c r="N390" s="202"/>
      <c r="O390" s="452"/>
      <c r="P390" s="452"/>
      <c r="Q390" s="202"/>
      <c r="R390" s="452"/>
      <c r="S390" s="451"/>
      <c r="T390" s="488">
        <f t="shared" ref="T390:BI390" si="98">+T345+T389</f>
        <v>9340658216.5799999</v>
      </c>
      <c r="U390" s="488">
        <f t="shared" si="98"/>
        <v>6349351452.5733337</v>
      </c>
      <c r="V390" s="488">
        <f t="shared" si="98"/>
        <v>6318367686.5733337</v>
      </c>
      <c r="W390" s="488">
        <f t="shared" si="98"/>
        <v>2192073558.0099998</v>
      </c>
      <c r="X390" s="488">
        <f t="shared" si="98"/>
        <v>216525722</v>
      </c>
      <c r="Y390" s="488">
        <f t="shared" si="98"/>
        <v>216525722</v>
      </c>
      <c r="Z390" s="488">
        <f t="shared" si="98"/>
        <v>184304077.94</v>
      </c>
      <c r="AA390" s="488">
        <f t="shared" si="98"/>
        <v>184278666</v>
      </c>
      <c r="AB390" s="488">
        <f t="shared" si="98"/>
        <v>128170599</v>
      </c>
      <c r="AC390" s="488">
        <f t="shared" si="98"/>
        <v>2849173512.6999998</v>
      </c>
      <c r="AD390" s="488">
        <f t="shared" si="98"/>
        <v>1814157545.8199999</v>
      </c>
      <c r="AE390" s="488">
        <f t="shared" si="98"/>
        <v>1703056117.5999999</v>
      </c>
      <c r="AF390" s="488">
        <f t="shared" si="98"/>
        <v>6648246009.5</v>
      </c>
      <c r="AG390" s="488">
        <f t="shared" si="98"/>
        <v>5019138342</v>
      </c>
      <c r="AH390" s="488">
        <f t="shared" si="98"/>
        <v>4930531676</v>
      </c>
      <c r="AI390" s="488">
        <f t="shared" si="98"/>
        <v>30215921696.520004</v>
      </c>
      <c r="AJ390" s="488">
        <f t="shared" si="98"/>
        <v>27423772761.440002</v>
      </c>
      <c r="AK390" s="488">
        <f t="shared" si="98"/>
        <v>27423772761.440002</v>
      </c>
      <c r="AL390" s="488">
        <f t="shared" si="98"/>
        <v>132182386450.42001</v>
      </c>
      <c r="AM390" s="488">
        <f t="shared" si="98"/>
        <v>131992978403</v>
      </c>
      <c r="AN390" s="488">
        <f t="shared" si="98"/>
        <v>131989858403</v>
      </c>
      <c r="AO390" s="488">
        <f t="shared" si="98"/>
        <v>23036771417</v>
      </c>
      <c r="AP390" s="488">
        <f t="shared" si="98"/>
        <v>23036771417</v>
      </c>
      <c r="AQ390" s="488">
        <f t="shared" si="98"/>
        <v>23036771417</v>
      </c>
      <c r="AR390" s="488">
        <f t="shared" si="98"/>
        <v>14695615717.32</v>
      </c>
      <c r="AS390" s="488">
        <f t="shared" si="98"/>
        <v>13284269528</v>
      </c>
      <c r="AT390" s="488">
        <f t="shared" si="98"/>
        <v>13280387641.4</v>
      </c>
      <c r="AU390" s="488">
        <f t="shared" si="98"/>
        <v>2780436507.1199999</v>
      </c>
      <c r="AV390" s="488">
        <f t="shared" si="98"/>
        <v>2766983630</v>
      </c>
      <c r="AW390" s="488">
        <f t="shared" si="98"/>
        <v>2766983630</v>
      </c>
      <c r="AX390" s="488">
        <f t="shared" si="98"/>
        <v>22735319128.180004</v>
      </c>
      <c r="AY390" s="488">
        <f t="shared" si="98"/>
        <v>16606182796.75</v>
      </c>
      <c r="AZ390" s="488">
        <f t="shared" si="98"/>
        <v>15878066232.530001</v>
      </c>
      <c r="BA390" s="488">
        <f t="shared" si="98"/>
        <v>10080934786.030001</v>
      </c>
      <c r="BB390" s="488">
        <f t="shared" si="98"/>
        <v>3098394056.6300001</v>
      </c>
      <c r="BC390" s="488">
        <f t="shared" si="98"/>
        <v>3098310906.6700001</v>
      </c>
      <c r="BD390" s="488">
        <f t="shared" si="98"/>
        <v>4938199183.3000002</v>
      </c>
      <c r="BE390" s="488">
        <f t="shared" si="98"/>
        <v>1801288827</v>
      </c>
      <c r="BF390" s="488">
        <f t="shared" si="98"/>
        <v>1768210535</v>
      </c>
      <c r="BG390" s="488">
        <f t="shared" si="98"/>
        <v>261880040260.62</v>
      </c>
      <c r="BH390" s="488">
        <f t="shared" si="98"/>
        <v>239390220671.21332</v>
      </c>
      <c r="BI390" s="488">
        <f t="shared" si="98"/>
        <v>238322617351.21332</v>
      </c>
      <c r="BK390" s="608"/>
    </row>
    <row r="391" spans="1:63" x14ac:dyDescent="0.2">
      <c r="BG391" s="445"/>
      <c r="BH391" s="445"/>
      <c r="BI391" s="445"/>
    </row>
    <row r="392" spans="1:63" x14ac:dyDescent="0.2">
      <c r="AF392" s="592"/>
      <c r="AG392" s="592"/>
      <c r="AH392" s="592"/>
      <c r="AY392" s="599"/>
      <c r="AZ392" s="599"/>
      <c r="BD392" s="593"/>
      <c r="BE392" s="593"/>
      <c r="BF392" s="593"/>
      <c r="BG392" s="593"/>
      <c r="BH392" s="593"/>
      <c r="BI392" s="593"/>
    </row>
    <row r="393" spans="1:63" x14ac:dyDescent="0.2">
      <c r="BG393" s="375"/>
    </row>
    <row r="394" spans="1:63" x14ac:dyDescent="0.2">
      <c r="BG394" s="413"/>
      <c r="BH394" s="413"/>
      <c r="BI394" s="413"/>
    </row>
    <row r="396" spans="1:63" x14ac:dyDescent="0.2">
      <c r="BH396" s="413"/>
      <c r="BI396" s="413"/>
    </row>
  </sheetData>
  <sheetProtection password="A60F" sheet="1" objects="1" scenarios="1"/>
  <autoFilter ref="BJ1:BL396"/>
  <mergeCells count="221">
    <mergeCell ref="A1:BG4"/>
    <mergeCell ref="A5:A6"/>
    <mergeCell ref="B5:B6"/>
    <mergeCell ref="C5:C6"/>
    <mergeCell ref="D5:D6"/>
    <mergeCell ref="E5:E6"/>
    <mergeCell ref="F5:F6"/>
    <mergeCell ref="G5:G6"/>
    <mergeCell ref="H5:H6"/>
    <mergeCell ref="I5:I6"/>
    <mergeCell ref="BD5:BF5"/>
    <mergeCell ref="BG5:BI5"/>
    <mergeCell ref="AU5:AW5"/>
    <mergeCell ref="AX5:AZ5"/>
    <mergeCell ref="BA5:BC5"/>
    <mergeCell ref="AI5:AK5"/>
    <mergeCell ref="S5:S6"/>
    <mergeCell ref="S375:S378"/>
    <mergeCell ref="Q385:Q388"/>
    <mergeCell ref="R385:R388"/>
    <mergeCell ref="S385:S388"/>
    <mergeCell ref="B367:B368"/>
    <mergeCell ref="B372:B373"/>
    <mergeCell ref="B375:B378"/>
    <mergeCell ref="C375:C378"/>
    <mergeCell ref="Q375:Q378"/>
    <mergeCell ref="R375:R378"/>
    <mergeCell ref="R354:R355"/>
    <mergeCell ref="S354:S355"/>
    <mergeCell ref="Q357:Q360"/>
    <mergeCell ref="R357:R360"/>
    <mergeCell ref="S357:S360"/>
    <mergeCell ref="G358:G359"/>
    <mergeCell ref="H358:H359"/>
    <mergeCell ref="I358:I359"/>
    <mergeCell ref="Q349:Q350"/>
    <mergeCell ref="R349:R350"/>
    <mergeCell ref="S349:S350"/>
    <mergeCell ref="Q352:Q353"/>
    <mergeCell ref="R352:R353"/>
    <mergeCell ref="S352:S353"/>
    <mergeCell ref="B343:B344"/>
    <mergeCell ref="C343:C344"/>
    <mergeCell ref="Q343:Q344"/>
    <mergeCell ref="R343:R344"/>
    <mergeCell ref="S343:S344"/>
    <mergeCell ref="S324:S327"/>
    <mergeCell ref="B331:B333"/>
    <mergeCell ref="C332:C333"/>
    <mergeCell ref="G324:G325"/>
    <mergeCell ref="H324:H325"/>
    <mergeCell ref="I324:I325"/>
    <mergeCell ref="Q324:Q327"/>
    <mergeCell ref="R324:R327"/>
    <mergeCell ref="Q332:Q333"/>
    <mergeCell ref="R332:R333"/>
    <mergeCell ref="S332:S333"/>
    <mergeCell ref="Q312:Q313"/>
    <mergeCell ref="R312:R313"/>
    <mergeCell ref="S312:S313"/>
    <mergeCell ref="R315:R316"/>
    <mergeCell ref="S315:S316"/>
    <mergeCell ref="Q322:Q323"/>
    <mergeCell ref="R322:R323"/>
    <mergeCell ref="S322:S323"/>
    <mergeCell ref="Q307:Q309"/>
    <mergeCell ref="R307:R309"/>
    <mergeCell ref="S307:S309"/>
    <mergeCell ref="Q310:Q311"/>
    <mergeCell ref="R310:R311"/>
    <mergeCell ref="S310:S311"/>
    <mergeCell ref="Q302:Q304"/>
    <mergeCell ref="R302:R304"/>
    <mergeCell ref="S302:S304"/>
    <mergeCell ref="Q305:Q306"/>
    <mergeCell ref="R305:R306"/>
    <mergeCell ref="S305:S306"/>
    <mergeCell ref="Q293:Q299"/>
    <mergeCell ref="R293:R299"/>
    <mergeCell ref="S293:S299"/>
    <mergeCell ref="Q300:Q301"/>
    <mergeCell ref="R300:R301"/>
    <mergeCell ref="S300:S301"/>
    <mergeCell ref="Q286:Q289"/>
    <mergeCell ref="R286:R289"/>
    <mergeCell ref="S286:S289"/>
    <mergeCell ref="Q291:Q292"/>
    <mergeCell ref="R291:R292"/>
    <mergeCell ref="S291:S292"/>
    <mergeCell ref="Q277:Q279"/>
    <mergeCell ref="R277:R279"/>
    <mergeCell ref="S277:S279"/>
    <mergeCell ref="Q282:Q285"/>
    <mergeCell ref="R282:R285"/>
    <mergeCell ref="S282:S285"/>
    <mergeCell ref="Q268:Q274"/>
    <mergeCell ref="R268:R274"/>
    <mergeCell ref="S268:S274"/>
    <mergeCell ref="Q275:Q276"/>
    <mergeCell ref="R275:R276"/>
    <mergeCell ref="S275:S276"/>
    <mergeCell ref="Q246:Q247"/>
    <mergeCell ref="R246:R247"/>
    <mergeCell ref="S246:S247"/>
    <mergeCell ref="Q251:Q253"/>
    <mergeCell ref="R251:R253"/>
    <mergeCell ref="S251:S253"/>
    <mergeCell ref="Q242:Q243"/>
    <mergeCell ref="R242:R243"/>
    <mergeCell ref="S242:S243"/>
    <mergeCell ref="Q214:Q216"/>
    <mergeCell ref="R214:R216"/>
    <mergeCell ref="S214:S216"/>
    <mergeCell ref="Q224:Q225"/>
    <mergeCell ref="R224:R225"/>
    <mergeCell ref="S224:S225"/>
    <mergeCell ref="S212:S213"/>
    <mergeCell ref="Q199:Q200"/>
    <mergeCell ref="R199:R200"/>
    <mergeCell ref="S199:S200"/>
    <mergeCell ref="Q203:Q208"/>
    <mergeCell ref="R203:R208"/>
    <mergeCell ref="S203:S208"/>
    <mergeCell ref="Q229:Q230"/>
    <mergeCell ref="R229:R230"/>
    <mergeCell ref="S229:S230"/>
    <mergeCell ref="S177:S178"/>
    <mergeCell ref="E189:I189"/>
    <mergeCell ref="Q197:Q198"/>
    <mergeCell ref="R197:R198"/>
    <mergeCell ref="S197:S198"/>
    <mergeCell ref="Q167:Q168"/>
    <mergeCell ref="R167:R168"/>
    <mergeCell ref="S167:S168"/>
    <mergeCell ref="Q170:Q171"/>
    <mergeCell ref="R170:R171"/>
    <mergeCell ref="S170:S171"/>
    <mergeCell ref="S150:S152"/>
    <mergeCell ref="Q157:Q158"/>
    <mergeCell ref="R157:R158"/>
    <mergeCell ref="S157:S158"/>
    <mergeCell ref="Q146:Q147"/>
    <mergeCell ref="R146:R147"/>
    <mergeCell ref="S146:S147"/>
    <mergeCell ref="Q148:Q149"/>
    <mergeCell ref="R148:R149"/>
    <mergeCell ref="S148:S149"/>
    <mergeCell ref="S131:S133"/>
    <mergeCell ref="C136:C139"/>
    <mergeCell ref="Q136:Q139"/>
    <mergeCell ref="R136:R139"/>
    <mergeCell ref="S136:S139"/>
    <mergeCell ref="Q143:Q144"/>
    <mergeCell ref="R143:R144"/>
    <mergeCell ref="S143:S144"/>
    <mergeCell ref="B126:B139"/>
    <mergeCell ref="Q127:Q128"/>
    <mergeCell ref="R127:R128"/>
    <mergeCell ref="S127:S128"/>
    <mergeCell ref="C129:C134"/>
    <mergeCell ref="Q129:Q130"/>
    <mergeCell ref="R129:R130"/>
    <mergeCell ref="S129:S130"/>
    <mergeCell ref="Q131:Q133"/>
    <mergeCell ref="R131:R133"/>
    <mergeCell ref="S117:S118"/>
    <mergeCell ref="Q122:Q123"/>
    <mergeCell ref="R122:R123"/>
    <mergeCell ref="S122:S123"/>
    <mergeCell ref="Q109:Q110"/>
    <mergeCell ref="R109:R110"/>
    <mergeCell ref="S109:S110"/>
    <mergeCell ref="Q115:Q116"/>
    <mergeCell ref="R115:R116"/>
    <mergeCell ref="S115:S116"/>
    <mergeCell ref="A390:E390"/>
    <mergeCell ref="J5:J6"/>
    <mergeCell ref="K5:K6"/>
    <mergeCell ref="L5:L6"/>
    <mergeCell ref="M5:M6"/>
    <mergeCell ref="N5:N6"/>
    <mergeCell ref="O5:P5"/>
    <mergeCell ref="Q5:Q6"/>
    <mergeCell ref="R5:R6"/>
    <mergeCell ref="Q102:Q103"/>
    <mergeCell ref="R102:R103"/>
    <mergeCell ref="Q117:Q118"/>
    <mergeCell ref="Q23:Q28"/>
    <mergeCell ref="R23:R28"/>
    <mergeCell ref="R117:R118"/>
    <mergeCell ref="Q150:Q152"/>
    <mergeCell ref="R150:R152"/>
    <mergeCell ref="Q177:Q178"/>
    <mergeCell ref="R177:R178"/>
    <mergeCell ref="F212:F213"/>
    <mergeCell ref="G212:G213"/>
    <mergeCell ref="H212:H213"/>
    <mergeCell ref="I212:I213"/>
    <mergeCell ref="R212:R213"/>
    <mergeCell ref="S102:S103"/>
    <mergeCell ref="Q107:Q108"/>
    <mergeCell ref="R107:R108"/>
    <mergeCell ref="S107:S108"/>
    <mergeCell ref="Q86:Q90"/>
    <mergeCell ref="R86:R90"/>
    <mergeCell ref="S86:S90"/>
    <mergeCell ref="Q99:Q100"/>
    <mergeCell ref="R99:R100"/>
    <mergeCell ref="S99:S100"/>
    <mergeCell ref="S23:S28"/>
    <mergeCell ref="Q65:Q69"/>
    <mergeCell ref="R65:R69"/>
    <mergeCell ref="S65:S69"/>
    <mergeCell ref="AL5:AN5"/>
    <mergeCell ref="AO5:AQ5"/>
    <mergeCell ref="AR5:AT5"/>
    <mergeCell ref="T5:V5"/>
    <mergeCell ref="W5:Y5"/>
    <mergeCell ref="Z5:AB5"/>
    <mergeCell ref="AC5:AE5"/>
    <mergeCell ref="AF5:AH5"/>
  </mergeCells>
  <conditionalFormatting sqref="K268">
    <cfRule type="duplicateValues" dxfId="58" priority="33"/>
  </conditionalFormatting>
  <conditionalFormatting sqref="K268">
    <cfRule type="duplicateValues" dxfId="57" priority="34"/>
  </conditionalFormatting>
  <conditionalFormatting sqref="K275">
    <cfRule type="duplicateValues" dxfId="56" priority="31"/>
  </conditionalFormatting>
  <conditionalFormatting sqref="K275">
    <cfRule type="duplicateValues" dxfId="55" priority="32"/>
  </conditionalFormatting>
  <conditionalFormatting sqref="K283">
    <cfRule type="duplicateValues" dxfId="54" priority="29"/>
  </conditionalFormatting>
  <conditionalFormatting sqref="K283">
    <cfRule type="duplicateValues" dxfId="53" priority="30"/>
  </conditionalFormatting>
  <conditionalFormatting sqref="K118">
    <cfRule type="duplicateValues" dxfId="52" priority="27"/>
  </conditionalFormatting>
  <conditionalFormatting sqref="K119">
    <cfRule type="duplicateValues" dxfId="51" priority="28"/>
  </conditionalFormatting>
  <conditionalFormatting sqref="K144">
    <cfRule type="duplicateValues" dxfId="50" priority="26"/>
  </conditionalFormatting>
  <conditionalFormatting sqref="K150">
    <cfRule type="duplicateValues" dxfId="49" priority="22"/>
  </conditionalFormatting>
  <conditionalFormatting sqref="K151">
    <cfRule type="duplicateValues" dxfId="48" priority="21"/>
  </conditionalFormatting>
  <conditionalFormatting sqref="K152">
    <cfRule type="duplicateValues" dxfId="47" priority="18"/>
  </conditionalFormatting>
  <conditionalFormatting sqref="K152">
    <cfRule type="duplicateValues" dxfId="46" priority="19"/>
  </conditionalFormatting>
  <conditionalFormatting sqref="K152">
    <cfRule type="duplicateValues" dxfId="45" priority="20"/>
  </conditionalFormatting>
  <conditionalFormatting sqref="K149">
    <cfRule type="duplicateValues" dxfId="44" priority="16"/>
  </conditionalFormatting>
  <conditionalFormatting sqref="K149">
    <cfRule type="duplicateValues" dxfId="43" priority="17"/>
  </conditionalFormatting>
  <conditionalFormatting sqref="K153">
    <cfRule type="duplicateValues" dxfId="42" priority="14"/>
  </conditionalFormatting>
  <conditionalFormatting sqref="K153">
    <cfRule type="duplicateValues" dxfId="41" priority="15"/>
  </conditionalFormatting>
  <conditionalFormatting sqref="K145">
    <cfRule type="duplicateValues" dxfId="40" priority="13"/>
  </conditionalFormatting>
  <conditionalFormatting sqref="K155">
    <cfRule type="duplicateValues" dxfId="39" priority="11"/>
  </conditionalFormatting>
  <conditionalFormatting sqref="K155">
    <cfRule type="duplicateValues" dxfId="38" priority="12"/>
  </conditionalFormatting>
  <conditionalFormatting sqref="K164:K165">
    <cfRule type="duplicateValues" dxfId="37" priority="9"/>
  </conditionalFormatting>
  <conditionalFormatting sqref="K164:K165">
    <cfRule type="duplicateValues" dxfId="36" priority="10"/>
  </conditionalFormatting>
  <conditionalFormatting sqref="K167">
    <cfRule type="duplicateValues" dxfId="35" priority="7"/>
  </conditionalFormatting>
  <conditionalFormatting sqref="K167">
    <cfRule type="duplicateValues" dxfId="34" priority="8"/>
  </conditionalFormatting>
  <conditionalFormatting sqref="K168">
    <cfRule type="duplicateValues" dxfId="33" priority="5"/>
  </conditionalFormatting>
  <conditionalFormatting sqref="K168">
    <cfRule type="duplicateValues" dxfId="32" priority="6"/>
  </conditionalFormatting>
  <conditionalFormatting sqref="K284">
    <cfRule type="duplicateValues" dxfId="31" priority="3"/>
  </conditionalFormatting>
  <conditionalFormatting sqref="K284">
    <cfRule type="duplicateValues" dxfId="30" priority="4"/>
  </conditionalFormatting>
  <pageMargins left="0.7" right="0.7" top="0.75" bottom="0.75" header="0.3" footer="0.3"/>
  <pageSetup orientation="portrait" verticalDpi="360" r:id="rId1"/>
  <ignoredErrors>
    <ignoredError sqref="G305 G307 G309 G316:G317 G322:G324 G327:G328 G319:G320" numberStoredAsText="1"/>
    <ignoredError sqref="AX15:AY15"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L778"/>
  <sheetViews>
    <sheetView showGridLines="0" zoomScaleNormal="100" workbookViewId="0">
      <selection activeCell="F9" sqref="F9"/>
    </sheetView>
  </sheetViews>
  <sheetFormatPr baseColWidth="10" defaultColWidth="11.42578125" defaultRowHeight="11.25" x14ac:dyDescent="0.2"/>
  <cols>
    <col min="1" max="1" width="3.85546875" style="50" customWidth="1"/>
    <col min="2" max="2" width="15.28515625" style="85" customWidth="1"/>
    <col min="3" max="3" width="25.5703125" style="85" customWidth="1"/>
    <col min="4" max="4" width="16.140625" style="86" customWidth="1"/>
    <col min="5" max="5" width="39.5703125" style="85" customWidth="1"/>
    <col min="6" max="6" width="16.85546875" style="87" customWidth="1"/>
    <col min="7" max="8" width="17.7109375" style="50" customWidth="1"/>
    <col min="9" max="9" width="15.5703125" style="50" bestFit="1" customWidth="1"/>
    <col min="10" max="10" width="15.85546875" style="50" customWidth="1"/>
    <col min="11" max="11" width="15.42578125" style="50" customWidth="1"/>
    <col min="12" max="16384" width="11.42578125" style="50"/>
  </cols>
  <sheetData>
    <row r="1" spans="1:11" ht="11.25" customHeight="1" x14ac:dyDescent="0.2">
      <c r="A1" s="116"/>
      <c r="B1" s="690" t="s">
        <v>1536</v>
      </c>
      <c r="C1" s="691"/>
      <c r="D1" s="691"/>
      <c r="E1" s="691"/>
      <c r="F1" s="691"/>
      <c r="G1" s="691"/>
      <c r="H1" s="692"/>
    </row>
    <row r="2" spans="1:11" ht="9.75" customHeight="1" x14ac:dyDescent="0.2">
      <c r="A2" s="117"/>
      <c r="B2" s="693"/>
      <c r="C2" s="694"/>
      <c r="D2" s="694"/>
      <c r="E2" s="694"/>
      <c r="F2" s="694"/>
      <c r="G2" s="694"/>
      <c r="H2" s="695"/>
    </row>
    <row r="3" spans="1:11" ht="16.5" customHeight="1" thickBot="1" x14ac:dyDescent="0.25">
      <c r="A3" s="117"/>
      <c r="B3" s="693"/>
      <c r="C3" s="694"/>
      <c r="D3" s="694"/>
      <c r="E3" s="694"/>
      <c r="F3" s="694"/>
      <c r="G3" s="694"/>
      <c r="H3" s="695"/>
    </row>
    <row r="4" spans="1:11" ht="18.75" customHeight="1" thickBot="1" x14ac:dyDescent="0.25">
      <c r="A4" s="117"/>
      <c r="B4" s="696" t="s">
        <v>1397</v>
      </c>
      <c r="C4" s="697"/>
      <c r="D4" s="697"/>
      <c r="E4" s="697"/>
      <c r="F4" s="697"/>
      <c r="G4" s="697"/>
      <c r="H4" s="698"/>
    </row>
    <row r="5" spans="1:11" s="51" customFormat="1" ht="25.5" customHeight="1" thickBot="1" x14ac:dyDescent="0.3">
      <c r="A5" s="118"/>
      <c r="B5" s="234" t="s">
        <v>1373</v>
      </c>
      <c r="C5" s="257" t="s">
        <v>56</v>
      </c>
      <c r="D5" s="235" t="s">
        <v>1341</v>
      </c>
      <c r="E5" s="257" t="s">
        <v>1342</v>
      </c>
      <c r="F5" s="236" t="s">
        <v>1343</v>
      </c>
      <c r="G5" s="88" t="s">
        <v>15</v>
      </c>
      <c r="H5" s="88" t="s">
        <v>1372</v>
      </c>
    </row>
    <row r="6" spans="1:11" s="51" customFormat="1" ht="16.5" customHeight="1" thickBot="1" x14ac:dyDescent="0.3">
      <c r="A6" s="118"/>
      <c r="B6" s="243" t="s">
        <v>1344</v>
      </c>
      <c r="C6" s="70"/>
      <c r="D6" s="70"/>
      <c r="E6" s="70"/>
      <c r="F6" s="70"/>
      <c r="G6" s="70"/>
      <c r="H6" s="119"/>
    </row>
    <row r="7" spans="1:11" s="52" customFormat="1" ht="17.25" customHeight="1" thickBot="1" x14ac:dyDescent="0.3">
      <c r="A7" s="120"/>
      <c r="B7" s="670" t="s">
        <v>1345</v>
      </c>
      <c r="C7" s="671"/>
      <c r="D7" s="671"/>
      <c r="E7" s="671"/>
      <c r="F7" s="105">
        <f>SUM(F8:F10)</f>
        <v>75702140</v>
      </c>
      <c r="G7" s="102">
        <f>SUM(G8:G10)</f>
        <v>70471741</v>
      </c>
      <c r="H7" s="102">
        <f>SUM(H8:H10)</f>
        <v>70471741</v>
      </c>
      <c r="I7" s="223"/>
      <c r="J7" s="223"/>
      <c r="K7" s="223"/>
    </row>
    <row r="8" spans="1:11" ht="34.5" customHeight="1" x14ac:dyDescent="0.2">
      <c r="A8" s="121">
        <v>1</v>
      </c>
      <c r="B8" s="661" t="s">
        <v>82</v>
      </c>
      <c r="C8" s="667" t="s">
        <v>84</v>
      </c>
      <c r="D8" s="91" t="s">
        <v>91</v>
      </c>
      <c r="E8" s="101" t="s">
        <v>1346</v>
      </c>
      <c r="F8" s="92">
        <f>'SGTO POAI 2020'!BG10</f>
        <v>30000000</v>
      </c>
      <c r="G8" s="92">
        <f>'SGTO POAI 2020'!BH10</f>
        <v>26916665</v>
      </c>
      <c r="H8" s="98">
        <f>'SGTO POAI 2020'!BI10</f>
        <v>26916665</v>
      </c>
      <c r="I8" s="238"/>
      <c r="J8" s="238"/>
      <c r="K8" s="238"/>
    </row>
    <row r="9" spans="1:11" ht="34.5" customHeight="1" x14ac:dyDescent="0.2">
      <c r="A9" s="121">
        <v>2</v>
      </c>
      <c r="B9" s="662"/>
      <c r="C9" s="668"/>
      <c r="D9" s="53" t="s">
        <v>97</v>
      </c>
      <c r="E9" s="89" t="s">
        <v>98</v>
      </c>
      <c r="F9" s="58">
        <f>'SGTO POAI 2020'!BG11</f>
        <v>15702140</v>
      </c>
      <c r="G9" s="58">
        <f>'SGTO POAI 2020'!BH11</f>
        <v>15679999</v>
      </c>
      <c r="H9" s="54">
        <f>'SGTO POAI 2020'!BI11</f>
        <v>15679999</v>
      </c>
    </row>
    <row r="10" spans="1:11" ht="45.75" thickBot="1" x14ac:dyDescent="0.25">
      <c r="A10" s="121">
        <v>3</v>
      </c>
      <c r="B10" s="677"/>
      <c r="C10" s="227" t="s">
        <v>99</v>
      </c>
      <c r="D10" s="59" t="s">
        <v>106</v>
      </c>
      <c r="E10" s="103" t="s">
        <v>0</v>
      </c>
      <c r="F10" s="60">
        <f>'SGTO POAI 2020'!BG13</f>
        <v>30000000</v>
      </c>
      <c r="G10" s="60">
        <f>'SGTO POAI 2020'!BH13</f>
        <v>27875077</v>
      </c>
      <c r="H10" s="104">
        <f>'SGTO POAI 2020'!BI13</f>
        <v>27875077</v>
      </c>
    </row>
    <row r="11" spans="1:11" s="52" customFormat="1" ht="17.25" customHeight="1" thickBot="1" x14ac:dyDescent="0.3">
      <c r="A11" s="118"/>
      <c r="B11" s="670" t="s">
        <v>1347</v>
      </c>
      <c r="C11" s="671"/>
      <c r="D11" s="671"/>
      <c r="E11" s="671"/>
      <c r="F11" s="105">
        <f>SUM(F12:F18)</f>
        <v>677628511</v>
      </c>
      <c r="G11" s="102">
        <f>SUM(G12:G18)</f>
        <v>598051770</v>
      </c>
      <c r="H11" s="102">
        <f>SUM(H12:H18)</f>
        <v>560903770</v>
      </c>
      <c r="I11" s="55"/>
      <c r="J11" s="55"/>
      <c r="K11" s="55"/>
    </row>
    <row r="12" spans="1:11" ht="49.5" customHeight="1" x14ac:dyDescent="0.2">
      <c r="A12" s="121">
        <v>4</v>
      </c>
      <c r="B12" s="661" t="s">
        <v>108</v>
      </c>
      <c r="C12" s="225" t="s">
        <v>99</v>
      </c>
      <c r="D12" s="91" t="s">
        <v>114</v>
      </c>
      <c r="E12" s="101" t="s">
        <v>115</v>
      </c>
      <c r="F12" s="92">
        <f>'SGTO POAI 2020'!BG17</f>
        <v>102285179</v>
      </c>
      <c r="G12" s="92">
        <f>'SGTO POAI 2020'!BH17</f>
        <v>98951650</v>
      </c>
      <c r="H12" s="98">
        <f>'SGTO POAI 2020'!BI17</f>
        <v>98951650</v>
      </c>
      <c r="I12" s="238"/>
      <c r="J12" s="238"/>
      <c r="K12" s="238"/>
    </row>
    <row r="13" spans="1:11" ht="22.5" x14ac:dyDescent="0.2">
      <c r="A13" s="121">
        <v>5</v>
      </c>
      <c r="B13" s="662"/>
      <c r="C13" s="669" t="s">
        <v>116</v>
      </c>
      <c r="D13" s="53" t="s">
        <v>120</v>
      </c>
      <c r="E13" s="89" t="s">
        <v>121</v>
      </c>
      <c r="F13" s="58">
        <f>'SGTO POAI 2020'!BG19</f>
        <v>153233333</v>
      </c>
      <c r="G13" s="58">
        <f>'SGTO POAI 2020'!BH19</f>
        <v>153233333</v>
      </c>
      <c r="H13" s="54">
        <f>'SGTO POAI 2020'!BI19</f>
        <v>116085333</v>
      </c>
    </row>
    <row r="14" spans="1:11" s="56" customFormat="1" ht="33.75" customHeight="1" x14ac:dyDescent="0.2">
      <c r="A14" s="121">
        <v>6</v>
      </c>
      <c r="B14" s="662"/>
      <c r="C14" s="667"/>
      <c r="D14" s="53" t="s">
        <v>123</v>
      </c>
      <c r="E14" s="89" t="s">
        <v>124</v>
      </c>
      <c r="F14" s="90">
        <f>'SGTO POAI 2020'!BG20</f>
        <v>93916667</v>
      </c>
      <c r="G14" s="90">
        <f>'SGTO POAI 2020'!BH20</f>
        <v>67393455</v>
      </c>
      <c r="H14" s="244">
        <f>'SGTO POAI 2020'!BI20</f>
        <v>67393455</v>
      </c>
    </row>
    <row r="15" spans="1:11" ht="22.5" x14ac:dyDescent="0.2">
      <c r="A15" s="121">
        <v>7</v>
      </c>
      <c r="B15" s="662"/>
      <c r="C15" s="667"/>
      <c r="D15" s="53" t="s">
        <v>129</v>
      </c>
      <c r="E15" s="89" t="s">
        <v>130</v>
      </c>
      <c r="F15" s="58">
        <f>'SGTO POAI 2020'!BG21</f>
        <v>24906666</v>
      </c>
      <c r="G15" s="58">
        <f>'SGTO POAI 2020'!BH21</f>
        <v>24866666</v>
      </c>
      <c r="H15" s="54">
        <f>'SGTO POAI 2020'!BI21</f>
        <v>24866666</v>
      </c>
    </row>
    <row r="16" spans="1:11" ht="33.75" x14ac:dyDescent="0.2">
      <c r="A16" s="121">
        <v>8</v>
      </c>
      <c r="B16" s="662"/>
      <c r="C16" s="667"/>
      <c r="D16" s="53" t="s">
        <v>135</v>
      </c>
      <c r="E16" s="89" t="s">
        <v>136</v>
      </c>
      <c r="F16" s="58">
        <f>'SGTO POAI 2020'!BG22</f>
        <v>148786666</v>
      </c>
      <c r="G16" s="58">
        <f>'SGTO POAI 2020'!BH22</f>
        <v>143693333</v>
      </c>
      <c r="H16" s="54">
        <f>'SGTO POAI 2020'!BI22</f>
        <v>143693333</v>
      </c>
    </row>
    <row r="17" spans="1:11" ht="33.75" x14ac:dyDescent="0.2">
      <c r="A17" s="121">
        <v>9</v>
      </c>
      <c r="B17" s="662"/>
      <c r="C17" s="667"/>
      <c r="D17" s="53" t="s">
        <v>142</v>
      </c>
      <c r="E17" s="89" t="s">
        <v>143</v>
      </c>
      <c r="F17" s="58">
        <f>SUM('SGTO POAI 2020'!BG23:BG28)</f>
        <v>118500000</v>
      </c>
      <c r="G17" s="58">
        <f>SUM('SGTO POAI 2020'!BH23:BH28)</f>
        <v>86213333</v>
      </c>
      <c r="H17" s="54">
        <f>SUM('SGTO POAI 2020'!BI23:BI28)</f>
        <v>86213333</v>
      </c>
    </row>
    <row r="18" spans="1:11" ht="36.75" customHeight="1" thickBot="1" x14ac:dyDescent="0.25">
      <c r="A18" s="121">
        <v>10</v>
      </c>
      <c r="B18" s="677"/>
      <c r="C18" s="667"/>
      <c r="D18" s="59" t="s">
        <v>160</v>
      </c>
      <c r="E18" s="103" t="s">
        <v>161</v>
      </c>
      <c r="F18" s="60">
        <f>'SGTO POAI 2020'!BG29</f>
        <v>36000000</v>
      </c>
      <c r="G18" s="60">
        <f>'SGTO POAI 2020'!BH29</f>
        <v>23700000</v>
      </c>
      <c r="H18" s="104">
        <f>'SGTO POAI 2020'!BI29</f>
        <v>23700000</v>
      </c>
    </row>
    <row r="19" spans="1:11" ht="17.25" customHeight="1" thickBot="1" x14ac:dyDescent="0.25">
      <c r="A19" s="121"/>
      <c r="B19" s="670" t="s">
        <v>1348</v>
      </c>
      <c r="C19" s="671"/>
      <c r="D19" s="671"/>
      <c r="E19" s="672"/>
      <c r="F19" s="102">
        <f>SUM(F20:F21)</f>
        <v>2272013477</v>
      </c>
      <c r="G19" s="102">
        <f>SUM(G20:G21)</f>
        <v>1509346414</v>
      </c>
      <c r="H19" s="102">
        <f>SUM(H20:H21)</f>
        <v>1466449400</v>
      </c>
      <c r="I19" s="57"/>
      <c r="J19" s="57"/>
      <c r="K19" s="57"/>
    </row>
    <row r="20" spans="1:11" ht="33.75" x14ac:dyDescent="0.2">
      <c r="A20" s="121">
        <v>11</v>
      </c>
      <c r="B20" s="687" t="s">
        <v>108</v>
      </c>
      <c r="C20" s="668" t="s">
        <v>84</v>
      </c>
      <c r="D20" s="91" t="s">
        <v>166</v>
      </c>
      <c r="E20" s="225" t="s">
        <v>1349</v>
      </c>
      <c r="F20" s="98">
        <f>'SGTO POAI 2020'!BG33</f>
        <v>1881149477</v>
      </c>
      <c r="G20" s="98">
        <f>'SGTO POAI 2020'!BH33</f>
        <v>1170360787</v>
      </c>
      <c r="H20" s="98">
        <f>'SGTO POAI 2020'!BI33</f>
        <v>1127463773</v>
      </c>
      <c r="I20" s="238"/>
      <c r="J20" s="238"/>
      <c r="K20" s="238"/>
    </row>
    <row r="21" spans="1:11" ht="45.75" thickBot="1" x14ac:dyDescent="0.25">
      <c r="A21" s="121">
        <v>12</v>
      </c>
      <c r="B21" s="684"/>
      <c r="C21" s="669"/>
      <c r="D21" s="59" t="s">
        <v>172</v>
      </c>
      <c r="E21" s="227" t="s">
        <v>1350</v>
      </c>
      <c r="F21" s="104">
        <f>'SGTO POAI 2020'!BG34</f>
        <v>390864000</v>
      </c>
      <c r="G21" s="104">
        <f>'SGTO POAI 2020'!BH34</f>
        <v>338985627</v>
      </c>
      <c r="H21" s="104">
        <f>'SGTO POAI 2020'!BI34</f>
        <v>338985627</v>
      </c>
    </row>
    <row r="22" spans="1:11" ht="18" customHeight="1" thickBot="1" x14ac:dyDescent="0.25">
      <c r="A22" s="121"/>
      <c r="B22" s="670" t="s">
        <v>1351</v>
      </c>
      <c r="C22" s="671"/>
      <c r="D22" s="671"/>
      <c r="E22" s="672"/>
      <c r="F22" s="102">
        <f>SUM(F23:F37)</f>
        <v>5840104583.4699993</v>
      </c>
      <c r="G22" s="102">
        <f>SUM(G23:G37)</f>
        <v>4065502341</v>
      </c>
      <c r="H22" s="102">
        <f>SUM(H23:H37)</f>
        <v>3963410508</v>
      </c>
      <c r="I22" s="57"/>
      <c r="J22" s="57"/>
      <c r="K22" s="57"/>
    </row>
    <row r="23" spans="1:11" ht="33.75" x14ac:dyDescent="0.2">
      <c r="A23" s="121">
        <v>13</v>
      </c>
      <c r="B23" s="679" t="s">
        <v>1</v>
      </c>
      <c r="C23" s="225" t="s">
        <v>173</v>
      </c>
      <c r="D23" s="91" t="s">
        <v>180</v>
      </c>
      <c r="E23" s="225" t="s">
        <v>181</v>
      </c>
      <c r="F23" s="92">
        <f>'SGTO POAI 2020'!BG38</f>
        <v>3000000</v>
      </c>
      <c r="G23" s="92">
        <f>'SGTO POAI 2020'!BH38</f>
        <v>1999898</v>
      </c>
      <c r="H23" s="98">
        <f>'SGTO POAI 2020'!BI38</f>
        <v>1999898</v>
      </c>
      <c r="I23" s="238"/>
      <c r="J23" s="238"/>
      <c r="K23" s="238"/>
    </row>
    <row r="24" spans="1:11" ht="33.75" x14ac:dyDescent="0.2">
      <c r="A24" s="121">
        <v>14</v>
      </c>
      <c r="B24" s="679"/>
      <c r="C24" s="226" t="s">
        <v>182</v>
      </c>
      <c r="D24" s="53" t="s">
        <v>189</v>
      </c>
      <c r="E24" s="226" t="s">
        <v>190</v>
      </c>
      <c r="F24" s="58">
        <f>'SGTO POAI 2020'!BG40</f>
        <v>60746979</v>
      </c>
      <c r="G24" s="58">
        <f>'SGTO POAI 2020'!BH40</f>
        <v>0</v>
      </c>
      <c r="H24" s="54">
        <f>'SGTO POAI 2020'!BI40</f>
        <v>0</v>
      </c>
    </row>
    <row r="25" spans="1:11" ht="56.25" customHeight="1" x14ac:dyDescent="0.2">
      <c r="A25" s="660">
        <v>15</v>
      </c>
      <c r="B25" s="679"/>
      <c r="C25" s="226" t="s">
        <v>191</v>
      </c>
      <c r="D25" s="53" t="s">
        <v>199</v>
      </c>
      <c r="E25" s="226" t="s">
        <v>200</v>
      </c>
      <c r="F25" s="58">
        <f>'SGTO POAI 2020'!BG42</f>
        <v>628874337</v>
      </c>
      <c r="G25" s="58">
        <f>'SGTO POAI 2020'!BH42</f>
        <v>310970132.10000002</v>
      </c>
      <c r="H25" s="54">
        <f>'SGTO POAI 2020'!BI42</f>
        <v>310970132.10000002</v>
      </c>
    </row>
    <row r="26" spans="1:11" ht="33.75" customHeight="1" x14ac:dyDescent="0.2">
      <c r="A26" s="660"/>
      <c r="B26" s="679"/>
      <c r="C26" s="226" t="s">
        <v>201</v>
      </c>
      <c r="D26" s="53" t="s">
        <v>199</v>
      </c>
      <c r="E26" s="226" t="s">
        <v>200</v>
      </c>
      <c r="F26" s="58">
        <f>'SGTO POAI 2020'!BG44</f>
        <v>50000000</v>
      </c>
      <c r="G26" s="58">
        <f>'SGTO POAI 2020'!BH44</f>
        <v>27099956</v>
      </c>
      <c r="H26" s="54">
        <f>'SGTO POAI 2020'!BI44</f>
        <v>27099956</v>
      </c>
    </row>
    <row r="27" spans="1:11" ht="33.75" x14ac:dyDescent="0.2">
      <c r="A27" s="660"/>
      <c r="B27" s="679"/>
      <c r="C27" s="226" t="s">
        <v>209</v>
      </c>
      <c r="D27" s="53" t="s">
        <v>199</v>
      </c>
      <c r="E27" s="226" t="s">
        <v>200</v>
      </c>
      <c r="F27" s="58">
        <f>'SGTO POAI 2020'!BG46</f>
        <v>977810591.28999996</v>
      </c>
      <c r="G27" s="58">
        <f>'SGTO POAI 2020'!BH46</f>
        <v>514072133.89999998</v>
      </c>
      <c r="H27" s="54">
        <f>'SGTO POAI 2020'!BI46</f>
        <v>483088367.89999998</v>
      </c>
    </row>
    <row r="28" spans="1:11" s="52" customFormat="1" ht="36.75" customHeight="1" x14ac:dyDescent="0.25">
      <c r="A28" s="660"/>
      <c r="B28" s="679"/>
      <c r="C28" s="226" t="s">
        <v>216</v>
      </c>
      <c r="D28" s="53" t="s">
        <v>199</v>
      </c>
      <c r="E28" s="226" t="s">
        <v>200</v>
      </c>
      <c r="F28" s="58">
        <f>'SGTO POAI 2020'!BG48</f>
        <v>64725314.580000043</v>
      </c>
      <c r="G28" s="58">
        <f>'SGTO POAI 2020'!BH48</f>
        <v>0</v>
      </c>
      <c r="H28" s="54">
        <f>'SGTO POAI 2020'!BI48</f>
        <v>0</v>
      </c>
    </row>
    <row r="29" spans="1:11" ht="39.75" customHeight="1" x14ac:dyDescent="0.2">
      <c r="A29" s="660">
        <v>16</v>
      </c>
      <c r="B29" s="662" t="s">
        <v>2</v>
      </c>
      <c r="C29" s="226" t="s">
        <v>220</v>
      </c>
      <c r="D29" s="53" t="s">
        <v>226</v>
      </c>
      <c r="E29" s="226" t="s">
        <v>227</v>
      </c>
      <c r="F29" s="58">
        <f>'SGTO POAI 2020'!BG51</f>
        <v>2000000</v>
      </c>
      <c r="G29" s="58">
        <f>'SGTO POAI 2020'!BH51</f>
        <v>0</v>
      </c>
      <c r="H29" s="54">
        <f>'SGTO POAI 2020'!BI51</f>
        <v>0</v>
      </c>
    </row>
    <row r="30" spans="1:11" ht="39.75" customHeight="1" x14ac:dyDescent="0.2">
      <c r="A30" s="660"/>
      <c r="B30" s="662"/>
      <c r="C30" s="226" t="s">
        <v>228</v>
      </c>
      <c r="D30" s="53" t="s">
        <v>226</v>
      </c>
      <c r="E30" s="226" t="s">
        <v>232</v>
      </c>
      <c r="F30" s="61">
        <f>'SGTO POAI 2020'!BG53</f>
        <v>1000000</v>
      </c>
      <c r="G30" s="61">
        <f>'SGTO POAI 2020'!BH53</f>
        <v>0</v>
      </c>
      <c r="H30" s="245">
        <f>'SGTO POAI 2020'!BI53</f>
        <v>0</v>
      </c>
    </row>
    <row r="31" spans="1:11" ht="39.75" customHeight="1" x14ac:dyDescent="0.2">
      <c r="A31" s="660">
        <v>17</v>
      </c>
      <c r="B31" s="662" t="s">
        <v>3</v>
      </c>
      <c r="C31" s="226" t="s">
        <v>233</v>
      </c>
      <c r="D31" s="53" t="s">
        <v>238</v>
      </c>
      <c r="E31" s="226" t="s">
        <v>239</v>
      </c>
      <c r="F31" s="58">
        <f>'SGTO POAI 2020'!BG56+'SGTO POAI 2020'!BG57</f>
        <v>769025413.94000006</v>
      </c>
      <c r="G31" s="58">
        <f>'SGTO POAI 2020'!BH56+'SGTO POAI 2020'!BH57</f>
        <v>396699304</v>
      </c>
      <c r="H31" s="245">
        <f>'SGTO POAI 2020'!BI56+'SGTO POAI 2020'!BI57</f>
        <v>325591237</v>
      </c>
    </row>
    <row r="32" spans="1:11" ht="39.75" customHeight="1" x14ac:dyDescent="0.2">
      <c r="A32" s="660"/>
      <c r="B32" s="662"/>
      <c r="C32" s="226" t="s">
        <v>241</v>
      </c>
      <c r="D32" s="53" t="s">
        <v>226</v>
      </c>
      <c r="E32" s="226" t="s">
        <v>227</v>
      </c>
      <c r="F32" s="58">
        <f>'SGTO POAI 2020'!BG59</f>
        <v>1000000</v>
      </c>
      <c r="G32" s="58">
        <f>'SGTO POAI 2020'!BH59</f>
        <v>0</v>
      </c>
      <c r="H32" s="54">
        <f>'SGTO POAI 2020'!BI59</f>
        <v>0</v>
      </c>
    </row>
    <row r="33" spans="1:11" ht="39.75" customHeight="1" x14ac:dyDescent="0.2">
      <c r="A33" s="660"/>
      <c r="B33" s="662"/>
      <c r="C33" s="226" t="s">
        <v>246</v>
      </c>
      <c r="D33" s="53" t="s">
        <v>238</v>
      </c>
      <c r="E33" s="226" t="s">
        <v>239</v>
      </c>
      <c r="F33" s="58">
        <f>'SGTO POAI 2020'!BG61</f>
        <v>170360668</v>
      </c>
      <c r="G33" s="58">
        <f>'SGTO POAI 2020'!BH61</f>
        <v>0</v>
      </c>
      <c r="H33" s="54">
        <f>'SGTO POAI 2020'!BI61</f>
        <v>0</v>
      </c>
    </row>
    <row r="34" spans="1:11" ht="39.75" customHeight="1" x14ac:dyDescent="0.2">
      <c r="A34" s="121"/>
      <c r="B34" s="662"/>
      <c r="C34" s="226" t="s">
        <v>250</v>
      </c>
      <c r="D34" s="53" t="s">
        <v>199</v>
      </c>
      <c r="E34" s="226" t="s">
        <v>200</v>
      </c>
      <c r="F34" s="58">
        <f>'SGTO POAI 2020'!BG63</f>
        <v>129129296.87</v>
      </c>
      <c r="G34" s="58">
        <f>'SGTO POAI 2020'!BH63</f>
        <v>36850621</v>
      </c>
      <c r="H34" s="54">
        <f>'SGTO POAI 2020'!BI63</f>
        <v>36850621</v>
      </c>
    </row>
    <row r="35" spans="1:11" ht="45" customHeight="1" x14ac:dyDescent="0.2">
      <c r="A35" s="121">
        <v>18</v>
      </c>
      <c r="B35" s="662"/>
      <c r="C35" s="226" t="s">
        <v>256</v>
      </c>
      <c r="D35" s="53" t="s">
        <v>263</v>
      </c>
      <c r="E35" s="226" t="s">
        <v>264</v>
      </c>
      <c r="F35" s="58">
        <f>'SGTO POAI 2020'!BG64</f>
        <v>2885729741.0500002</v>
      </c>
      <c r="G35" s="58">
        <f>'SGTO POAI 2020'!BH64</f>
        <v>2766983630</v>
      </c>
      <c r="H35" s="54">
        <f>'SGTO POAI 2020'!BI64</f>
        <v>2766983630</v>
      </c>
    </row>
    <row r="36" spans="1:11" ht="47.25" customHeight="1" x14ac:dyDescent="0.2">
      <c r="A36" s="121"/>
      <c r="B36" s="662" t="s">
        <v>108</v>
      </c>
      <c r="C36" s="226" t="s">
        <v>84</v>
      </c>
      <c r="D36" s="53" t="s">
        <v>199</v>
      </c>
      <c r="E36" s="226" t="s">
        <v>200</v>
      </c>
      <c r="F36" s="58">
        <f>'SGTO POAI 2020'!BG72</f>
        <v>72674512.579999998</v>
      </c>
      <c r="G36" s="58">
        <f>'SGTO POAI 2020'!BH72</f>
        <v>10826666</v>
      </c>
      <c r="H36" s="54">
        <f>'SGTO POAI 2020'!BI72</f>
        <v>10826666</v>
      </c>
    </row>
    <row r="37" spans="1:11" ht="46.5" customHeight="1" thickBot="1" x14ac:dyDescent="0.25">
      <c r="A37" s="121"/>
      <c r="B37" s="677"/>
      <c r="C37" s="227" t="s">
        <v>99</v>
      </c>
      <c r="D37" s="59" t="s">
        <v>199</v>
      </c>
      <c r="E37" s="227" t="s">
        <v>200</v>
      </c>
      <c r="F37" s="60">
        <f>'SGTO POAI 2020'!BG74</f>
        <v>24027729.16</v>
      </c>
      <c r="G37" s="60">
        <f>'SGTO POAI 2020'!BH74</f>
        <v>0</v>
      </c>
      <c r="H37" s="104">
        <f>'SGTO POAI 2020'!BI74</f>
        <v>0</v>
      </c>
    </row>
    <row r="38" spans="1:11" ht="18" customHeight="1" thickBot="1" x14ac:dyDescent="0.25">
      <c r="A38" s="121"/>
      <c r="B38" s="670" t="s">
        <v>1352</v>
      </c>
      <c r="C38" s="671"/>
      <c r="D38" s="671"/>
      <c r="E38" s="671"/>
      <c r="F38" s="99">
        <f>SUM(F39:F53)</f>
        <v>3830220594.3099999</v>
      </c>
      <c r="G38" s="99">
        <f>SUM(G39:G53)</f>
        <v>999910766</v>
      </c>
      <c r="H38" s="99">
        <f>SUM(H39:H53)</f>
        <v>999910766</v>
      </c>
      <c r="I38" s="57"/>
      <c r="J38" s="57"/>
      <c r="K38" s="57"/>
    </row>
    <row r="39" spans="1:11" ht="22.5" x14ac:dyDescent="0.2">
      <c r="A39" s="121">
        <v>19</v>
      </c>
      <c r="B39" s="661" t="s">
        <v>1</v>
      </c>
      <c r="C39" s="225" t="s">
        <v>173</v>
      </c>
      <c r="D39" s="91" t="s">
        <v>293</v>
      </c>
      <c r="E39" s="225" t="s">
        <v>294</v>
      </c>
      <c r="F39" s="92">
        <f>'SGTO POAI 2020'!BG78</f>
        <v>112128400</v>
      </c>
      <c r="G39" s="92">
        <f>'SGTO POAI 2020'!BH78</f>
        <v>41593333</v>
      </c>
      <c r="H39" s="98">
        <f>'SGTO POAI 2020'!BI78</f>
        <v>41593333</v>
      </c>
      <c r="I39" s="238"/>
      <c r="J39" s="238"/>
      <c r="K39" s="238"/>
    </row>
    <row r="40" spans="1:11" ht="33.75" x14ac:dyDescent="0.2">
      <c r="A40" s="660">
        <v>20</v>
      </c>
      <c r="B40" s="662"/>
      <c r="C40" s="226" t="s">
        <v>295</v>
      </c>
      <c r="D40" s="53" t="s">
        <v>300</v>
      </c>
      <c r="E40" s="226" t="s">
        <v>301</v>
      </c>
      <c r="F40" s="58">
        <f>'SGTO POAI 2020'!BG80</f>
        <v>15000000</v>
      </c>
      <c r="G40" s="58">
        <f>'SGTO POAI 2020'!BH80</f>
        <v>3620000</v>
      </c>
      <c r="H40" s="54">
        <f>'SGTO POAI 2020'!BI80</f>
        <v>3620000</v>
      </c>
    </row>
    <row r="41" spans="1:11" ht="45" x14ac:dyDescent="0.2">
      <c r="A41" s="660"/>
      <c r="B41" s="662"/>
      <c r="C41" s="226" t="s">
        <v>302</v>
      </c>
      <c r="D41" s="53" t="s">
        <v>300</v>
      </c>
      <c r="E41" s="226" t="s">
        <v>301</v>
      </c>
      <c r="F41" s="58">
        <f>'SGTO POAI 2020'!BG82</f>
        <v>15000000</v>
      </c>
      <c r="G41" s="58">
        <f>'SGTO POAI 2020'!BH82</f>
        <v>3886666</v>
      </c>
      <c r="H41" s="54">
        <f>'SGTO POAI 2020'!BI82</f>
        <v>3886666</v>
      </c>
    </row>
    <row r="42" spans="1:11" ht="43.5" customHeight="1" x14ac:dyDescent="0.2">
      <c r="A42" s="121">
        <v>21</v>
      </c>
      <c r="B42" s="662"/>
      <c r="C42" s="226" t="s">
        <v>191</v>
      </c>
      <c r="D42" s="53" t="s">
        <v>311</v>
      </c>
      <c r="E42" s="226" t="s">
        <v>312</v>
      </c>
      <c r="F42" s="58">
        <f>'SGTO POAI 2020'!BG84</f>
        <v>201866667</v>
      </c>
      <c r="G42" s="58">
        <f>'SGTO POAI 2020'!BH84</f>
        <v>13442666</v>
      </c>
      <c r="H42" s="54">
        <f>'SGTO POAI 2020'!BI84</f>
        <v>13442666</v>
      </c>
    </row>
    <row r="43" spans="1:11" ht="39.75" customHeight="1" x14ac:dyDescent="0.2">
      <c r="A43" s="121">
        <v>22</v>
      </c>
      <c r="B43" s="662"/>
      <c r="C43" s="226" t="s">
        <v>313</v>
      </c>
      <c r="D43" s="53" t="s">
        <v>320</v>
      </c>
      <c r="E43" s="226" t="s">
        <v>321</v>
      </c>
      <c r="F43" s="58">
        <f>'SGTO POAI 2020'!BG85</f>
        <v>522730761</v>
      </c>
      <c r="G43" s="58">
        <f>'SGTO POAI 2020'!BH85</f>
        <v>181023648</v>
      </c>
      <c r="H43" s="54">
        <f>'SGTO POAI 2020'!BI85</f>
        <v>181023648</v>
      </c>
    </row>
    <row r="44" spans="1:11" ht="51" customHeight="1" x14ac:dyDescent="0.2">
      <c r="A44" s="121">
        <v>23</v>
      </c>
      <c r="B44" s="662"/>
      <c r="C44" s="226" t="s">
        <v>340</v>
      </c>
      <c r="D44" s="53" t="s">
        <v>346</v>
      </c>
      <c r="E44" s="226" t="s">
        <v>347</v>
      </c>
      <c r="F44" s="58">
        <f>'SGTO POAI 2020'!BG92</f>
        <v>15738667</v>
      </c>
      <c r="G44" s="58">
        <f>'SGTO POAI 2020'!BH92</f>
        <v>4990295</v>
      </c>
      <c r="H44" s="54">
        <f>'SGTO POAI 2020'!BI92</f>
        <v>4990295</v>
      </c>
    </row>
    <row r="45" spans="1:11" ht="38.25" customHeight="1" x14ac:dyDescent="0.2">
      <c r="A45" s="121"/>
      <c r="B45" s="662"/>
      <c r="C45" s="683" t="s">
        <v>348</v>
      </c>
      <c r="D45" s="53" t="s">
        <v>300</v>
      </c>
      <c r="E45" s="226" t="s">
        <v>301</v>
      </c>
      <c r="F45" s="58">
        <f>'SGTO POAI 2020'!BG94</f>
        <v>2192073558.0099998</v>
      </c>
      <c r="G45" s="58">
        <f>'SGTO POAI 2020'!BH94</f>
        <v>216525722</v>
      </c>
      <c r="H45" s="54">
        <f>'SGTO POAI 2020'!BI94</f>
        <v>216525722</v>
      </c>
    </row>
    <row r="46" spans="1:11" ht="51" customHeight="1" x14ac:dyDescent="0.2">
      <c r="A46" s="121"/>
      <c r="B46" s="662"/>
      <c r="C46" s="683"/>
      <c r="D46" s="53" t="s">
        <v>346</v>
      </c>
      <c r="E46" s="226" t="s">
        <v>347</v>
      </c>
      <c r="F46" s="58">
        <f>'SGTO POAI 2020'!BG95</f>
        <v>94000000</v>
      </c>
      <c r="G46" s="58">
        <f>'SGTO POAI 2020'!BH95</f>
        <v>49720743</v>
      </c>
      <c r="H46" s="54">
        <f>'SGTO POAI 2020'!BI95</f>
        <v>49720743</v>
      </c>
    </row>
    <row r="47" spans="1:11" ht="36.75" customHeight="1" x14ac:dyDescent="0.2">
      <c r="A47" s="121">
        <v>24</v>
      </c>
      <c r="B47" s="662"/>
      <c r="C47" s="683"/>
      <c r="D47" s="53" t="s">
        <v>361</v>
      </c>
      <c r="E47" s="226" t="s">
        <v>362</v>
      </c>
      <c r="F47" s="58">
        <f>'SGTO POAI 2020'!BG96</f>
        <v>75000000</v>
      </c>
      <c r="G47" s="58">
        <f>'SGTO POAI 2020'!BH96</f>
        <v>40220000</v>
      </c>
      <c r="H47" s="54">
        <f>'SGTO POAI 2020'!BI96</f>
        <v>40220000</v>
      </c>
    </row>
    <row r="48" spans="1:11" ht="33.75" x14ac:dyDescent="0.2">
      <c r="A48" s="660">
        <v>25</v>
      </c>
      <c r="B48" s="685" t="s">
        <v>3</v>
      </c>
      <c r="C48" s="226" t="s">
        <v>246</v>
      </c>
      <c r="D48" s="53" t="s">
        <v>311</v>
      </c>
      <c r="E48" s="226" t="s">
        <v>312</v>
      </c>
      <c r="F48" s="58">
        <f>'SGTO POAI 2020'!BG98</f>
        <v>37702666</v>
      </c>
      <c r="G48" s="58">
        <f>'SGTO POAI 2020'!BH98</f>
        <v>27520000</v>
      </c>
      <c r="H48" s="54">
        <f>'SGTO POAI 2020'!BI98</f>
        <v>27520000</v>
      </c>
    </row>
    <row r="49" spans="1:12" ht="33.75" x14ac:dyDescent="0.2">
      <c r="A49" s="660"/>
      <c r="B49" s="685"/>
      <c r="C49" s="683" t="s">
        <v>369</v>
      </c>
      <c r="D49" s="53" t="s">
        <v>311</v>
      </c>
      <c r="E49" s="226" t="s">
        <v>312</v>
      </c>
      <c r="F49" s="58">
        <f>SUM('SGTO POAI 2020'!BG102:BG103)</f>
        <v>325579598</v>
      </c>
      <c r="G49" s="58">
        <f>SUM('SGTO POAI 2020'!BH102:BH103)</f>
        <v>240362801</v>
      </c>
      <c r="H49" s="54">
        <f>SUM('SGTO POAI 2020'!BI102:BI103)</f>
        <v>240362801</v>
      </c>
    </row>
    <row r="50" spans="1:12" ht="22.5" x14ac:dyDescent="0.2">
      <c r="A50" s="660"/>
      <c r="B50" s="685"/>
      <c r="C50" s="683"/>
      <c r="D50" s="53" t="s">
        <v>382</v>
      </c>
      <c r="E50" s="226" t="s">
        <v>383</v>
      </c>
      <c r="F50" s="58">
        <f>'SGTO POAI 2020'!BG104</f>
        <v>73229610.299999997</v>
      </c>
      <c r="G50" s="58">
        <f>'SGTO POAI 2020'!BH104</f>
        <v>72547626</v>
      </c>
      <c r="H50" s="54">
        <f>'SGTO POAI 2020'!BI104</f>
        <v>72547626</v>
      </c>
    </row>
    <row r="51" spans="1:12" ht="32.25" customHeight="1" x14ac:dyDescent="0.2">
      <c r="A51" s="121"/>
      <c r="B51" s="685" t="s">
        <v>108</v>
      </c>
      <c r="C51" s="683" t="s">
        <v>99</v>
      </c>
      <c r="D51" s="53" t="s">
        <v>361</v>
      </c>
      <c r="E51" s="226" t="s">
        <v>362</v>
      </c>
      <c r="F51" s="58">
        <f>SUM('SGTO POAI 2020'!BG107:BG108)</f>
        <v>98270667</v>
      </c>
      <c r="G51" s="58">
        <f>SUM('SGTO POAI 2020'!BH107:BH108)</f>
        <v>64650667</v>
      </c>
      <c r="H51" s="54">
        <f>SUM('SGTO POAI 2020'!BI107:BI108)</f>
        <v>64650667</v>
      </c>
    </row>
    <row r="52" spans="1:12" ht="35.25" customHeight="1" x14ac:dyDescent="0.2">
      <c r="A52" s="121">
        <v>26</v>
      </c>
      <c r="B52" s="685"/>
      <c r="C52" s="683"/>
      <c r="D52" s="53" t="s">
        <v>395</v>
      </c>
      <c r="E52" s="226" t="s">
        <v>396</v>
      </c>
      <c r="F52" s="58">
        <f>SUM('SGTO POAI 2020'!BG109:BG110)</f>
        <v>29900000</v>
      </c>
      <c r="G52" s="58">
        <f>SUM('SGTO POAI 2020'!BH109:BH110)</f>
        <v>25416599</v>
      </c>
      <c r="H52" s="54">
        <f>SUM('SGTO POAI 2020'!BI109:BI110)</f>
        <v>25416599</v>
      </c>
    </row>
    <row r="53" spans="1:12" ht="33.75" customHeight="1" thickBot="1" x14ac:dyDescent="0.25">
      <c r="A53" s="121">
        <v>27</v>
      </c>
      <c r="B53" s="686"/>
      <c r="C53" s="669"/>
      <c r="D53" s="59" t="s">
        <v>401</v>
      </c>
      <c r="E53" s="227" t="s">
        <v>402</v>
      </c>
      <c r="F53" s="60">
        <f>'SGTO POAI 2020'!BG111</f>
        <v>22000000</v>
      </c>
      <c r="G53" s="60">
        <f>'SGTO POAI 2020'!BH111</f>
        <v>14390000</v>
      </c>
      <c r="H53" s="104">
        <f>'SGTO POAI 2020'!BI111</f>
        <v>14390000</v>
      </c>
    </row>
    <row r="54" spans="1:12" ht="17.25" customHeight="1" thickBot="1" x14ac:dyDescent="0.25">
      <c r="A54" s="121"/>
      <c r="B54" s="670" t="s">
        <v>1353</v>
      </c>
      <c r="C54" s="671"/>
      <c r="D54" s="671"/>
      <c r="E54" s="672"/>
      <c r="F54" s="106">
        <f>SUM(F55:F59)</f>
        <v>3035796535.3200002</v>
      </c>
      <c r="G54" s="106">
        <f>SUM(G55:G59)</f>
        <v>1587835203.8299999</v>
      </c>
      <c r="H54" s="105">
        <f>SUM(H55:H59)</f>
        <v>1587835203.8299999</v>
      </c>
      <c r="I54" s="57"/>
      <c r="J54" s="57"/>
      <c r="K54" s="57"/>
    </row>
    <row r="55" spans="1:12" ht="22.5" x14ac:dyDescent="0.2">
      <c r="A55" s="121">
        <v>28</v>
      </c>
      <c r="B55" s="687" t="s">
        <v>1</v>
      </c>
      <c r="C55" s="668" t="s">
        <v>201</v>
      </c>
      <c r="D55" s="91" t="s">
        <v>407</v>
      </c>
      <c r="E55" s="225" t="s">
        <v>408</v>
      </c>
      <c r="F55" s="92">
        <f>SUM('SGTO POAI 2020'!BG115:BG116)</f>
        <v>1216103080.0799999</v>
      </c>
      <c r="G55" s="92">
        <f>SUM('SGTO POAI 2020'!BH115:BH116)</f>
        <v>1164590203.8299999</v>
      </c>
      <c r="H55" s="98">
        <f>SUM('SGTO POAI 2020'!BI115:BI116)</f>
        <v>1164590203.8299999</v>
      </c>
      <c r="I55" s="238"/>
      <c r="J55" s="238"/>
      <c r="K55" s="238"/>
    </row>
    <row r="56" spans="1:12" ht="33.75" x14ac:dyDescent="0.2">
      <c r="A56" s="121">
        <v>29</v>
      </c>
      <c r="B56" s="688"/>
      <c r="C56" s="683"/>
      <c r="D56" s="53" t="s">
        <v>418</v>
      </c>
      <c r="E56" s="226" t="s">
        <v>419</v>
      </c>
      <c r="F56" s="58">
        <f>SUM('SGTO POAI 2020'!BG117:BG118)</f>
        <v>204814218.74000001</v>
      </c>
      <c r="G56" s="58">
        <f>SUM('SGTO POAI 2020'!BH117:BH118)</f>
        <v>46725000</v>
      </c>
      <c r="H56" s="54">
        <f>SUM('SGTO POAI 2020'!BI117:BI118)</f>
        <v>46725000</v>
      </c>
    </row>
    <row r="57" spans="1:12" ht="45" x14ac:dyDescent="0.2">
      <c r="A57" s="121">
        <v>30</v>
      </c>
      <c r="B57" s="688"/>
      <c r="C57" s="683"/>
      <c r="D57" s="53" t="s">
        <v>430</v>
      </c>
      <c r="E57" s="226" t="s">
        <v>431</v>
      </c>
      <c r="F57" s="58">
        <f>'SGTO POAI 2020'!BG119</f>
        <v>18000000</v>
      </c>
      <c r="G57" s="58">
        <f>'SGTO POAI 2020'!BH119</f>
        <v>0</v>
      </c>
      <c r="H57" s="54">
        <f>'SGTO POAI 2020'!BI119</f>
        <v>0</v>
      </c>
    </row>
    <row r="58" spans="1:12" ht="22.5" x14ac:dyDescent="0.2">
      <c r="A58" s="121">
        <v>31</v>
      </c>
      <c r="B58" s="688"/>
      <c r="C58" s="683"/>
      <c r="D58" s="53" t="s">
        <v>437</v>
      </c>
      <c r="E58" s="226" t="s">
        <v>438</v>
      </c>
      <c r="F58" s="58">
        <f>'SGTO POAI 2020'!BG120</f>
        <v>1191684472.2</v>
      </c>
      <c r="G58" s="58">
        <f>'SGTO POAI 2020'!BH120</f>
        <v>0</v>
      </c>
      <c r="H58" s="54">
        <f>'SGTO POAI 2020'!BI120</f>
        <v>0</v>
      </c>
    </row>
    <row r="59" spans="1:12" ht="45.75" thickBot="1" x14ac:dyDescent="0.25">
      <c r="A59" s="121">
        <v>32</v>
      </c>
      <c r="B59" s="684"/>
      <c r="C59" s="227" t="s">
        <v>439</v>
      </c>
      <c r="D59" s="59" t="s">
        <v>445</v>
      </c>
      <c r="E59" s="227" t="s">
        <v>446</v>
      </c>
      <c r="F59" s="60">
        <f>'SGTO POAI 2020'!BG121</f>
        <v>405194764.30000001</v>
      </c>
      <c r="G59" s="60">
        <f>'SGTO POAI 2020'!BH121</f>
        <v>376520000</v>
      </c>
      <c r="H59" s="104">
        <f>'SGTO POAI 2020'!BI121</f>
        <v>376520000</v>
      </c>
    </row>
    <row r="60" spans="1:12" ht="18.75" customHeight="1" thickBot="1" x14ac:dyDescent="0.25">
      <c r="A60" s="121"/>
      <c r="B60" s="670" t="s">
        <v>1354</v>
      </c>
      <c r="C60" s="671"/>
      <c r="D60" s="671"/>
      <c r="E60" s="671"/>
      <c r="F60" s="105">
        <f>SUM(F61:F65)</f>
        <v>2778889071.8499999</v>
      </c>
      <c r="G60" s="105">
        <f>SUM(G61:G65)</f>
        <v>1893684548</v>
      </c>
      <c r="H60" s="105">
        <f>SUM(H61:H65)</f>
        <v>1893684548</v>
      </c>
      <c r="I60" s="57"/>
      <c r="J60" s="57"/>
      <c r="K60" s="57"/>
      <c r="L60" s="57"/>
    </row>
    <row r="61" spans="1:12" ht="32.25" customHeight="1" x14ac:dyDescent="0.2">
      <c r="A61" s="121">
        <v>33</v>
      </c>
      <c r="B61" s="678" t="s">
        <v>2</v>
      </c>
      <c r="C61" s="668" t="s">
        <v>228</v>
      </c>
      <c r="D61" s="91" t="s">
        <v>457</v>
      </c>
      <c r="E61" s="225" t="s">
        <v>458</v>
      </c>
      <c r="F61" s="92">
        <f>SUM('SGTO POAI 2020'!BG127:BG128)</f>
        <v>75000000</v>
      </c>
      <c r="G61" s="92">
        <f>SUM('SGTO POAI 2020'!BH127:BH128)</f>
        <v>27416666</v>
      </c>
      <c r="H61" s="98">
        <f>SUM('SGTO POAI 2020'!BI127:BI128)</f>
        <v>27416666</v>
      </c>
      <c r="I61" s="238"/>
      <c r="J61" s="238"/>
      <c r="K61" s="238"/>
    </row>
    <row r="62" spans="1:12" ht="31.5" customHeight="1" x14ac:dyDescent="0.2">
      <c r="A62" s="121">
        <v>34</v>
      </c>
      <c r="B62" s="678"/>
      <c r="C62" s="683"/>
      <c r="D62" s="53" t="s">
        <v>468</v>
      </c>
      <c r="E62" s="226" t="s">
        <v>469</v>
      </c>
      <c r="F62" s="58">
        <f>SUM('SGTO POAI 2020'!BG129:BG130)</f>
        <v>191600000</v>
      </c>
      <c r="G62" s="58">
        <f>SUM('SGTO POAI 2020'!BH129:BH130)</f>
        <v>165413333</v>
      </c>
      <c r="H62" s="54">
        <f>SUM('SGTO POAI 2020'!BI129:BI130)</f>
        <v>165413333</v>
      </c>
    </row>
    <row r="63" spans="1:12" ht="35.25" customHeight="1" x14ac:dyDescent="0.2">
      <c r="A63" s="121">
        <v>35</v>
      </c>
      <c r="B63" s="678"/>
      <c r="C63" s="683"/>
      <c r="D63" s="53" t="s">
        <v>479</v>
      </c>
      <c r="E63" s="226" t="s">
        <v>480</v>
      </c>
      <c r="F63" s="58">
        <f>SUM('SGTO POAI 2020'!BG131:BG133)</f>
        <v>343007436</v>
      </c>
      <c r="G63" s="58">
        <f>SUM('SGTO POAI 2020'!BH131:BH133)</f>
        <v>290839999</v>
      </c>
      <c r="H63" s="54">
        <f>SUM('SGTO POAI 2020'!BI131:BI133)</f>
        <v>290839999</v>
      </c>
    </row>
    <row r="64" spans="1:12" ht="29.25" customHeight="1" x14ac:dyDescent="0.2">
      <c r="A64" s="121">
        <v>36</v>
      </c>
      <c r="B64" s="678"/>
      <c r="C64" s="683"/>
      <c r="D64" s="53" t="s">
        <v>489</v>
      </c>
      <c r="E64" s="226" t="s">
        <v>490</v>
      </c>
      <c r="F64" s="58">
        <f>'SGTO POAI 2020'!BG134</f>
        <v>933596635.85000002</v>
      </c>
      <c r="G64" s="58">
        <f>'SGTO POAI 2020'!BH134</f>
        <v>283654552</v>
      </c>
      <c r="H64" s="54">
        <f>'SGTO POAI 2020'!BI134</f>
        <v>283654552</v>
      </c>
    </row>
    <row r="65" spans="1:11" ht="54" customHeight="1" thickBot="1" x14ac:dyDescent="0.25">
      <c r="A65" s="121">
        <v>37</v>
      </c>
      <c r="B65" s="689"/>
      <c r="C65" s="94" t="s">
        <v>491</v>
      </c>
      <c r="D65" s="95" t="s">
        <v>496</v>
      </c>
      <c r="E65" s="94" t="s">
        <v>497</v>
      </c>
      <c r="F65" s="96">
        <f>SUM('SGTO POAI 2020'!BG135)</f>
        <v>1235685000</v>
      </c>
      <c r="G65" s="96">
        <f>SUM('SGTO POAI 2020'!BH135)</f>
        <v>1126359998</v>
      </c>
      <c r="H65" s="97">
        <f>SUM('SGTO POAI 2020'!BI135)</f>
        <v>1126359998</v>
      </c>
    </row>
    <row r="66" spans="1:11" ht="20.25" customHeight="1" thickBot="1" x14ac:dyDescent="0.25">
      <c r="A66" s="121"/>
      <c r="B66" s="670" t="s">
        <v>1355</v>
      </c>
      <c r="C66" s="671"/>
      <c r="D66" s="671"/>
      <c r="E66" s="672"/>
      <c r="F66" s="93">
        <f>SUM(F67:F87)</f>
        <v>1704396659.97</v>
      </c>
      <c r="G66" s="93">
        <f>SUM(G67:G87)</f>
        <v>922940601</v>
      </c>
      <c r="H66" s="93">
        <f>SUM(H67:H87)</f>
        <v>913140601</v>
      </c>
      <c r="I66" s="57"/>
      <c r="J66" s="57"/>
      <c r="K66" s="57"/>
    </row>
    <row r="67" spans="1:11" ht="33" customHeight="1" x14ac:dyDescent="0.2">
      <c r="A67" s="121">
        <v>38</v>
      </c>
      <c r="B67" s="678" t="s">
        <v>2</v>
      </c>
      <c r="C67" s="667" t="s">
        <v>511</v>
      </c>
      <c r="D67" s="91" t="s">
        <v>517</v>
      </c>
      <c r="E67" s="225" t="s">
        <v>518</v>
      </c>
      <c r="F67" s="92">
        <f>SUM('SGTO POAI 2020'!BG143:BG144)</f>
        <v>389627523.97000003</v>
      </c>
      <c r="G67" s="92">
        <f>SUM('SGTO POAI 2020'!BH143:BH144)</f>
        <v>160049999</v>
      </c>
      <c r="H67" s="98">
        <f>SUM('SGTO POAI 2020'!BI143:BI144)</f>
        <v>160049999</v>
      </c>
      <c r="I67" s="238"/>
      <c r="J67" s="238"/>
      <c r="K67" s="238"/>
    </row>
    <row r="68" spans="1:11" ht="45.75" customHeight="1" x14ac:dyDescent="0.2">
      <c r="A68" s="121">
        <v>39</v>
      </c>
      <c r="B68" s="678"/>
      <c r="C68" s="667"/>
      <c r="D68" s="53" t="s">
        <v>530</v>
      </c>
      <c r="E68" s="226" t="s">
        <v>531</v>
      </c>
      <c r="F68" s="58">
        <f>'SGTO POAI 2020'!BG145</f>
        <v>110000000</v>
      </c>
      <c r="G68" s="58">
        <f>'SGTO POAI 2020'!BH145</f>
        <v>58633332</v>
      </c>
      <c r="H68" s="54">
        <f>'SGTO POAI 2020'!BI145</f>
        <v>58633332</v>
      </c>
    </row>
    <row r="69" spans="1:11" ht="40.5" customHeight="1" x14ac:dyDescent="0.2">
      <c r="A69" s="121">
        <v>40</v>
      </c>
      <c r="B69" s="678"/>
      <c r="C69" s="667"/>
      <c r="D69" s="53" t="s">
        <v>537</v>
      </c>
      <c r="E69" s="226" t="s">
        <v>538</v>
      </c>
      <c r="F69" s="58">
        <f>SUM('SGTO POAI 2020'!BG146:BG147)</f>
        <v>61400000</v>
      </c>
      <c r="G69" s="58">
        <f>SUM('SGTO POAI 2020'!BH146:BH147)</f>
        <v>59613333</v>
      </c>
      <c r="H69" s="54">
        <f>SUM('SGTO POAI 2020'!BI146:BI147)</f>
        <v>59613333</v>
      </c>
    </row>
    <row r="70" spans="1:11" ht="39" customHeight="1" x14ac:dyDescent="0.2">
      <c r="A70" s="121">
        <v>41</v>
      </c>
      <c r="B70" s="678"/>
      <c r="C70" s="667"/>
      <c r="D70" s="53" t="s">
        <v>1396</v>
      </c>
      <c r="E70" s="226" t="s">
        <v>546</v>
      </c>
      <c r="F70" s="58">
        <f>SUM('SGTO POAI 2020'!BG148:BG149)</f>
        <v>50000000</v>
      </c>
      <c r="G70" s="58">
        <f>SUM('SGTO POAI 2020'!BH148:BH149)</f>
        <v>49933315</v>
      </c>
      <c r="H70" s="54">
        <f>SUM('SGTO POAI 2020'!BI148:BI149)</f>
        <v>49933315</v>
      </c>
    </row>
    <row r="71" spans="1:11" ht="41.25" customHeight="1" x14ac:dyDescent="0.2">
      <c r="A71" s="121">
        <v>42</v>
      </c>
      <c r="B71" s="678"/>
      <c r="C71" s="667"/>
      <c r="D71" s="53" t="s">
        <v>557</v>
      </c>
      <c r="E71" s="226" t="s">
        <v>558</v>
      </c>
      <c r="F71" s="58">
        <f>SUM('SGTO POAI 2020'!BG150:BG152)</f>
        <v>39000000</v>
      </c>
      <c r="G71" s="58">
        <f>SUM('SGTO POAI 2020'!BH150:BH152)</f>
        <v>0</v>
      </c>
      <c r="H71" s="54">
        <f>SUM('SGTO POAI 2020'!BI150:BI152)</f>
        <v>0</v>
      </c>
    </row>
    <row r="72" spans="1:11" ht="38.25" customHeight="1" x14ac:dyDescent="0.2">
      <c r="A72" s="121">
        <v>43</v>
      </c>
      <c r="B72" s="678"/>
      <c r="C72" s="668"/>
      <c r="D72" s="53" t="s">
        <v>570</v>
      </c>
      <c r="E72" s="226" t="s">
        <v>571</v>
      </c>
      <c r="F72" s="58">
        <f>SUM('SGTO POAI 2020'!BG153)</f>
        <v>30000000</v>
      </c>
      <c r="G72" s="58">
        <f>SUM('SGTO POAI 2020'!BH153)</f>
        <v>27341665</v>
      </c>
      <c r="H72" s="54">
        <f>SUM('SGTO POAI 2020'!BI153)</f>
        <v>27341665</v>
      </c>
    </row>
    <row r="73" spans="1:11" ht="56.25" customHeight="1" x14ac:dyDescent="0.2">
      <c r="A73" s="121"/>
      <c r="B73" s="678"/>
      <c r="C73" s="226" t="s">
        <v>572</v>
      </c>
      <c r="D73" s="53" t="s">
        <v>557</v>
      </c>
      <c r="E73" s="226" t="s">
        <v>4</v>
      </c>
      <c r="F73" s="58">
        <f>'SGTO POAI 2020'!BG155</f>
        <v>40000000</v>
      </c>
      <c r="G73" s="58">
        <f>'SGTO POAI 2020'!BH155</f>
        <v>15424999</v>
      </c>
      <c r="H73" s="54">
        <f>'SGTO POAI 2020'!BI155</f>
        <v>15424999</v>
      </c>
    </row>
    <row r="74" spans="1:11" ht="48" customHeight="1" x14ac:dyDescent="0.2">
      <c r="A74" s="121">
        <v>44</v>
      </c>
      <c r="B74" s="678"/>
      <c r="C74" s="226" t="s">
        <v>578</v>
      </c>
      <c r="D74" s="53" t="s">
        <v>584</v>
      </c>
      <c r="E74" s="226" t="s">
        <v>585</v>
      </c>
      <c r="F74" s="58">
        <f>SUM('SGTO POAI 2020'!BG157:BG158)</f>
        <v>40000000</v>
      </c>
      <c r="G74" s="58">
        <f>SUM('SGTO POAI 2020'!BH157:BH158)</f>
        <v>39606648</v>
      </c>
      <c r="H74" s="54">
        <f>SUM('SGTO POAI 2020'!BI157:BI158)</f>
        <v>39606648</v>
      </c>
    </row>
    <row r="75" spans="1:11" ht="45" customHeight="1" x14ac:dyDescent="0.2">
      <c r="A75" s="121"/>
      <c r="B75" s="678"/>
      <c r="C75" s="226" t="s">
        <v>591</v>
      </c>
      <c r="D75" s="53" t="s">
        <v>537</v>
      </c>
      <c r="E75" s="226" t="s">
        <v>538</v>
      </c>
      <c r="F75" s="58">
        <f>'SGTO POAI 2020'!BG160</f>
        <v>12800000</v>
      </c>
      <c r="G75" s="58">
        <f>'SGTO POAI 2020'!BH160</f>
        <v>5000000</v>
      </c>
      <c r="H75" s="54">
        <f>'SGTO POAI 2020'!BI160</f>
        <v>5000000</v>
      </c>
    </row>
    <row r="76" spans="1:11" ht="42" customHeight="1" x14ac:dyDescent="0.2">
      <c r="A76" s="121"/>
      <c r="B76" s="678"/>
      <c r="C76" s="226" t="s">
        <v>597</v>
      </c>
      <c r="D76" s="53" t="s">
        <v>1396</v>
      </c>
      <c r="E76" s="226" t="s">
        <v>5</v>
      </c>
      <c r="F76" s="58">
        <f>'SGTO POAI 2020'!BG162</f>
        <v>50000000</v>
      </c>
      <c r="G76" s="58">
        <f>'SGTO POAI 2020'!BH162</f>
        <v>47223333</v>
      </c>
      <c r="H76" s="54">
        <f>'SGTO POAI 2020'!BI162</f>
        <v>47223333</v>
      </c>
    </row>
    <row r="77" spans="1:11" ht="56.25" customHeight="1" x14ac:dyDescent="0.2">
      <c r="A77" s="121">
        <v>45</v>
      </c>
      <c r="B77" s="678"/>
      <c r="C77" s="226" t="s">
        <v>603</v>
      </c>
      <c r="D77" s="53" t="s">
        <v>608</v>
      </c>
      <c r="E77" s="226" t="s">
        <v>609</v>
      </c>
      <c r="F77" s="58">
        <f>'SGTO POAI 2020'!BG164+'SGTO POAI 2020'!BG165</f>
        <v>30519269</v>
      </c>
      <c r="G77" s="58">
        <f>'SGTO POAI 2020'!BH164+'SGTO POAI 2020'!BH165</f>
        <v>25366665</v>
      </c>
      <c r="H77" s="54">
        <f>'SGTO POAI 2020'!BI164+'SGTO POAI 2020'!BI165</f>
        <v>25366665</v>
      </c>
    </row>
    <row r="78" spans="1:11" ht="42.75" customHeight="1" x14ac:dyDescent="0.2">
      <c r="A78" s="121"/>
      <c r="B78" s="678"/>
      <c r="C78" s="226" t="s">
        <v>220</v>
      </c>
      <c r="D78" s="53" t="s">
        <v>570</v>
      </c>
      <c r="E78" s="226" t="s">
        <v>614</v>
      </c>
      <c r="F78" s="58">
        <f>SUM('SGTO POAI 2020'!BG167:BG168)</f>
        <v>75000000</v>
      </c>
      <c r="G78" s="58">
        <f>SUM('SGTO POAI 2020'!BH167:BH168)</f>
        <v>67845000</v>
      </c>
      <c r="H78" s="54">
        <f>SUM('SGTO POAI 2020'!BI167:BI168)</f>
        <v>67845000</v>
      </c>
    </row>
    <row r="79" spans="1:11" ht="42" customHeight="1" x14ac:dyDescent="0.2">
      <c r="A79" s="121"/>
      <c r="B79" s="687"/>
      <c r="C79" s="226" t="s">
        <v>228</v>
      </c>
      <c r="D79" s="53" t="s">
        <v>537</v>
      </c>
      <c r="E79" s="226" t="s">
        <v>538</v>
      </c>
      <c r="F79" s="58">
        <f>SUM('SGTO POAI 2020'!BG170:BG171)</f>
        <v>40000000</v>
      </c>
      <c r="G79" s="58">
        <f>SUM('SGTO POAI 2020'!BH170:BH171)</f>
        <v>38933333</v>
      </c>
      <c r="H79" s="54">
        <f>SUM('SGTO POAI 2020'!BI170:BI171)</f>
        <v>38933333</v>
      </c>
    </row>
    <row r="80" spans="1:11" ht="56.25" customHeight="1" x14ac:dyDescent="0.2">
      <c r="A80" s="121">
        <v>46</v>
      </c>
      <c r="B80" s="684" t="s">
        <v>3</v>
      </c>
      <c r="C80" s="226" t="s">
        <v>627</v>
      </c>
      <c r="D80" s="53" t="s">
        <v>633</v>
      </c>
      <c r="E80" s="226" t="s">
        <v>634</v>
      </c>
      <c r="F80" s="58">
        <f>SUM('SGTO POAI 2020'!BG174)</f>
        <v>40000000</v>
      </c>
      <c r="G80" s="58">
        <f>SUM('SGTO POAI 2020'!BH174)</f>
        <v>17400000</v>
      </c>
      <c r="H80" s="54">
        <f>SUM('SGTO POAI 2020'!BI174)</f>
        <v>17400000</v>
      </c>
    </row>
    <row r="81" spans="1:11" ht="33" customHeight="1" x14ac:dyDescent="0.2">
      <c r="A81" s="121">
        <v>47</v>
      </c>
      <c r="B81" s="678"/>
      <c r="C81" s="683" t="s">
        <v>241</v>
      </c>
      <c r="D81" s="53" t="s">
        <v>639</v>
      </c>
      <c r="E81" s="226" t="s">
        <v>640</v>
      </c>
      <c r="F81" s="58">
        <f>SUM('SGTO POAI 2020'!BG176)</f>
        <v>80000000</v>
      </c>
      <c r="G81" s="58">
        <f>SUM('SGTO POAI 2020'!BH176)</f>
        <v>49132666</v>
      </c>
      <c r="H81" s="54">
        <f>SUM('SGTO POAI 2020'!BI176)</f>
        <v>49132666</v>
      </c>
    </row>
    <row r="82" spans="1:11" ht="39" customHeight="1" x14ac:dyDescent="0.2">
      <c r="A82" s="121">
        <v>48</v>
      </c>
      <c r="B82" s="678"/>
      <c r="C82" s="683"/>
      <c r="D82" s="53" t="s">
        <v>646</v>
      </c>
      <c r="E82" s="226" t="s">
        <v>647</v>
      </c>
      <c r="F82" s="58">
        <f>SUM('SGTO POAI 2020'!BG177:BG178)</f>
        <v>450049867</v>
      </c>
      <c r="G82" s="58">
        <f>SUM('SGTO POAI 2020'!BH177:BH178)</f>
        <v>159666664</v>
      </c>
      <c r="H82" s="54">
        <f>SUM('SGTO POAI 2020'!BI177:BI178)</f>
        <v>149866664</v>
      </c>
    </row>
    <row r="83" spans="1:11" ht="38.25" customHeight="1" x14ac:dyDescent="0.2">
      <c r="A83" s="121">
        <v>49</v>
      </c>
      <c r="B83" s="678"/>
      <c r="C83" s="683"/>
      <c r="D83" s="53" t="s">
        <v>655</v>
      </c>
      <c r="E83" s="226" t="s">
        <v>656</v>
      </c>
      <c r="F83" s="58">
        <f>SUM('SGTO POAI 2020'!BG179)</f>
        <v>30000000</v>
      </c>
      <c r="G83" s="58">
        <f>SUM('SGTO POAI 2020'!BH179)</f>
        <v>18914999</v>
      </c>
      <c r="H83" s="54">
        <f>SUM('SGTO POAI 2020'!BI179)</f>
        <v>18914999</v>
      </c>
    </row>
    <row r="84" spans="1:11" ht="22.5" x14ac:dyDescent="0.2">
      <c r="A84" s="121">
        <v>50</v>
      </c>
      <c r="B84" s="678"/>
      <c r="C84" s="683"/>
      <c r="D84" s="53" t="s">
        <v>661</v>
      </c>
      <c r="E84" s="226" t="s">
        <v>662</v>
      </c>
      <c r="F84" s="58">
        <f>SUM('SGTO POAI 2020'!BG180)</f>
        <v>40000000</v>
      </c>
      <c r="G84" s="58">
        <f>SUM('SGTO POAI 2020'!BH180)</f>
        <v>21204000</v>
      </c>
      <c r="H84" s="54">
        <f>SUM('SGTO POAI 2020'!BI180)</f>
        <v>21204000</v>
      </c>
    </row>
    <row r="85" spans="1:11" ht="42.75" customHeight="1" x14ac:dyDescent="0.2">
      <c r="A85" s="121">
        <v>51</v>
      </c>
      <c r="B85" s="678"/>
      <c r="C85" s="226" t="s">
        <v>664</v>
      </c>
      <c r="D85" s="53" t="s">
        <v>670</v>
      </c>
      <c r="E85" s="226" t="s">
        <v>671</v>
      </c>
      <c r="F85" s="58">
        <f>SUM('SGTO POAI 2020'!BG182)</f>
        <v>26000000</v>
      </c>
      <c r="G85" s="58">
        <f>SUM('SGTO POAI 2020'!BH182)</f>
        <v>14933333</v>
      </c>
      <c r="H85" s="54">
        <f>SUM('SGTO POAI 2020'!BI182)</f>
        <v>14933333</v>
      </c>
    </row>
    <row r="86" spans="1:11" ht="41.25" customHeight="1" x14ac:dyDescent="0.2">
      <c r="A86" s="121"/>
      <c r="B86" s="678"/>
      <c r="C86" s="226" t="s">
        <v>246</v>
      </c>
      <c r="D86" s="53" t="s">
        <v>661</v>
      </c>
      <c r="E86" s="226" t="s">
        <v>662</v>
      </c>
      <c r="F86" s="58">
        <f>'SGTO POAI 2020'!BG184</f>
        <v>50000000</v>
      </c>
      <c r="G86" s="58">
        <f>'SGTO POAI 2020'!BH184</f>
        <v>26717317</v>
      </c>
      <c r="H86" s="54">
        <f>'SGTO POAI 2020'!BI184</f>
        <v>26717317</v>
      </c>
    </row>
    <row r="87" spans="1:11" ht="56.25" customHeight="1" thickBot="1" x14ac:dyDescent="0.25">
      <c r="A87" s="121">
        <v>52</v>
      </c>
      <c r="B87" s="678"/>
      <c r="C87" s="227" t="s">
        <v>677</v>
      </c>
      <c r="D87" s="59" t="s">
        <v>683</v>
      </c>
      <c r="E87" s="227" t="s">
        <v>6</v>
      </c>
      <c r="F87" s="60">
        <f>'SGTO POAI 2020'!BG186</f>
        <v>20000000</v>
      </c>
      <c r="G87" s="60">
        <f>'SGTO POAI 2020'!BH186</f>
        <v>20000000</v>
      </c>
      <c r="H87" s="104">
        <f>'SGTO POAI 2020'!BI186</f>
        <v>20000000</v>
      </c>
    </row>
    <row r="88" spans="1:11" ht="15.75" customHeight="1" thickBot="1" x14ac:dyDescent="0.25">
      <c r="A88" s="121"/>
      <c r="B88" s="670" t="s">
        <v>1356</v>
      </c>
      <c r="C88" s="671"/>
      <c r="D88" s="671"/>
      <c r="E88" s="672"/>
      <c r="F88" s="102">
        <f>SUM(F89:F91)</f>
        <v>1101267429</v>
      </c>
      <c r="G88" s="102">
        <f>SUM(G89:G91)</f>
        <v>993737924.32999992</v>
      </c>
      <c r="H88" s="102">
        <f>SUM(H89:H91)</f>
        <v>993737924.32999992</v>
      </c>
      <c r="I88" s="57"/>
      <c r="J88" s="57"/>
      <c r="K88" s="57"/>
    </row>
    <row r="89" spans="1:11" ht="33.75" customHeight="1" x14ac:dyDescent="0.2">
      <c r="A89" s="121">
        <v>53</v>
      </c>
      <c r="B89" s="678" t="s">
        <v>82</v>
      </c>
      <c r="C89" s="667" t="s">
        <v>685</v>
      </c>
      <c r="D89" s="91" t="s">
        <v>689</v>
      </c>
      <c r="E89" s="225" t="s">
        <v>690</v>
      </c>
      <c r="F89" s="92">
        <f>'SGTO POAI 2020'!BG190</f>
        <v>255021326</v>
      </c>
      <c r="G89" s="92">
        <f>'SGTO POAI 2020'!BH190</f>
        <v>209417831.32999998</v>
      </c>
      <c r="H89" s="92">
        <f>'SGTO POAI 2020'!BI190</f>
        <v>209417831.32999998</v>
      </c>
    </row>
    <row r="90" spans="1:11" ht="33.75" customHeight="1" x14ac:dyDescent="0.2">
      <c r="A90" s="121">
        <v>54</v>
      </c>
      <c r="B90" s="678"/>
      <c r="C90" s="668"/>
      <c r="D90" s="53" t="s">
        <v>695</v>
      </c>
      <c r="E90" s="226" t="s">
        <v>696</v>
      </c>
      <c r="F90" s="58">
        <f>'SGTO POAI 2020'!BG191</f>
        <v>786246103</v>
      </c>
      <c r="G90" s="58">
        <f>'SGTO POAI 2020'!BH191</f>
        <v>745103430</v>
      </c>
      <c r="H90" s="58">
        <f>'SGTO POAI 2020'!BI191</f>
        <v>745103430</v>
      </c>
    </row>
    <row r="91" spans="1:11" ht="51.75" customHeight="1" thickBot="1" x14ac:dyDescent="0.25">
      <c r="A91" s="121">
        <v>55</v>
      </c>
      <c r="B91" s="678"/>
      <c r="C91" s="227" t="s">
        <v>99</v>
      </c>
      <c r="D91" s="59" t="s">
        <v>700</v>
      </c>
      <c r="E91" s="227" t="s">
        <v>701</v>
      </c>
      <c r="F91" s="60">
        <f>'SGTO POAI 2020'!BG193</f>
        <v>60000000</v>
      </c>
      <c r="G91" s="60">
        <f>'SGTO POAI 2020'!BH193</f>
        <v>39216663</v>
      </c>
      <c r="H91" s="60">
        <f>'SGTO POAI 2020'!BI193</f>
        <v>39216663</v>
      </c>
      <c r="I91" s="238"/>
    </row>
    <row r="92" spans="1:11" s="77" customFormat="1" ht="18" customHeight="1" thickBot="1" x14ac:dyDescent="0.25">
      <c r="A92" s="122"/>
      <c r="B92" s="670" t="s">
        <v>1357</v>
      </c>
      <c r="C92" s="671"/>
      <c r="D92" s="671"/>
      <c r="E92" s="672"/>
      <c r="F92" s="93">
        <f>SUM(F93:F105)</f>
        <v>178324204793.70999</v>
      </c>
      <c r="G92" s="93">
        <f>SUM(G93:G105)</f>
        <v>174269380098.87</v>
      </c>
      <c r="H92" s="93">
        <f>SUM(H93:H105)</f>
        <v>173939597428.87</v>
      </c>
      <c r="I92" s="224"/>
      <c r="J92" s="224"/>
      <c r="K92" s="224"/>
    </row>
    <row r="93" spans="1:11" s="65" customFormat="1" ht="45" x14ac:dyDescent="0.2">
      <c r="A93" s="242">
        <v>56</v>
      </c>
      <c r="B93" s="679" t="s">
        <v>1</v>
      </c>
      <c r="C93" s="680" t="s">
        <v>191</v>
      </c>
      <c r="D93" s="107" t="s">
        <v>708</v>
      </c>
      <c r="E93" s="231" t="s">
        <v>709</v>
      </c>
      <c r="F93" s="108">
        <f>SUM('SGTO POAI 2020'!BG197:BG198)</f>
        <v>20949608404.5</v>
      </c>
      <c r="G93" s="108">
        <f>SUM('SGTO POAI 2020'!BH197:BH198)</f>
        <v>18931490623</v>
      </c>
      <c r="H93" s="246">
        <f>SUM('SGTO POAI 2020'!BI197:BI198)</f>
        <v>18604827953</v>
      </c>
    </row>
    <row r="94" spans="1:11" s="65" customFormat="1" ht="33.75" x14ac:dyDescent="0.2">
      <c r="A94" s="242">
        <v>57</v>
      </c>
      <c r="B94" s="679"/>
      <c r="C94" s="680"/>
      <c r="D94" s="62" t="s">
        <v>720</v>
      </c>
      <c r="E94" s="63" t="s">
        <v>721</v>
      </c>
      <c r="F94" s="64">
        <f>SUM('SGTO POAI 2020'!BG199:BG200)</f>
        <v>1244983412</v>
      </c>
      <c r="G94" s="64">
        <f>SUM('SGTO POAI 2020'!BH199:BH200)</f>
        <v>1233662214</v>
      </c>
      <c r="H94" s="247">
        <f>SUM('SGTO POAI 2020'!BI199:BI200)</f>
        <v>1233662214</v>
      </c>
    </row>
    <row r="95" spans="1:11" s="65" customFormat="1" ht="22.5" x14ac:dyDescent="0.2">
      <c r="A95" s="242">
        <v>58</v>
      </c>
      <c r="B95" s="679"/>
      <c r="C95" s="680"/>
      <c r="D95" s="62" t="s">
        <v>732</v>
      </c>
      <c r="E95" s="63" t="s">
        <v>8</v>
      </c>
      <c r="F95" s="64">
        <f>SUM('SGTO POAI 2020'!BG201)</f>
        <v>150688886883.94</v>
      </c>
      <c r="G95" s="64">
        <f>SUM('SGTO POAI 2020'!BH201)</f>
        <v>150524645780</v>
      </c>
      <c r="H95" s="247">
        <f>SUM('SGTO POAI 2020'!BI201)</f>
        <v>150524645780</v>
      </c>
    </row>
    <row r="96" spans="1:11" s="65" customFormat="1" ht="33.75" x14ac:dyDescent="0.2">
      <c r="A96" s="242">
        <v>59</v>
      </c>
      <c r="B96" s="679"/>
      <c r="C96" s="680"/>
      <c r="D96" s="62" t="s">
        <v>733</v>
      </c>
      <c r="E96" s="63" t="s">
        <v>734</v>
      </c>
      <c r="F96" s="64">
        <f>SUM('SGTO POAI 2020'!BG202)</f>
        <v>2291845202</v>
      </c>
      <c r="G96" s="64">
        <f>SUM('SGTO POAI 2020'!BH202)</f>
        <v>2291845202</v>
      </c>
      <c r="H96" s="247">
        <f>SUM('SGTO POAI 2020'!BI202)</f>
        <v>2288725202</v>
      </c>
    </row>
    <row r="97" spans="1:11" s="65" customFormat="1" ht="45" x14ac:dyDescent="0.2">
      <c r="A97" s="242">
        <v>60</v>
      </c>
      <c r="B97" s="679"/>
      <c r="C97" s="680"/>
      <c r="D97" s="62" t="s">
        <v>740</v>
      </c>
      <c r="E97" s="63" t="s">
        <v>741</v>
      </c>
      <c r="F97" s="64">
        <f>SUM('SGTO POAI 2020'!BG203:BG208)</f>
        <v>2227269475.27</v>
      </c>
      <c r="G97" s="64">
        <f>SUM('SGTO POAI 2020'!BH203:BH208)</f>
        <v>406075886</v>
      </c>
      <c r="H97" s="247">
        <f>SUM('SGTO POAI 2020'!BI203:BI208)</f>
        <v>406075886</v>
      </c>
    </row>
    <row r="98" spans="1:11" s="65" customFormat="1" ht="45" x14ac:dyDescent="0.2">
      <c r="A98" s="242">
        <v>61</v>
      </c>
      <c r="B98" s="679"/>
      <c r="C98" s="680"/>
      <c r="D98" s="62" t="s">
        <v>750</v>
      </c>
      <c r="E98" s="63" t="s">
        <v>751</v>
      </c>
      <c r="F98" s="64">
        <f>SUM('SGTO POAI 2020'!BG209)</f>
        <v>20000000</v>
      </c>
      <c r="G98" s="64">
        <f>SUM('SGTO POAI 2020'!BH209)</f>
        <v>19200000</v>
      </c>
      <c r="H98" s="247">
        <f>SUM('SGTO POAI 2020'!BI209)</f>
        <v>19200000</v>
      </c>
    </row>
    <row r="99" spans="1:11" s="65" customFormat="1" ht="33.75" x14ac:dyDescent="0.2">
      <c r="A99" s="242">
        <v>62</v>
      </c>
      <c r="B99" s="679"/>
      <c r="C99" s="680"/>
      <c r="D99" s="62" t="s">
        <v>752</v>
      </c>
      <c r="E99" s="63" t="s">
        <v>753</v>
      </c>
      <c r="F99" s="64">
        <f>SUM('SGTO POAI 2020'!BG210)</f>
        <v>58500000</v>
      </c>
      <c r="G99" s="64">
        <f>SUM('SGTO POAI 2020'!BH210)</f>
        <v>58500000</v>
      </c>
      <c r="H99" s="247">
        <f>SUM('SGTO POAI 2020'!BI210)</f>
        <v>58500000</v>
      </c>
    </row>
    <row r="100" spans="1:11" s="65" customFormat="1" ht="22.5" x14ac:dyDescent="0.2">
      <c r="A100" s="242">
        <v>63</v>
      </c>
      <c r="B100" s="679"/>
      <c r="C100" s="680"/>
      <c r="D100" s="62" t="s">
        <v>759</v>
      </c>
      <c r="E100" s="63" t="s">
        <v>760</v>
      </c>
      <c r="F100" s="64">
        <f>SUM('SGTO POAI 2020'!BG211)</f>
        <v>40000000</v>
      </c>
      <c r="G100" s="64">
        <f>SUM('SGTO POAI 2020'!BH211)</f>
        <v>39999332.869999997</v>
      </c>
      <c r="H100" s="247">
        <f>SUM('SGTO POAI 2020'!BI211)</f>
        <v>39999332.869999997</v>
      </c>
    </row>
    <row r="101" spans="1:11" ht="33.75" x14ac:dyDescent="0.2">
      <c r="A101" s="242">
        <v>64</v>
      </c>
      <c r="B101" s="679"/>
      <c r="C101" s="680"/>
      <c r="D101" s="62" t="s">
        <v>765</v>
      </c>
      <c r="E101" s="63" t="s">
        <v>766</v>
      </c>
      <c r="F101" s="64">
        <f>SUM('SGTO POAI 2020'!BG212:BG213)</f>
        <v>549272916</v>
      </c>
      <c r="G101" s="64">
        <f>SUM('SGTO POAI 2020'!BH212:BH213)</f>
        <v>549272916</v>
      </c>
      <c r="H101" s="247">
        <f>SUM('SGTO POAI 2020'!BI212:BI213)</f>
        <v>549272916</v>
      </c>
    </row>
    <row r="102" spans="1:11" ht="45" x14ac:dyDescent="0.2">
      <c r="A102" s="242">
        <v>65</v>
      </c>
      <c r="B102" s="679"/>
      <c r="C102" s="680"/>
      <c r="D102" s="62" t="s">
        <v>773</v>
      </c>
      <c r="E102" s="63" t="s">
        <v>774</v>
      </c>
      <c r="F102" s="64">
        <f>SUM('SGTO POAI 2020'!BG214:BG216)</f>
        <v>0</v>
      </c>
      <c r="G102" s="64">
        <f>SUM('SGTO POAI 2020'!BH214:BH216)</f>
        <v>0</v>
      </c>
      <c r="H102" s="247">
        <f>SUM('SGTO POAI 2020'!BI214:BI216)</f>
        <v>0</v>
      </c>
    </row>
    <row r="103" spans="1:11" ht="33.75" x14ac:dyDescent="0.2">
      <c r="A103" s="242">
        <v>66</v>
      </c>
      <c r="B103" s="679"/>
      <c r="C103" s="681"/>
      <c r="D103" s="62" t="s">
        <v>785</v>
      </c>
      <c r="E103" s="63" t="s">
        <v>7</v>
      </c>
      <c r="F103" s="64">
        <f>SUM('SGTO POAI 2020'!BG217)</f>
        <v>10000000</v>
      </c>
      <c r="G103" s="64">
        <f>SUM('SGTO POAI 2020'!BH217)</f>
        <v>0</v>
      </c>
      <c r="H103" s="247">
        <f>SUM('SGTO POAI 2020'!BI217)</f>
        <v>0</v>
      </c>
    </row>
    <row r="104" spans="1:11" ht="33.75" x14ac:dyDescent="0.2">
      <c r="A104" s="242">
        <v>67</v>
      </c>
      <c r="B104" s="679"/>
      <c r="C104" s="682" t="s">
        <v>786</v>
      </c>
      <c r="D104" s="62" t="s">
        <v>752</v>
      </c>
      <c r="E104" s="63" t="s">
        <v>792</v>
      </c>
      <c r="F104" s="64">
        <f>SUM('SGTO POAI 2020'!BG219)</f>
        <v>43838500</v>
      </c>
      <c r="G104" s="64">
        <f>SUM('SGTO POAI 2020'!BH219)</f>
        <v>43838500</v>
      </c>
      <c r="H104" s="247">
        <f>SUM('SGTO POAI 2020'!BI219)</f>
        <v>43838500</v>
      </c>
    </row>
    <row r="105" spans="1:11" ht="45.75" thickBot="1" x14ac:dyDescent="0.25">
      <c r="A105" s="242">
        <v>68</v>
      </c>
      <c r="B105" s="679"/>
      <c r="C105" s="680"/>
      <c r="D105" s="109" t="s">
        <v>793</v>
      </c>
      <c r="E105" s="232" t="s">
        <v>794</v>
      </c>
      <c r="F105" s="110">
        <f>SUM('SGTO POAI 2020'!BG220)</f>
        <v>200000000</v>
      </c>
      <c r="G105" s="110">
        <f>SUM('SGTO POAI 2020'!BH220)</f>
        <v>170849645</v>
      </c>
      <c r="H105" s="248">
        <f>SUM('SGTO POAI 2020'!BI220)</f>
        <v>170849645</v>
      </c>
    </row>
    <row r="106" spans="1:11" ht="19.5" customHeight="1" thickBot="1" x14ac:dyDescent="0.25">
      <c r="A106" s="121"/>
      <c r="B106" s="670" t="s">
        <v>1358</v>
      </c>
      <c r="C106" s="671"/>
      <c r="D106" s="671"/>
      <c r="E106" s="671"/>
      <c r="F106" s="105">
        <f>SUM(F107:F131)</f>
        <v>5933774901.3899994</v>
      </c>
      <c r="G106" s="105">
        <f>SUM(G107:G131)</f>
        <v>4791921765</v>
      </c>
      <c r="H106" s="105">
        <f>SUM(H107:H131)</f>
        <v>4791921765</v>
      </c>
      <c r="I106" s="57"/>
      <c r="J106" s="57"/>
      <c r="K106" s="57"/>
    </row>
    <row r="107" spans="1:11" ht="45" x14ac:dyDescent="0.2">
      <c r="A107" s="121">
        <v>69</v>
      </c>
      <c r="B107" s="678" t="s">
        <v>796</v>
      </c>
      <c r="C107" s="225" t="s">
        <v>797</v>
      </c>
      <c r="D107" s="91" t="s">
        <v>803</v>
      </c>
      <c r="E107" s="225" t="s">
        <v>804</v>
      </c>
      <c r="F107" s="92">
        <f>'SGTO POAI 2020'!BG223</f>
        <v>54477635</v>
      </c>
      <c r="G107" s="92">
        <f>'SGTO POAI 2020'!BH223</f>
        <v>37120473</v>
      </c>
      <c r="H107" s="98">
        <f>'SGTO POAI 2020'!BI223</f>
        <v>37120473</v>
      </c>
    </row>
    <row r="108" spans="1:11" ht="33.75" x14ac:dyDescent="0.2">
      <c r="A108" s="121">
        <v>70</v>
      </c>
      <c r="B108" s="678"/>
      <c r="C108" s="226" t="s">
        <v>201</v>
      </c>
      <c r="D108" s="53" t="s">
        <v>813</v>
      </c>
      <c r="E108" s="226" t="s">
        <v>814</v>
      </c>
      <c r="F108" s="58">
        <f>'SGTO POAI 2020'!BG227</f>
        <v>47000000</v>
      </c>
      <c r="G108" s="58">
        <f>'SGTO POAI 2020'!BH227</f>
        <v>32133333</v>
      </c>
      <c r="H108" s="54">
        <f>'SGTO POAI 2020'!BI227</f>
        <v>32133333</v>
      </c>
    </row>
    <row r="109" spans="1:11" ht="33.75" x14ac:dyDescent="0.2">
      <c r="A109" s="121">
        <v>71</v>
      </c>
      <c r="B109" s="678"/>
      <c r="C109" s="683" t="s">
        <v>815</v>
      </c>
      <c r="D109" s="53" t="s">
        <v>820</v>
      </c>
      <c r="E109" s="226" t="s">
        <v>821</v>
      </c>
      <c r="F109" s="58">
        <f>SUM('SGTO POAI 2020'!BG229:BG230)</f>
        <v>55000000</v>
      </c>
      <c r="G109" s="58">
        <f>SUM('SGTO POAI 2020'!BH229:BH230)</f>
        <v>27199999</v>
      </c>
      <c r="H109" s="54">
        <f>SUM('SGTO POAI 2020'!BI229:BI230)</f>
        <v>27199999</v>
      </c>
    </row>
    <row r="110" spans="1:11" ht="22.5" x14ac:dyDescent="0.2">
      <c r="A110" s="121">
        <v>72</v>
      </c>
      <c r="B110" s="678"/>
      <c r="C110" s="683"/>
      <c r="D110" s="53" t="s">
        <v>832</v>
      </c>
      <c r="E110" s="226" t="s">
        <v>833</v>
      </c>
      <c r="F110" s="58">
        <f>'SGTO POAI 2020'!BG231</f>
        <v>79896166</v>
      </c>
      <c r="G110" s="58">
        <f>'SGTO POAI 2020'!BH231</f>
        <v>73513266</v>
      </c>
      <c r="H110" s="54">
        <f>'SGTO POAI 2020'!BI231</f>
        <v>73513266</v>
      </c>
    </row>
    <row r="111" spans="1:11" ht="33.75" x14ac:dyDescent="0.2">
      <c r="A111" s="121">
        <v>73</v>
      </c>
      <c r="B111" s="678"/>
      <c r="C111" s="683"/>
      <c r="D111" s="53" t="s">
        <v>839</v>
      </c>
      <c r="E111" s="226" t="s">
        <v>840</v>
      </c>
      <c r="F111" s="58">
        <f>'SGTO POAI 2020'!BG232</f>
        <v>430000000</v>
      </c>
      <c r="G111" s="58">
        <f>'SGTO POAI 2020'!BH232</f>
        <v>408228779</v>
      </c>
      <c r="H111" s="54">
        <f>'SGTO POAI 2020'!BI232</f>
        <v>408228779</v>
      </c>
    </row>
    <row r="112" spans="1:11" ht="33.75" x14ac:dyDescent="0.2">
      <c r="A112" s="121"/>
      <c r="B112" s="678"/>
      <c r="C112" s="683"/>
      <c r="D112" s="53" t="s">
        <v>813</v>
      </c>
      <c r="E112" s="226" t="s">
        <v>814</v>
      </c>
      <c r="F112" s="58">
        <f>'SGTO POAI 2020'!BG233</f>
        <v>40401666</v>
      </c>
      <c r="G112" s="58">
        <f>'SGTO POAI 2020'!BH233</f>
        <v>40401666</v>
      </c>
      <c r="H112" s="54">
        <f>'SGTO POAI 2020'!BI233</f>
        <v>40401666</v>
      </c>
    </row>
    <row r="113" spans="1:8" s="66" customFormat="1" ht="56.25" x14ac:dyDescent="0.25">
      <c r="A113" s="121">
        <v>74</v>
      </c>
      <c r="B113" s="678"/>
      <c r="C113" s="683"/>
      <c r="D113" s="53" t="s">
        <v>851</v>
      </c>
      <c r="E113" s="226" t="s">
        <v>852</v>
      </c>
      <c r="F113" s="58">
        <f>SUM('SGTO POAI 2020'!BG234)</f>
        <v>13000000</v>
      </c>
      <c r="G113" s="58">
        <f>SUM('SGTO POAI 2020'!BH234)</f>
        <v>8400000</v>
      </c>
      <c r="H113" s="54">
        <f>SUM('SGTO POAI 2020'!BI234)</f>
        <v>8400000</v>
      </c>
    </row>
    <row r="114" spans="1:8" s="66" customFormat="1" ht="45" x14ac:dyDescent="0.25">
      <c r="A114" s="121">
        <v>75</v>
      </c>
      <c r="B114" s="678"/>
      <c r="C114" s="683"/>
      <c r="D114" s="67" t="s">
        <v>858</v>
      </c>
      <c r="E114" s="226" t="s">
        <v>859</v>
      </c>
      <c r="F114" s="58">
        <f>'SGTO POAI 2020'!BG235</f>
        <v>55000000</v>
      </c>
      <c r="G114" s="58">
        <f>'SGTO POAI 2020'!BH235</f>
        <v>9813333</v>
      </c>
      <c r="H114" s="54">
        <f>'SGTO POAI 2020'!BI235</f>
        <v>9813333</v>
      </c>
    </row>
    <row r="115" spans="1:8" s="66" customFormat="1" ht="56.25" x14ac:dyDescent="0.25">
      <c r="A115" s="121">
        <v>76</v>
      </c>
      <c r="B115" s="678"/>
      <c r="C115" s="683"/>
      <c r="D115" s="53" t="s">
        <v>865</v>
      </c>
      <c r="E115" s="226" t="s">
        <v>866</v>
      </c>
      <c r="F115" s="58">
        <f>'SGTO POAI 2020'!BG236</f>
        <v>14000000</v>
      </c>
      <c r="G115" s="58">
        <f>'SGTO POAI 2020'!BH236</f>
        <v>8680000</v>
      </c>
      <c r="H115" s="54">
        <f>'SGTO POAI 2020'!BI236</f>
        <v>8680000</v>
      </c>
    </row>
    <row r="116" spans="1:8" s="66" customFormat="1" ht="33.75" x14ac:dyDescent="0.25">
      <c r="A116" s="121"/>
      <c r="B116" s="678"/>
      <c r="C116" s="683" t="s">
        <v>340</v>
      </c>
      <c r="D116" s="53" t="s">
        <v>813</v>
      </c>
      <c r="E116" s="226" t="s">
        <v>814</v>
      </c>
      <c r="F116" s="58">
        <f>'SGTO POAI 2020'!BG238</f>
        <v>27000000</v>
      </c>
      <c r="G116" s="58">
        <f>'SGTO POAI 2020'!BH238</f>
        <v>9826667</v>
      </c>
      <c r="H116" s="54">
        <f>'SGTO POAI 2020'!BI238</f>
        <v>9826667</v>
      </c>
    </row>
    <row r="117" spans="1:8" ht="33.75" x14ac:dyDescent="0.2">
      <c r="A117" s="121">
        <v>77</v>
      </c>
      <c r="B117" s="678"/>
      <c r="C117" s="683"/>
      <c r="D117" s="53" t="s">
        <v>874</v>
      </c>
      <c r="E117" s="68" t="s">
        <v>875</v>
      </c>
      <c r="F117" s="58">
        <f>'SGTO POAI 2020'!BG239</f>
        <v>44520000</v>
      </c>
      <c r="G117" s="58">
        <f>'SGTO POAI 2020'!BH239</f>
        <v>44520000</v>
      </c>
      <c r="H117" s="54">
        <f>'SGTO POAI 2020'!BI239</f>
        <v>44520000</v>
      </c>
    </row>
    <row r="118" spans="1:8" ht="56.25" x14ac:dyDescent="0.2">
      <c r="A118" s="121"/>
      <c r="B118" s="678"/>
      <c r="C118" s="683"/>
      <c r="D118" s="53" t="s">
        <v>851</v>
      </c>
      <c r="E118" s="226" t="s">
        <v>852</v>
      </c>
      <c r="F118" s="58">
        <f>'SGTO POAI 2020'!BG240</f>
        <v>25000000</v>
      </c>
      <c r="G118" s="58">
        <f>'SGTO POAI 2020'!BH240</f>
        <v>15674999</v>
      </c>
      <c r="H118" s="54">
        <f>'SGTO POAI 2020'!BI240</f>
        <v>15674999</v>
      </c>
    </row>
    <row r="119" spans="1:8" ht="33.75" x14ac:dyDescent="0.2">
      <c r="A119" s="121">
        <v>78</v>
      </c>
      <c r="B119" s="678"/>
      <c r="C119" s="683"/>
      <c r="D119" s="67" t="s">
        <v>885</v>
      </c>
      <c r="E119" s="226" t="s">
        <v>886</v>
      </c>
      <c r="F119" s="58">
        <f>'SGTO POAI 2020'!BG241</f>
        <v>27000000</v>
      </c>
      <c r="G119" s="58">
        <f>'SGTO POAI 2020'!BH241</f>
        <v>0</v>
      </c>
      <c r="H119" s="54">
        <f>'SGTO POAI 2020'!BI241</f>
        <v>0</v>
      </c>
    </row>
    <row r="120" spans="1:8" ht="45" x14ac:dyDescent="0.2">
      <c r="A120" s="121">
        <v>79</v>
      </c>
      <c r="B120" s="678"/>
      <c r="C120" s="683"/>
      <c r="D120" s="67" t="s">
        <v>892</v>
      </c>
      <c r="E120" s="226" t="s">
        <v>893</v>
      </c>
      <c r="F120" s="58">
        <f>SUM('SGTO POAI 2020'!BG242:BG243)</f>
        <v>79500000</v>
      </c>
      <c r="G120" s="58">
        <f>SUM('SGTO POAI 2020'!BH242:BH243)</f>
        <v>79500000</v>
      </c>
      <c r="H120" s="54">
        <f>SUM('SGTO POAI 2020'!BI242:BI243)</f>
        <v>79500000</v>
      </c>
    </row>
    <row r="121" spans="1:8" ht="33.75" x14ac:dyDescent="0.2">
      <c r="A121" s="121">
        <v>80</v>
      </c>
      <c r="B121" s="678"/>
      <c r="C121" s="683"/>
      <c r="D121" s="67" t="s">
        <v>902</v>
      </c>
      <c r="E121" s="226" t="s">
        <v>903</v>
      </c>
      <c r="F121" s="58">
        <f>'SGTO POAI 2020'!BG244</f>
        <v>30000000</v>
      </c>
      <c r="G121" s="58">
        <f>'SGTO POAI 2020'!BH244</f>
        <v>18318654</v>
      </c>
      <c r="H121" s="54">
        <f>'SGTO POAI 2020'!BI244</f>
        <v>18318654</v>
      </c>
    </row>
    <row r="122" spans="1:8" ht="33.75" x14ac:dyDescent="0.2">
      <c r="A122" s="121"/>
      <c r="B122" s="678"/>
      <c r="C122" s="669" t="s">
        <v>904</v>
      </c>
      <c r="D122" s="67" t="s">
        <v>885</v>
      </c>
      <c r="E122" s="226" t="s">
        <v>886</v>
      </c>
      <c r="F122" s="58">
        <f>SUM('SGTO POAI 2020'!BG246:BG247)</f>
        <v>39000000</v>
      </c>
      <c r="G122" s="58">
        <f>SUM('SGTO POAI 2020'!BH246:BH247)</f>
        <v>13973304</v>
      </c>
      <c r="H122" s="54">
        <f>SUM('SGTO POAI 2020'!BI246:BI247)</f>
        <v>13973304</v>
      </c>
    </row>
    <row r="123" spans="1:8" ht="33.75" x14ac:dyDescent="0.2">
      <c r="A123" s="121">
        <v>81</v>
      </c>
      <c r="B123" s="678"/>
      <c r="C123" s="667"/>
      <c r="D123" s="67" t="s">
        <v>918</v>
      </c>
      <c r="E123" s="226" t="s">
        <v>919</v>
      </c>
      <c r="F123" s="58">
        <f>'SGTO POAI 2020'!BG248</f>
        <v>18000000</v>
      </c>
      <c r="G123" s="58">
        <f>'SGTO POAI 2020'!BH248</f>
        <v>14666666</v>
      </c>
      <c r="H123" s="54">
        <f>'SGTO POAI 2020'!BI248</f>
        <v>14666666</v>
      </c>
    </row>
    <row r="124" spans="1:8" ht="22.5" x14ac:dyDescent="0.2">
      <c r="A124" s="121">
        <v>82</v>
      </c>
      <c r="B124" s="678"/>
      <c r="C124" s="667"/>
      <c r="D124" s="67" t="s">
        <v>925</v>
      </c>
      <c r="E124" s="226" t="s">
        <v>926</v>
      </c>
      <c r="F124" s="58">
        <f>'SGTO POAI 2020'!BG249</f>
        <v>83980000</v>
      </c>
      <c r="G124" s="58">
        <f>'SGTO POAI 2020'!BH249</f>
        <v>65577446</v>
      </c>
      <c r="H124" s="54">
        <f>'SGTO POAI 2020'!BI249</f>
        <v>65577446</v>
      </c>
    </row>
    <row r="125" spans="1:8" ht="22.5" x14ac:dyDescent="0.2">
      <c r="A125" s="121">
        <v>83</v>
      </c>
      <c r="B125" s="678"/>
      <c r="C125" s="667"/>
      <c r="D125" s="67" t="s">
        <v>932</v>
      </c>
      <c r="E125" s="226" t="s">
        <v>933</v>
      </c>
      <c r="F125" s="58">
        <f>'SGTO POAI 2020'!BG250</f>
        <v>79725000</v>
      </c>
      <c r="G125" s="58">
        <f>'SGTO POAI 2020'!BH250</f>
        <v>65314249</v>
      </c>
      <c r="H125" s="54">
        <f>'SGTO POAI 2020'!BI250</f>
        <v>65314249</v>
      </c>
    </row>
    <row r="126" spans="1:8" ht="22.5" x14ac:dyDescent="0.2">
      <c r="A126" s="121">
        <v>84</v>
      </c>
      <c r="B126" s="678"/>
      <c r="C126" s="667"/>
      <c r="D126" s="67" t="s">
        <v>938</v>
      </c>
      <c r="E126" s="226" t="s">
        <v>939</v>
      </c>
      <c r="F126" s="58">
        <f>SUM('SGTO POAI 2020'!BG251:BG253)</f>
        <v>4402478159.3899994</v>
      </c>
      <c r="G126" s="58">
        <f>SUM('SGTO POAI 2020'!BH251:BH253)</f>
        <v>3759322831</v>
      </c>
      <c r="H126" s="54">
        <f>SUM('SGTO POAI 2020'!BI251:BI253)</f>
        <v>3759322831</v>
      </c>
    </row>
    <row r="127" spans="1:8" ht="33.75" x14ac:dyDescent="0.2">
      <c r="A127" s="121">
        <v>85</v>
      </c>
      <c r="B127" s="678"/>
      <c r="C127" s="668"/>
      <c r="D127" s="67" t="s">
        <v>953</v>
      </c>
      <c r="E127" s="226" t="s">
        <v>954</v>
      </c>
      <c r="F127" s="58">
        <f>'SGTO POAI 2020'!BG254</f>
        <v>168796275</v>
      </c>
      <c r="G127" s="58">
        <f>'SGTO POAI 2020'!BH254</f>
        <v>59736100</v>
      </c>
      <c r="H127" s="54">
        <f>'SGTO POAI 2020'!BI254</f>
        <v>59736100</v>
      </c>
    </row>
    <row r="128" spans="1:8" ht="67.5" x14ac:dyDescent="0.2">
      <c r="A128" s="121">
        <v>86</v>
      </c>
      <c r="B128" s="678"/>
      <c r="C128" s="669" t="s">
        <v>348</v>
      </c>
      <c r="D128" s="67" t="s">
        <v>958</v>
      </c>
      <c r="E128" s="226" t="s">
        <v>959</v>
      </c>
      <c r="F128" s="58">
        <f>'SGTO POAI 2020'!BG256</f>
        <v>40000000</v>
      </c>
      <c r="G128" s="58">
        <f>'SGTO POAI 2020'!BH256</f>
        <v>0</v>
      </c>
      <c r="H128" s="54">
        <f>'SGTO POAI 2020'!BI256</f>
        <v>0</v>
      </c>
    </row>
    <row r="129" spans="1:11" ht="22.5" x14ac:dyDescent="0.2">
      <c r="A129" s="121">
        <v>87</v>
      </c>
      <c r="B129" s="678"/>
      <c r="C129" s="667"/>
      <c r="D129" s="69" t="s">
        <v>962</v>
      </c>
      <c r="E129" s="227" t="s">
        <v>963</v>
      </c>
      <c r="F129" s="60">
        <f>'SGTO POAI 2020'!BG257</f>
        <v>40000000</v>
      </c>
      <c r="G129" s="60">
        <f>'SGTO POAI 2020'!BH257</f>
        <v>0</v>
      </c>
      <c r="H129" s="104">
        <f>'SGTO POAI 2020'!BI257</f>
        <v>0</v>
      </c>
    </row>
    <row r="130" spans="1:11" ht="45" x14ac:dyDescent="0.2">
      <c r="A130" s="121"/>
      <c r="B130" s="374" t="s">
        <v>2</v>
      </c>
      <c r="C130" s="226" t="s">
        <v>964</v>
      </c>
      <c r="D130" s="67" t="s">
        <v>858</v>
      </c>
      <c r="E130" s="226" t="s">
        <v>970</v>
      </c>
      <c r="F130" s="58">
        <f>'SGTO POAI 2020'!BG260</f>
        <v>25000000</v>
      </c>
      <c r="G130" s="58">
        <f>'SGTO POAI 2020'!BH260</f>
        <v>0</v>
      </c>
      <c r="H130" s="54">
        <f>'SGTO POAI 2020'!BI260</f>
        <v>0</v>
      </c>
    </row>
    <row r="131" spans="1:11" ht="68.25" thickBot="1" x14ac:dyDescent="0.25">
      <c r="A131" s="121"/>
      <c r="B131" s="233" t="s">
        <v>108</v>
      </c>
      <c r="C131" s="227" t="s">
        <v>99</v>
      </c>
      <c r="D131" s="69" t="s">
        <v>958</v>
      </c>
      <c r="E131" s="227" t="s">
        <v>959</v>
      </c>
      <c r="F131" s="60">
        <f>'SGTO POAI 2020'!BG263</f>
        <v>15000000</v>
      </c>
      <c r="G131" s="60">
        <f>'SGTO POAI 2020'!BH263</f>
        <v>0</v>
      </c>
      <c r="H131" s="104">
        <f>'SGTO POAI 2020'!BI263</f>
        <v>0</v>
      </c>
    </row>
    <row r="132" spans="1:11" ht="20.25" customHeight="1" thickBot="1" x14ac:dyDescent="0.25">
      <c r="A132" s="121"/>
      <c r="B132" s="105" t="s">
        <v>1359</v>
      </c>
      <c r="C132" s="256"/>
      <c r="D132" s="100"/>
      <c r="E132" s="100"/>
      <c r="F132" s="105">
        <f>SUM(F133:F157)</f>
        <v>49515588163.32</v>
      </c>
      <c r="G132" s="105">
        <f>SUM(G133:G157)</f>
        <v>42853606184.770004</v>
      </c>
      <c r="H132" s="105">
        <f>SUM(H133:H157)</f>
        <v>42307722381.770004</v>
      </c>
      <c r="I132" s="57"/>
      <c r="J132" s="57"/>
      <c r="K132" s="57"/>
    </row>
    <row r="133" spans="1:11" ht="22.5" x14ac:dyDescent="0.2">
      <c r="A133" s="121">
        <v>88</v>
      </c>
      <c r="B133" s="673" t="s">
        <v>975</v>
      </c>
      <c r="C133" s="667" t="s">
        <v>976</v>
      </c>
      <c r="D133" s="91" t="s">
        <v>981</v>
      </c>
      <c r="E133" s="225" t="s">
        <v>10</v>
      </c>
      <c r="F133" s="92">
        <f>'SGTO POAI 2020'!BG267</f>
        <v>50000000</v>
      </c>
      <c r="G133" s="92">
        <f>'SGTO POAI 2020'!BH267</f>
        <v>5600000</v>
      </c>
      <c r="H133" s="98">
        <f>'SGTO POAI 2020'!BI267</f>
        <v>5600000</v>
      </c>
    </row>
    <row r="134" spans="1:11" ht="22.5" x14ac:dyDescent="0.2">
      <c r="A134" s="121">
        <v>89</v>
      </c>
      <c r="B134" s="673"/>
      <c r="C134" s="667"/>
      <c r="D134" s="53" t="s">
        <v>986</v>
      </c>
      <c r="E134" s="226" t="s">
        <v>987</v>
      </c>
      <c r="F134" s="58">
        <f>SUM('SGTO POAI 2020'!BG268:BG274)</f>
        <v>1314628216.8600001</v>
      </c>
      <c r="G134" s="58">
        <f>SUM('SGTO POAI 2020'!BH268:BH274)</f>
        <v>851725784</v>
      </c>
      <c r="H134" s="54">
        <f>SUM('SGTO POAI 2020'!BI268:BI274)</f>
        <v>851725784</v>
      </c>
    </row>
    <row r="135" spans="1:11" ht="33.75" x14ac:dyDescent="0.2">
      <c r="A135" s="121">
        <v>90</v>
      </c>
      <c r="B135" s="673"/>
      <c r="C135" s="667"/>
      <c r="D135" s="53" t="s">
        <v>1016</v>
      </c>
      <c r="E135" s="226" t="s">
        <v>1017</v>
      </c>
      <c r="F135" s="58">
        <f>SUM('SGTO POAI 2020'!BG275:BG276)</f>
        <v>315470000</v>
      </c>
      <c r="G135" s="58">
        <f>SUM('SGTO POAI 2020'!BH275:BH276)</f>
        <v>207006657</v>
      </c>
      <c r="H135" s="54">
        <f>SUM('SGTO POAI 2020'!BI275:BI276)</f>
        <v>207006657</v>
      </c>
    </row>
    <row r="136" spans="1:11" ht="33.75" x14ac:dyDescent="0.2">
      <c r="A136" s="121">
        <v>91</v>
      </c>
      <c r="B136" s="673"/>
      <c r="C136" s="667"/>
      <c r="D136" s="53" t="s">
        <v>1027</v>
      </c>
      <c r="E136" s="226" t="s">
        <v>1028</v>
      </c>
      <c r="F136" s="58">
        <f>SUM('SGTO POAI 2020'!BG277:BG279)</f>
        <v>1079211718</v>
      </c>
      <c r="G136" s="58">
        <f>SUM('SGTO POAI 2020'!BH277:BH279)</f>
        <v>706546121</v>
      </c>
      <c r="H136" s="54">
        <f>SUM('SGTO POAI 2020'!BI277:BI279)</f>
        <v>673467829</v>
      </c>
    </row>
    <row r="137" spans="1:11" ht="22.5" x14ac:dyDescent="0.2">
      <c r="A137" s="121">
        <v>92</v>
      </c>
      <c r="B137" s="673"/>
      <c r="C137" s="667"/>
      <c r="D137" s="53" t="s">
        <v>1039</v>
      </c>
      <c r="E137" s="226" t="s">
        <v>1040</v>
      </c>
      <c r="F137" s="58">
        <f>SUM('SGTO POAI 2020'!BG280)</f>
        <v>636000000</v>
      </c>
      <c r="G137" s="58">
        <f>SUM('SGTO POAI 2020'!BH280)</f>
        <v>431769077</v>
      </c>
      <c r="H137" s="54">
        <f>SUM('SGTO POAI 2020'!BI280)</f>
        <v>431769077</v>
      </c>
    </row>
    <row r="138" spans="1:11" ht="33.75" x14ac:dyDescent="0.2">
      <c r="A138" s="121">
        <v>93</v>
      </c>
      <c r="B138" s="673"/>
      <c r="C138" s="667"/>
      <c r="D138" s="53" t="s">
        <v>1044</v>
      </c>
      <c r="E138" s="226" t="s">
        <v>1045</v>
      </c>
      <c r="F138" s="58">
        <f>SUM('SGTO POAI 2020'!BG281)</f>
        <v>96954000</v>
      </c>
      <c r="G138" s="58">
        <f>SUM('SGTO POAI 2020'!BH281)</f>
        <v>56840000</v>
      </c>
      <c r="H138" s="54">
        <f>SUM('SGTO POAI 2020'!BI281)</f>
        <v>56840000</v>
      </c>
    </row>
    <row r="139" spans="1:11" ht="33.75" x14ac:dyDescent="0.2">
      <c r="A139" s="121">
        <v>94</v>
      </c>
      <c r="B139" s="673"/>
      <c r="C139" s="667"/>
      <c r="D139" s="53" t="s">
        <v>1049</v>
      </c>
      <c r="E139" s="226" t="s">
        <v>1050</v>
      </c>
      <c r="F139" s="58">
        <f>SUM('SGTO POAI 2020'!BG282:BG285)</f>
        <v>64636000</v>
      </c>
      <c r="G139" s="58">
        <f>SUM('SGTO POAI 2020'!BH282:BH285)</f>
        <v>53714666</v>
      </c>
      <c r="H139" s="54">
        <f>SUM('SGTO POAI 2020'!BI282:BI285)</f>
        <v>53714666</v>
      </c>
    </row>
    <row r="140" spans="1:11" ht="22.5" x14ac:dyDescent="0.2">
      <c r="A140" s="121">
        <v>95</v>
      </c>
      <c r="B140" s="673"/>
      <c r="C140" s="668"/>
      <c r="D140" s="53" t="s">
        <v>1062</v>
      </c>
      <c r="E140" s="226" t="s">
        <v>1063</v>
      </c>
      <c r="F140" s="58">
        <f>SUM('SGTO POAI 2020'!BG286:BG289)</f>
        <v>150000000</v>
      </c>
      <c r="G140" s="58">
        <f>SUM('SGTO POAI 2020'!BH286:BH289)</f>
        <v>37586667</v>
      </c>
      <c r="H140" s="54">
        <f>SUM('SGTO POAI 2020'!BI286:BI289)</f>
        <v>37586667</v>
      </c>
    </row>
    <row r="141" spans="1:11" ht="22.5" x14ac:dyDescent="0.2">
      <c r="A141" s="121"/>
      <c r="B141" s="673"/>
      <c r="C141" s="669" t="s">
        <v>797</v>
      </c>
      <c r="D141" s="53" t="s">
        <v>981</v>
      </c>
      <c r="E141" s="226" t="s">
        <v>10</v>
      </c>
      <c r="F141" s="58">
        <f>SUM('SGTO POAI 2020'!BG291:BG292)</f>
        <v>68000000</v>
      </c>
      <c r="G141" s="58">
        <f>SUM('SGTO POAI 2020'!BH291:BH292)</f>
        <v>54613332</v>
      </c>
      <c r="H141" s="54">
        <f>SUM('SGTO POAI 2020'!BI291:BI292)</f>
        <v>54613332</v>
      </c>
    </row>
    <row r="142" spans="1:11" ht="23.25" customHeight="1" x14ac:dyDescent="0.2">
      <c r="A142" s="121">
        <v>96</v>
      </c>
      <c r="B142" s="673"/>
      <c r="C142" s="667"/>
      <c r="D142" s="53" t="s">
        <v>1087</v>
      </c>
      <c r="E142" s="226" t="s">
        <v>1088</v>
      </c>
      <c r="F142" s="58">
        <f>SUM('SGTO POAI 2020'!BG293:BG299)</f>
        <v>155000000</v>
      </c>
      <c r="G142" s="58">
        <f>SUM('SGTO POAI 2020'!BH293:BH299)</f>
        <v>73486665</v>
      </c>
      <c r="H142" s="54">
        <f>SUM('SGTO POAI 2020'!BI293:BI299)</f>
        <v>73486665</v>
      </c>
    </row>
    <row r="143" spans="1:11" ht="33.75" x14ac:dyDescent="0.2">
      <c r="A143" s="121">
        <v>97</v>
      </c>
      <c r="B143" s="673"/>
      <c r="C143" s="667"/>
      <c r="D143" s="53" t="s">
        <v>1114</v>
      </c>
      <c r="E143" s="226" t="s">
        <v>1115</v>
      </c>
      <c r="F143" s="58">
        <f>SUM('SGTO POAI 2020'!BG300:BG301)</f>
        <v>118000000</v>
      </c>
      <c r="G143" s="58">
        <f>SUM('SGTO POAI 2020'!BH300:BH301)</f>
        <v>69279999</v>
      </c>
      <c r="H143" s="54">
        <f>SUM('SGTO POAI 2020'!BI300:BI301)</f>
        <v>69279999</v>
      </c>
    </row>
    <row r="144" spans="1:11" ht="33.75" x14ac:dyDescent="0.2">
      <c r="A144" s="121">
        <v>98</v>
      </c>
      <c r="B144" s="673"/>
      <c r="C144" s="667"/>
      <c r="D144" s="53" t="s">
        <v>1121</v>
      </c>
      <c r="E144" s="226" t="s">
        <v>1122</v>
      </c>
      <c r="F144" s="58">
        <f>SUM('SGTO POAI 2020'!BG302:BG304)</f>
        <v>122500000</v>
      </c>
      <c r="G144" s="58">
        <f>SUM('SGTO POAI 2020'!BH302:BH304)</f>
        <v>103533334</v>
      </c>
      <c r="H144" s="54">
        <f>SUM('SGTO POAI 2020'!BI302:BI304)</f>
        <v>103533334</v>
      </c>
    </row>
    <row r="145" spans="1:11" ht="33.75" x14ac:dyDescent="0.2">
      <c r="A145" s="121">
        <v>99</v>
      </c>
      <c r="B145" s="673"/>
      <c r="C145" s="667"/>
      <c r="D145" s="53" t="s">
        <v>1130</v>
      </c>
      <c r="E145" s="226" t="s">
        <v>1131</v>
      </c>
      <c r="F145" s="58">
        <f>SUM('SGTO POAI 2020'!BG305:BG306)</f>
        <v>169000000</v>
      </c>
      <c r="G145" s="58">
        <f>SUM('SGTO POAI 2020'!BH305:BH306)</f>
        <v>93926666</v>
      </c>
      <c r="H145" s="54">
        <f>SUM('SGTO POAI 2020'!BI305:BI306)</f>
        <v>93926666</v>
      </c>
    </row>
    <row r="146" spans="1:11" ht="33.75" x14ac:dyDescent="0.2">
      <c r="A146" s="121">
        <v>100</v>
      </c>
      <c r="B146" s="673"/>
      <c r="C146" s="667"/>
      <c r="D146" s="53" t="s">
        <v>1136</v>
      </c>
      <c r="E146" s="226" t="s">
        <v>1137</v>
      </c>
      <c r="F146" s="58">
        <f>SUM('SGTO POAI 2020'!BG307:BG309)</f>
        <v>120000000</v>
      </c>
      <c r="G146" s="58">
        <f>SUM('SGTO POAI 2020'!BH307:BH309)</f>
        <v>70339998</v>
      </c>
      <c r="H146" s="54">
        <f>SUM('SGTO POAI 2020'!BI307:BI309)</f>
        <v>70339998</v>
      </c>
    </row>
    <row r="147" spans="1:11" ht="33.75" x14ac:dyDescent="0.2">
      <c r="A147" s="121">
        <v>101</v>
      </c>
      <c r="B147" s="673"/>
      <c r="C147" s="667"/>
      <c r="D147" s="53" t="s">
        <v>1149</v>
      </c>
      <c r="E147" s="226" t="s">
        <v>1150</v>
      </c>
      <c r="F147" s="58">
        <f>SUM('SGTO POAI 2020'!BG310:BG311)</f>
        <v>525751228.61000001</v>
      </c>
      <c r="G147" s="58">
        <f>SUM('SGTO POAI 2020'!BH310:BH311)</f>
        <v>390458671</v>
      </c>
      <c r="H147" s="54">
        <f>SUM('SGTO POAI 2020'!BI310:BI311)</f>
        <v>390458671</v>
      </c>
    </row>
    <row r="148" spans="1:11" ht="33.75" x14ac:dyDescent="0.2">
      <c r="A148" s="121">
        <v>102</v>
      </c>
      <c r="B148" s="673"/>
      <c r="C148" s="667"/>
      <c r="D148" s="53" t="s">
        <v>1153</v>
      </c>
      <c r="E148" s="226" t="s">
        <v>1154</v>
      </c>
      <c r="F148" s="58">
        <f>SUM('SGTO POAI 2020'!BG312:BG313)</f>
        <v>221841713</v>
      </c>
      <c r="G148" s="58">
        <f>SUM('SGTO POAI 2020'!BH312:BH313)</f>
        <v>121193330</v>
      </c>
      <c r="H148" s="54">
        <f>SUM('SGTO POAI 2020'!BI312:BI313)</f>
        <v>121193330</v>
      </c>
    </row>
    <row r="149" spans="1:11" ht="18.75" customHeight="1" x14ac:dyDescent="0.2">
      <c r="A149" s="121">
        <v>103</v>
      </c>
      <c r="B149" s="673"/>
      <c r="C149" s="667"/>
      <c r="D149" s="53" t="s">
        <v>1156</v>
      </c>
      <c r="E149" s="226" t="s">
        <v>1157</v>
      </c>
      <c r="F149" s="58">
        <f>SUM('SGTO POAI 2020'!BG314)</f>
        <v>2929870740</v>
      </c>
      <c r="G149" s="58">
        <f>SUM('SGTO POAI 2020'!BH314)</f>
        <v>2046280599.3299999</v>
      </c>
      <c r="H149" s="54">
        <f>SUM('SGTO POAI 2020'!BI314)</f>
        <v>1656509630.3299999</v>
      </c>
    </row>
    <row r="150" spans="1:11" ht="33.75" x14ac:dyDescent="0.2">
      <c r="A150" s="121">
        <v>104</v>
      </c>
      <c r="B150" s="673"/>
      <c r="C150" s="667"/>
      <c r="D150" s="53" t="s">
        <v>1162</v>
      </c>
      <c r="E150" s="226" t="s">
        <v>1163</v>
      </c>
      <c r="F150" s="58">
        <f>SUM('SGTO POAI 2020'!BG315:BG316)</f>
        <v>18000000</v>
      </c>
      <c r="G150" s="58">
        <f>SUM('SGTO POAI 2020'!BH315:BH316)</f>
        <v>14000000</v>
      </c>
      <c r="H150" s="54">
        <f>SUM('SGTO POAI 2020'!BI315:BI316)</f>
        <v>14000000</v>
      </c>
    </row>
    <row r="151" spans="1:11" ht="22.5" x14ac:dyDescent="0.2">
      <c r="A151" s="121">
        <v>105</v>
      </c>
      <c r="B151" s="673"/>
      <c r="C151" s="667"/>
      <c r="D151" s="53" t="s">
        <v>1168</v>
      </c>
      <c r="E151" s="226" t="s">
        <v>1169</v>
      </c>
      <c r="F151" s="58">
        <f>SUM('SGTO POAI 2020'!BG317)</f>
        <v>75200000</v>
      </c>
      <c r="G151" s="58">
        <f>SUM('SGTO POAI 2020'!BH317)</f>
        <v>61813328</v>
      </c>
      <c r="H151" s="54">
        <f>SUM('SGTO POAI 2020'!BI317)</f>
        <v>61813328</v>
      </c>
    </row>
    <row r="152" spans="1:11" ht="22.5" x14ac:dyDescent="0.2">
      <c r="A152" s="121">
        <v>106</v>
      </c>
      <c r="B152" s="673"/>
      <c r="C152" s="667"/>
      <c r="D152" s="53" t="s">
        <v>1039</v>
      </c>
      <c r="E152" s="226" t="s">
        <v>1040</v>
      </c>
      <c r="F152" s="58">
        <f>SUM('SGTO POAI 2020'!BG318)</f>
        <v>29426107.140000001</v>
      </c>
      <c r="G152" s="58">
        <f>SUM('SGTO POAI 2020'!BH318)</f>
        <v>4000000</v>
      </c>
      <c r="H152" s="54">
        <f>SUM('SGTO POAI 2020'!BI318)</f>
        <v>4000000</v>
      </c>
    </row>
    <row r="153" spans="1:11" ht="22.5" x14ac:dyDescent="0.2">
      <c r="A153" s="121">
        <v>107</v>
      </c>
      <c r="B153" s="673"/>
      <c r="C153" s="667"/>
      <c r="D153" s="53" t="s">
        <v>1177</v>
      </c>
      <c r="E153" s="226" t="s">
        <v>1360</v>
      </c>
      <c r="F153" s="58">
        <f>SUM('SGTO POAI 2020'!BG319)</f>
        <v>450000000</v>
      </c>
      <c r="G153" s="58">
        <f>SUM('SGTO POAI 2020'!BH319)</f>
        <v>252687596</v>
      </c>
      <c r="H153" s="54">
        <f>SUM('SGTO POAI 2020'!BI319)</f>
        <v>230783220</v>
      </c>
    </row>
    <row r="154" spans="1:11" ht="33.75" x14ac:dyDescent="0.2">
      <c r="A154" s="121">
        <v>108</v>
      </c>
      <c r="B154" s="673"/>
      <c r="C154" s="668"/>
      <c r="D154" s="53" t="s">
        <v>1179</v>
      </c>
      <c r="E154" s="226" t="s">
        <v>11</v>
      </c>
      <c r="F154" s="58">
        <f>SUM('SGTO POAI 2020'!BG320)</f>
        <v>1470826107.49</v>
      </c>
      <c r="G154" s="58">
        <f>SUM('SGTO POAI 2020'!BH320)</f>
        <v>1037491831</v>
      </c>
      <c r="H154" s="54">
        <f>SUM('SGTO POAI 2020'!BI320)</f>
        <v>948885165</v>
      </c>
    </row>
    <row r="155" spans="1:11" ht="33.75" x14ac:dyDescent="0.2">
      <c r="A155" s="121">
        <v>109</v>
      </c>
      <c r="B155" s="673"/>
      <c r="C155" s="669" t="s">
        <v>182</v>
      </c>
      <c r="D155" s="53" t="s">
        <v>1184</v>
      </c>
      <c r="E155" s="226" t="s">
        <v>1185</v>
      </c>
      <c r="F155" s="58">
        <f>SUM('SGTO POAI 2020'!BG322:BG323)</f>
        <v>24421796908.480003</v>
      </c>
      <c r="G155" s="58">
        <f>SUM('SGTO POAI 2020'!BH322:BH323)</f>
        <v>24406971228.440002</v>
      </c>
      <c r="H155" s="54">
        <f>SUM('SGTO POAI 2020'!BI322:BI323)</f>
        <v>24406971228.440002</v>
      </c>
    </row>
    <row r="156" spans="1:11" ht="45" x14ac:dyDescent="0.2">
      <c r="A156" s="121">
        <v>110</v>
      </c>
      <c r="B156" s="673"/>
      <c r="C156" s="667"/>
      <c r="D156" s="53" t="s">
        <v>1194</v>
      </c>
      <c r="E156" s="226" t="s">
        <v>9</v>
      </c>
      <c r="F156" s="58">
        <f>SUM('SGTO POAI 2020'!BG324:BG327)</f>
        <v>13345171423.74</v>
      </c>
      <c r="G156" s="58">
        <f>SUM('SGTO POAI 2020'!BH324:BH327)</f>
        <v>10844423803</v>
      </c>
      <c r="H156" s="54">
        <f>SUM('SGTO POAI 2020'!BI324:BI327)</f>
        <v>10844423803</v>
      </c>
    </row>
    <row r="157" spans="1:11" ht="23.25" thickBot="1" x14ac:dyDescent="0.25">
      <c r="A157" s="121">
        <v>111</v>
      </c>
      <c r="B157" s="673"/>
      <c r="C157" s="667"/>
      <c r="D157" s="59" t="s">
        <v>1210</v>
      </c>
      <c r="E157" s="227" t="s">
        <v>1211</v>
      </c>
      <c r="F157" s="60">
        <f>SUM('SGTO POAI 2020'!BG328)</f>
        <v>1568304000</v>
      </c>
      <c r="G157" s="60">
        <f>SUM('SGTO POAI 2020'!BH328)</f>
        <v>858316832</v>
      </c>
      <c r="H157" s="104">
        <f>SUM('SGTO POAI 2020'!BI328)</f>
        <v>845793332</v>
      </c>
    </row>
    <row r="158" spans="1:11" ht="17.25" customHeight="1" thickBot="1" x14ac:dyDescent="0.25">
      <c r="A158" s="121"/>
      <c r="B158" s="670" t="s">
        <v>1361</v>
      </c>
      <c r="C158" s="671"/>
      <c r="D158" s="671"/>
      <c r="E158" s="672"/>
      <c r="F158" s="105">
        <f>SUM(F159:F163)</f>
        <v>632885000</v>
      </c>
      <c r="G158" s="105">
        <f>SUM(G159:G163)</f>
        <v>576746686</v>
      </c>
      <c r="H158" s="105">
        <f>SUM(H159:H163)</f>
        <v>576746686</v>
      </c>
      <c r="I158" s="57"/>
      <c r="J158" s="57"/>
      <c r="K158" s="57"/>
    </row>
    <row r="159" spans="1:11" ht="56.25" x14ac:dyDescent="0.2">
      <c r="A159" s="121">
        <v>112</v>
      </c>
      <c r="B159" s="673" t="s">
        <v>1</v>
      </c>
      <c r="C159" s="228" t="s">
        <v>1212</v>
      </c>
      <c r="D159" s="91" t="s">
        <v>1218</v>
      </c>
      <c r="E159" s="225" t="s">
        <v>1219</v>
      </c>
      <c r="F159" s="92">
        <f>'SGTO POAI 2020'!BG331</f>
        <v>200000000</v>
      </c>
      <c r="G159" s="92">
        <f>'SGTO POAI 2020'!BH331</f>
        <v>189971698</v>
      </c>
      <c r="H159" s="98">
        <f>'SGTO POAI 2020'!BI331</f>
        <v>189971698</v>
      </c>
    </row>
    <row r="160" spans="1:11" ht="90" x14ac:dyDescent="0.2">
      <c r="A160" s="121">
        <v>113</v>
      </c>
      <c r="B160" s="673"/>
      <c r="C160" s="228" t="s">
        <v>1224</v>
      </c>
      <c r="D160" s="53" t="s">
        <v>1229</v>
      </c>
      <c r="E160" s="226" t="s">
        <v>1230</v>
      </c>
      <c r="F160" s="58">
        <f>'SGTO POAI 2020'!BG335</f>
        <v>7164000</v>
      </c>
      <c r="G160" s="58">
        <f>'SGTO POAI 2020'!BH335</f>
        <v>6628000</v>
      </c>
      <c r="H160" s="54">
        <f>'SGTO POAI 2020'!BI335</f>
        <v>6628000</v>
      </c>
    </row>
    <row r="161" spans="1:11" ht="33.75" x14ac:dyDescent="0.2">
      <c r="A161" s="121">
        <v>114</v>
      </c>
      <c r="B161" s="673" t="s">
        <v>1231</v>
      </c>
      <c r="C161" s="225" t="s">
        <v>1233</v>
      </c>
      <c r="D161" s="53" t="s">
        <v>1239</v>
      </c>
      <c r="E161" s="226" t="s">
        <v>1240</v>
      </c>
      <c r="F161" s="58">
        <f>SUM('SGTO POAI 2020'!BG338)</f>
        <v>54000000</v>
      </c>
      <c r="G161" s="58">
        <f>SUM('SGTO POAI 2020'!BH338)</f>
        <v>51074800</v>
      </c>
      <c r="H161" s="54">
        <f>SUM('SGTO POAI 2020'!BI338)</f>
        <v>51074800</v>
      </c>
    </row>
    <row r="162" spans="1:11" ht="33.75" x14ac:dyDescent="0.2">
      <c r="A162" s="121">
        <v>115</v>
      </c>
      <c r="B162" s="661"/>
      <c r="C162" s="226" t="s">
        <v>1241</v>
      </c>
      <c r="D162" s="53" t="s">
        <v>1246</v>
      </c>
      <c r="E162" s="226" t="s">
        <v>1247</v>
      </c>
      <c r="F162" s="58">
        <f>SUM('SGTO POAI 2020'!BG340)</f>
        <v>18000000</v>
      </c>
      <c r="G162" s="58">
        <f>SUM('SGTO POAI 2020'!BH340)</f>
        <v>0</v>
      </c>
      <c r="H162" s="54">
        <f>SUM('SGTO POAI 2020'!BI340)</f>
        <v>0</v>
      </c>
    </row>
    <row r="163" spans="1:11" ht="90.75" thickBot="1" x14ac:dyDescent="0.25">
      <c r="A163" s="121">
        <v>116</v>
      </c>
      <c r="B163" s="229" t="s">
        <v>108</v>
      </c>
      <c r="C163" s="227" t="s">
        <v>1224</v>
      </c>
      <c r="D163" s="59" t="s">
        <v>1253</v>
      </c>
      <c r="E163" s="227" t="s">
        <v>1254</v>
      </c>
      <c r="F163" s="60">
        <f>SUM('SGTO POAI 2020'!BG342)</f>
        <v>353721000</v>
      </c>
      <c r="G163" s="60">
        <f>SUM('SGTO POAI 2020'!BH342)</f>
        <v>329072188</v>
      </c>
      <c r="H163" s="104">
        <f>SUM('SGTO POAI 2020'!BI342)</f>
        <v>329072188</v>
      </c>
      <c r="I163" s="238"/>
    </row>
    <row r="164" spans="1:11" s="72" customFormat="1" ht="12" thickBot="1" x14ac:dyDescent="0.25">
      <c r="A164" s="121"/>
      <c r="B164" s="665" t="s">
        <v>1374</v>
      </c>
      <c r="C164" s="666"/>
      <c r="D164" s="253"/>
      <c r="E164" s="254"/>
      <c r="F164" s="255">
        <f>+F158+F132+F106+F92+F88+F66+F60+F54+F38+F22+F19+F11+F7</f>
        <v>255722471860.34</v>
      </c>
      <c r="G164" s="255">
        <f>+G158+G132+G106+G92+G88+G66+G60+G54+G38+G22+G19+G11+G7</f>
        <v>235133136043.79999</v>
      </c>
      <c r="H164" s="255">
        <f>+H158+H132+H106+H92+H88+H66+H60+H54+H38+H22+H19+H11+H7</f>
        <v>234065532723.79999</v>
      </c>
      <c r="I164" s="71"/>
      <c r="J164" s="71"/>
      <c r="K164" s="71"/>
    </row>
    <row r="165" spans="1:11" ht="12" thickBot="1" x14ac:dyDescent="0.25">
      <c r="A165" s="121"/>
      <c r="B165" s="674" t="s">
        <v>1362</v>
      </c>
      <c r="C165" s="675"/>
      <c r="D165" s="675"/>
      <c r="E165" s="675"/>
      <c r="F165" s="676"/>
      <c r="G165" s="123"/>
      <c r="H165" s="124"/>
    </row>
    <row r="166" spans="1:11" ht="15.75" customHeight="1" thickBot="1" x14ac:dyDescent="0.25">
      <c r="A166" s="121"/>
      <c r="B166" s="670" t="s">
        <v>1363</v>
      </c>
      <c r="C166" s="671"/>
      <c r="D166" s="671"/>
      <c r="E166" s="672"/>
      <c r="F166" s="105">
        <f>SUM(F167:F175)</f>
        <v>4341489310.7799997</v>
      </c>
      <c r="G166" s="102">
        <f>SUM(G167:G175)</f>
        <v>2728118219</v>
      </c>
      <c r="H166" s="102">
        <f>SUM(H167:H175)</f>
        <v>2728118219</v>
      </c>
      <c r="I166" s="57"/>
      <c r="J166" s="57"/>
      <c r="K166" s="57"/>
    </row>
    <row r="167" spans="1:11" ht="22.5" x14ac:dyDescent="0.2">
      <c r="A167" s="121">
        <v>117</v>
      </c>
      <c r="B167" s="661" t="s">
        <v>1</v>
      </c>
      <c r="C167" s="667" t="s">
        <v>209</v>
      </c>
      <c r="D167" s="91" t="s">
        <v>1265</v>
      </c>
      <c r="E167" s="252" t="s">
        <v>1266</v>
      </c>
      <c r="F167" s="92">
        <f>SUM('SGTO POAI 2020'!BG349:BG350)</f>
        <v>175589000</v>
      </c>
      <c r="G167" s="92">
        <f>SUM('SGTO POAI 2020'!BH349:BH350)</f>
        <v>147658760</v>
      </c>
      <c r="H167" s="92">
        <f>SUM('SGTO POAI 2020'!BI349:BI350)</f>
        <v>147658760</v>
      </c>
    </row>
    <row r="168" spans="1:11" ht="22.5" x14ac:dyDescent="0.2">
      <c r="A168" s="121">
        <v>118</v>
      </c>
      <c r="B168" s="662"/>
      <c r="C168" s="667"/>
      <c r="D168" s="53" t="s">
        <v>1274</v>
      </c>
      <c r="E168" s="73" t="s">
        <v>1275</v>
      </c>
      <c r="F168" s="58">
        <f>SUM('SGTO POAI 2020'!BG351)</f>
        <v>49227426</v>
      </c>
      <c r="G168" s="58">
        <f>SUM('SGTO POAI 2020'!BH351)</f>
        <v>11000000</v>
      </c>
      <c r="H168" s="58">
        <f>SUM('SGTO POAI 2020'!BI351)</f>
        <v>11000000</v>
      </c>
    </row>
    <row r="169" spans="1:11" ht="22.5" x14ac:dyDescent="0.2">
      <c r="A169" s="121">
        <v>119</v>
      </c>
      <c r="B169" s="662"/>
      <c r="C169" s="667"/>
      <c r="D169" s="53" t="s">
        <v>1276</v>
      </c>
      <c r="E169" s="68" t="s">
        <v>1277</v>
      </c>
      <c r="F169" s="58">
        <f>SUM('SGTO POAI 2020'!BG352:BG353)</f>
        <v>69300000</v>
      </c>
      <c r="G169" s="58">
        <f>SUM('SGTO POAI 2020'!BH352:BH353)</f>
        <v>69161384</v>
      </c>
      <c r="H169" s="58">
        <f>SUM('SGTO POAI 2020'!BI352:BI353)</f>
        <v>69161384</v>
      </c>
    </row>
    <row r="170" spans="1:11" ht="22.5" x14ac:dyDescent="0.2">
      <c r="A170" s="121">
        <v>120</v>
      </c>
      <c r="B170" s="662"/>
      <c r="C170" s="667"/>
      <c r="D170" s="53" t="s">
        <v>1281</v>
      </c>
      <c r="E170" s="68" t="s">
        <v>1282</v>
      </c>
      <c r="F170" s="58">
        <f>SUM('SGTO POAI 2020'!BG354:BG355)</f>
        <v>367085598</v>
      </c>
      <c r="G170" s="58">
        <f>SUM('SGTO POAI 2020'!BH354:BH355)</f>
        <v>367085598</v>
      </c>
      <c r="H170" s="58">
        <f>SUM('SGTO POAI 2020'!BI354:BI355)</f>
        <v>367085598</v>
      </c>
    </row>
    <row r="171" spans="1:11" ht="22.5" customHeight="1" x14ac:dyDescent="0.2">
      <c r="A171" s="121">
        <v>121</v>
      </c>
      <c r="B171" s="662"/>
      <c r="C171" s="667"/>
      <c r="D171" s="53" t="s">
        <v>1283</v>
      </c>
      <c r="E171" s="68" t="s">
        <v>1284</v>
      </c>
      <c r="F171" s="58">
        <f>SUM('SGTO POAI 2020'!BG356)</f>
        <v>91585083</v>
      </c>
      <c r="G171" s="58">
        <f>SUM('SGTO POAI 2020'!BH356)</f>
        <v>57090908</v>
      </c>
      <c r="H171" s="58">
        <f>SUM('SGTO POAI 2020'!BI356)</f>
        <v>57090908</v>
      </c>
    </row>
    <row r="172" spans="1:11" ht="22.5" customHeight="1" x14ac:dyDescent="0.2">
      <c r="A172" s="121"/>
      <c r="B172" s="662"/>
      <c r="C172" s="228"/>
      <c r="D172" s="53" t="s">
        <v>1293</v>
      </c>
      <c r="E172" s="68" t="s">
        <v>1393</v>
      </c>
      <c r="F172" s="58">
        <f>SUM('SGTO POAI 2020'!BG357:BG360)</f>
        <v>2323713601.7799997</v>
      </c>
      <c r="G172" s="58">
        <f>SUM('SGTO POAI 2020'!BH357:BH360)</f>
        <v>1284983862</v>
      </c>
      <c r="H172" s="58">
        <f>SUM('SGTO POAI 2020'!BI357:BI360)</f>
        <v>1284983862</v>
      </c>
    </row>
    <row r="173" spans="1:11" ht="29.25" customHeight="1" x14ac:dyDescent="0.2">
      <c r="A173" s="121">
        <v>123</v>
      </c>
      <c r="B173" s="662"/>
      <c r="C173" s="669" t="s">
        <v>216</v>
      </c>
      <c r="D173" s="53" t="s">
        <v>1289</v>
      </c>
      <c r="E173" s="74" t="s">
        <v>1290</v>
      </c>
      <c r="F173" s="58">
        <f>'SGTO POAI 2020'!BG362</f>
        <v>213298765</v>
      </c>
      <c r="G173" s="58">
        <f>'SGTO POAI 2020'!BH362</f>
        <v>206557098</v>
      </c>
      <c r="H173" s="58">
        <f>'SGTO POAI 2020'!BI362</f>
        <v>206557098</v>
      </c>
    </row>
    <row r="174" spans="1:11" ht="38.25" customHeight="1" x14ac:dyDescent="0.2">
      <c r="A174" s="121">
        <v>124</v>
      </c>
      <c r="B174" s="677"/>
      <c r="C174" s="667"/>
      <c r="D174" s="53" t="s">
        <v>1364</v>
      </c>
      <c r="E174" s="68" t="s">
        <v>1365</v>
      </c>
      <c r="F174" s="58">
        <f>'SGTO POAI 2020'!BG363</f>
        <v>1021689837</v>
      </c>
      <c r="G174" s="58">
        <f>'SGTO POAI 2020'!BH363</f>
        <v>572330609</v>
      </c>
      <c r="H174" s="58">
        <f>'SGTO POAI 2020'!BI363</f>
        <v>572330609</v>
      </c>
    </row>
    <row r="175" spans="1:11" ht="38.25" customHeight="1" thickBot="1" x14ac:dyDescent="0.25">
      <c r="A175" s="121"/>
      <c r="B175" s="239"/>
      <c r="C175" s="667"/>
      <c r="D175" s="240" t="str">
        <f>'SGTO POAI 2020'!R364</f>
        <v>202000363-0040</v>
      </c>
      <c r="E175" s="111" t="str">
        <f>'SGTO POAI 2020'!S364</f>
        <v>Desarrollo de los  XXII JUEGOS DEPORTIVOS NACIONALES Y VI JUEGOS PARANACIONALES   2023</v>
      </c>
      <c r="F175" s="60">
        <f>'SGTO POAI 2020'!BG364</f>
        <v>30000000</v>
      </c>
      <c r="G175" s="60">
        <f>'SGTO POAI 2020'!BH364</f>
        <v>12250000</v>
      </c>
      <c r="H175" s="60">
        <f>'SGTO POAI 2020'!BI364</f>
        <v>12250000</v>
      </c>
    </row>
    <row r="176" spans="1:11" ht="16.5" customHeight="1" thickBot="1" x14ac:dyDescent="0.25">
      <c r="A176" s="121"/>
      <c r="B176" s="670" t="s">
        <v>1366</v>
      </c>
      <c r="C176" s="671"/>
      <c r="D176" s="671"/>
      <c r="E176" s="672"/>
      <c r="F176" s="113">
        <f>SUM(F177:F181)</f>
        <v>1709079089.5</v>
      </c>
      <c r="G176" s="113">
        <f>+G177+G181+G178+G179+G180</f>
        <v>1476614408.4133334</v>
      </c>
      <c r="H176" s="113">
        <f>+H177+H181+H178+H179+H180</f>
        <v>1476614408.4133334</v>
      </c>
      <c r="I176" s="57"/>
      <c r="J176" s="57"/>
      <c r="K176" s="57"/>
    </row>
    <row r="177" spans="1:11" ht="33.75" x14ac:dyDescent="0.2">
      <c r="A177" s="660">
        <v>126</v>
      </c>
      <c r="B177" s="661" t="s">
        <v>1</v>
      </c>
      <c r="C177" s="225" t="s">
        <v>209</v>
      </c>
      <c r="D177" s="91" t="s">
        <v>1296</v>
      </c>
      <c r="E177" s="112" t="s">
        <v>1297</v>
      </c>
      <c r="F177" s="92">
        <f>SUM('SGTO POAI 2020'!BG368)</f>
        <v>372570330</v>
      </c>
      <c r="G177" s="92">
        <f>SUM('SGTO POAI 2020'!BH368)</f>
        <v>268586100.41000003</v>
      </c>
      <c r="H177" s="92">
        <f>SUM('SGTO POAI 2020'!BI368)</f>
        <v>268586100.41000003</v>
      </c>
    </row>
    <row r="178" spans="1:11" ht="45" x14ac:dyDescent="0.2">
      <c r="A178" s="660"/>
      <c r="B178" s="662"/>
      <c r="C178" s="226" t="s">
        <v>191</v>
      </c>
      <c r="D178" s="53" t="s">
        <v>1296</v>
      </c>
      <c r="E178" s="75" t="s">
        <v>1297</v>
      </c>
      <c r="F178" s="58">
        <f>'SGTO POAI 2020'!BG370</f>
        <v>518090330</v>
      </c>
      <c r="G178" s="58">
        <f>'SGTO POAI 2020'!BH370</f>
        <v>480875313.15333331</v>
      </c>
      <c r="H178" s="58">
        <f>'SGTO POAI 2020'!BI370</f>
        <v>480875313.15333331</v>
      </c>
    </row>
    <row r="179" spans="1:11" ht="33.75" x14ac:dyDescent="0.2">
      <c r="A179" s="660"/>
      <c r="B179" s="662" t="s">
        <v>3</v>
      </c>
      <c r="C179" s="226" t="s">
        <v>233</v>
      </c>
      <c r="D179" s="53" t="s">
        <v>1296</v>
      </c>
      <c r="E179" s="75" t="s">
        <v>1297</v>
      </c>
      <c r="F179" s="58">
        <f>'SGTO POAI 2020'!BG373</f>
        <v>218280000</v>
      </c>
      <c r="G179" s="58">
        <f>'SGTO POAI 2020'!BH373</f>
        <v>218159599.37</v>
      </c>
      <c r="H179" s="58">
        <f>'SGTO POAI 2020'!BI373</f>
        <v>218159599.37</v>
      </c>
    </row>
    <row r="180" spans="1:11" ht="33.75" x14ac:dyDescent="0.2">
      <c r="A180" s="660"/>
      <c r="B180" s="662"/>
      <c r="C180" s="226" t="s">
        <v>250</v>
      </c>
      <c r="D180" s="53" t="s">
        <v>1296</v>
      </c>
      <c r="E180" s="75" t="s">
        <v>1297</v>
      </c>
      <c r="F180" s="58">
        <f>SUM('SGTO POAI 2020'!BG374)</f>
        <v>410962429.5</v>
      </c>
      <c r="G180" s="58">
        <f>SUM('SGTO POAI 2020'!BH374)</f>
        <v>319933220.48000002</v>
      </c>
      <c r="H180" s="58">
        <f>SUM('SGTO POAI 2020'!BI374)</f>
        <v>319933220.48000002</v>
      </c>
    </row>
    <row r="181" spans="1:11" ht="45.75" thickBot="1" x14ac:dyDescent="0.25">
      <c r="A181" s="660"/>
      <c r="B181" s="229" t="s">
        <v>108</v>
      </c>
      <c r="C181" s="227" t="s">
        <v>84</v>
      </c>
      <c r="D181" s="59" t="s">
        <v>1296</v>
      </c>
      <c r="E181" s="249" t="s">
        <v>1297</v>
      </c>
      <c r="F181" s="60">
        <f>'SGTO POAI 2020'!BG381</f>
        <v>189176000</v>
      </c>
      <c r="G181" s="60">
        <f>'SGTO POAI 2020'!BH381</f>
        <v>189060175</v>
      </c>
      <c r="H181" s="60">
        <f>'SGTO POAI 2020'!BI381</f>
        <v>189060175</v>
      </c>
    </row>
    <row r="182" spans="1:11" ht="15" customHeight="1" thickBot="1" x14ac:dyDescent="0.25">
      <c r="A182" s="121"/>
      <c r="B182" s="670" t="s">
        <v>1367</v>
      </c>
      <c r="C182" s="671"/>
      <c r="D182" s="671"/>
      <c r="E182" s="672"/>
      <c r="F182" s="105">
        <f>+F183</f>
        <v>107000000</v>
      </c>
      <c r="G182" s="105">
        <f>+G183</f>
        <v>52352000</v>
      </c>
      <c r="H182" s="105">
        <f>+H183</f>
        <v>52352000</v>
      </c>
      <c r="I182" s="57"/>
      <c r="J182" s="57"/>
      <c r="K182" s="57"/>
    </row>
    <row r="183" spans="1:11" ht="57.75" customHeight="1" thickBot="1" x14ac:dyDescent="0.25">
      <c r="A183" s="121">
        <v>127</v>
      </c>
      <c r="B183" s="230" t="s">
        <v>1318</v>
      </c>
      <c r="C183" s="228" t="s">
        <v>1319</v>
      </c>
      <c r="D183" s="241" t="s">
        <v>1325</v>
      </c>
      <c r="E183" s="228" t="s">
        <v>1326</v>
      </c>
      <c r="F183" s="250">
        <f>'SGTO POAI 2020'!BG382</f>
        <v>107000000</v>
      </c>
      <c r="G183" s="250">
        <f>'SGTO POAI 2020'!BH382</f>
        <v>52352000</v>
      </c>
      <c r="H183" s="251">
        <f>'SGTO POAI 2020'!BI382</f>
        <v>52352000</v>
      </c>
    </row>
    <row r="184" spans="1:11" s="52" customFormat="1" ht="15" customHeight="1" thickBot="1" x14ac:dyDescent="0.3">
      <c r="A184" s="120"/>
      <c r="B184" s="665" t="s">
        <v>1368</v>
      </c>
      <c r="C184" s="666"/>
      <c r="D184" s="253"/>
      <c r="E184" s="254"/>
      <c r="F184" s="114">
        <f>+F166+F176+F182</f>
        <v>6157568400.2799997</v>
      </c>
      <c r="G184" s="76">
        <f>+G166+G176+G182</f>
        <v>4257084627.4133334</v>
      </c>
      <c r="H184" s="76">
        <f>+H166+H176+H182</f>
        <v>4257084627.4133334</v>
      </c>
    </row>
    <row r="185" spans="1:11" s="77" customFormat="1" ht="18" customHeight="1" thickBot="1" x14ac:dyDescent="0.25">
      <c r="A185" s="125"/>
      <c r="B185" s="663" t="s">
        <v>1369</v>
      </c>
      <c r="C185" s="664"/>
      <c r="D185" s="235"/>
      <c r="E185" s="78"/>
      <c r="F185" s="115">
        <f>+F184+F164</f>
        <v>261880040260.62</v>
      </c>
      <c r="G185" s="79">
        <f>+G184+G164</f>
        <v>239390220671.21332</v>
      </c>
      <c r="H185" s="79">
        <f>+H184+H164</f>
        <v>238322617351.21332</v>
      </c>
    </row>
    <row r="186" spans="1:11" s="72" customFormat="1" ht="18.75" customHeight="1" x14ac:dyDescent="0.2">
      <c r="B186" s="80"/>
      <c r="C186" s="80"/>
      <c r="D186" s="81"/>
      <c r="E186" s="80"/>
      <c r="F186" s="82"/>
      <c r="G186" s="82"/>
      <c r="H186" s="82"/>
      <c r="I186" s="71"/>
    </row>
    <row r="187" spans="1:11" s="72" customFormat="1" x14ac:dyDescent="0.2">
      <c r="B187" s="80"/>
      <c r="C187" s="80"/>
      <c r="D187" s="81"/>
      <c r="E187" s="80"/>
      <c r="F187" s="83"/>
      <c r="G187" s="83"/>
      <c r="H187" s="83"/>
    </row>
    <row r="188" spans="1:11" s="72" customFormat="1" x14ac:dyDescent="0.2">
      <c r="B188" s="80"/>
      <c r="C188" s="80"/>
      <c r="D188" s="81"/>
      <c r="E188" s="80"/>
      <c r="F188" s="414"/>
    </row>
    <row r="189" spans="1:11" s="72" customFormat="1" x14ac:dyDescent="0.2">
      <c r="B189" s="80"/>
      <c r="C189" s="80"/>
      <c r="D189" s="81"/>
      <c r="E189" s="80"/>
      <c r="F189" s="84"/>
    </row>
    <row r="190" spans="1:11" s="72" customFormat="1" x14ac:dyDescent="0.2">
      <c r="B190" s="80"/>
      <c r="C190" s="80"/>
      <c r="D190" s="81"/>
      <c r="E190" s="80"/>
      <c r="F190" s="84"/>
    </row>
    <row r="191" spans="1:11" s="72" customFormat="1" ht="15.75" customHeight="1" x14ac:dyDescent="0.2">
      <c r="B191" s="656" t="s">
        <v>1370</v>
      </c>
      <c r="C191" s="656"/>
      <c r="D191" s="656"/>
      <c r="E191" s="656"/>
      <c r="F191" s="656"/>
    </row>
    <row r="192" spans="1:11" s="72" customFormat="1" ht="12" customHeight="1" x14ac:dyDescent="0.2">
      <c r="B192" s="657" t="s">
        <v>1371</v>
      </c>
      <c r="C192" s="657"/>
      <c r="D192" s="657"/>
      <c r="E192" s="657"/>
      <c r="F192" s="657"/>
    </row>
    <row r="193" spans="2:6" s="72" customFormat="1" x14ac:dyDescent="0.2">
      <c r="B193" s="80"/>
      <c r="C193" s="80"/>
      <c r="D193" s="81"/>
      <c r="E193" s="80"/>
      <c r="F193" s="84"/>
    </row>
    <row r="194" spans="2:6" s="72" customFormat="1" x14ac:dyDescent="0.2">
      <c r="B194" s="658"/>
      <c r="C194" s="658"/>
      <c r="D194" s="81"/>
      <c r="E194" s="80"/>
      <c r="F194" s="84"/>
    </row>
    <row r="195" spans="2:6" s="72" customFormat="1" ht="33.75" customHeight="1" x14ac:dyDescent="0.2">
      <c r="B195" s="659"/>
      <c r="C195" s="659"/>
      <c r="D195" s="81"/>
      <c r="E195" s="80"/>
      <c r="F195" s="84"/>
    </row>
    <row r="196" spans="2:6" s="72" customFormat="1" x14ac:dyDescent="0.2">
      <c r="B196" s="80"/>
      <c r="C196" s="80"/>
      <c r="D196" s="81"/>
      <c r="E196" s="80"/>
      <c r="F196" s="84"/>
    </row>
    <row r="197" spans="2:6" s="72" customFormat="1" x14ac:dyDescent="0.2">
      <c r="B197" s="80"/>
      <c r="C197" s="80"/>
      <c r="D197" s="81"/>
      <c r="E197" s="80"/>
      <c r="F197" s="84"/>
    </row>
    <row r="198" spans="2:6" s="72" customFormat="1" x14ac:dyDescent="0.2">
      <c r="B198" s="80"/>
      <c r="C198" s="80"/>
      <c r="D198" s="81"/>
      <c r="E198" s="80"/>
      <c r="F198" s="84"/>
    </row>
    <row r="199" spans="2:6" s="72" customFormat="1" x14ac:dyDescent="0.2">
      <c r="B199" s="80"/>
      <c r="C199" s="80"/>
      <c r="D199" s="81"/>
      <c r="E199" s="80"/>
      <c r="F199" s="84"/>
    </row>
    <row r="200" spans="2:6" s="72" customFormat="1" x14ac:dyDescent="0.2">
      <c r="B200" s="80"/>
      <c r="C200" s="80"/>
      <c r="D200" s="81"/>
      <c r="E200" s="80"/>
      <c r="F200" s="84"/>
    </row>
    <row r="201" spans="2:6" s="72" customFormat="1" x14ac:dyDescent="0.2">
      <c r="B201" s="80"/>
      <c r="C201" s="80"/>
      <c r="D201" s="81"/>
      <c r="E201" s="80"/>
      <c r="F201" s="84"/>
    </row>
    <row r="202" spans="2:6" s="72" customFormat="1" x14ac:dyDescent="0.2">
      <c r="B202" s="80"/>
      <c r="C202" s="80"/>
      <c r="D202" s="81"/>
      <c r="E202" s="80"/>
      <c r="F202" s="84"/>
    </row>
    <row r="203" spans="2:6" s="72" customFormat="1" x14ac:dyDescent="0.2">
      <c r="B203" s="80"/>
      <c r="C203" s="80"/>
      <c r="D203" s="81"/>
      <c r="E203" s="80"/>
      <c r="F203" s="84"/>
    </row>
    <row r="204" spans="2:6" s="72" customFormat="1" x14ac:dyDescent="0.2">
      <c r="B204" s="80"/>
      <c r="C204" s="80"/>
      <c r="D204" s="81"/>
      <c r="E204" s="80"/>
      <c r="F204" s="84"/>
    </row>
    <row r="205" spans="2:6" s="72" customFormat="1" x14ac:dyDescent="0.2">
      <c r="B205" s="80"/>
      <c r="C205" s="80"/>
      <c r="D205" s="81"/>
      <c r="E205" s="80"/>
      <c r="F205" s="84"/>
    </row>
    <row r="206" spans="2:6" s="72" customFormat="1" x14ac:dyDescent="0.2">
      <c r="B206" s="80"/>
      <c r="C206" s="80"/>
      <c r="D206" s="81"/>
      <c r="E206" s="80"/>
      <c r="F206" s="84"/>
    </row>
    <row r="207" spans="2:6" s="72" customFormat="1" x14ac:dyDescent="0.2">
      <c r="B207" s="80"/>
      <c r="C207" s="80"/>
      <c r="D207" s="81"/>
      <c r="E207" s="80"/>
      <c r="F207" s="84"/>
    </row>
    <row r="208" spans="2:6" s="72" customFormat="1" x14ac:dyDescent="0.2">
      <c r="B208" s="80"/>
      <c r="C208" s="80"/>
      <c r="D208" s="81"/>
      <c r="E208" s="80"/>
      <c r="F208" s="84"/>
    </row>
    <row r="209" spans="2:6" s="72" customFormat="1" x14ac:dyDescent="0.2">
      <c r="B209" s="80"/>
      <c r="C209" s="80"/>
      <c r="D209" s="81"/>
      <c r="E209" s="80"/>
      <c r="F209" s="84"/>
    </row>
    <row r="210" spans="2:6" s="72" customFormat="1" x14ac:dyDescent="0.2">
      <c r="B210" s="80"/>
      <c r="C210" s="80"/>
      <c r="D210" s="81"/>
      <c r="E210" s="80"/>
      <c r="F210" s="84"/>
    </row>
    <row r="211" spans="2:6" s="72" customFormat="1" x14ac:dyDescent="0.2">
      <c r="B211" s="80"/>
      <c r="C211" s="80"/>
      <c r="D211" s="81"/>
      <c r="E211" s="80"/>
      <c r="F211" s="84"/>
    </row>
    <row r="212" spans="2:6" s="72" customFormat="1" x14ac:dyDescent="0.2">
      <c r="B212" s="80"/>
      <c r="C212" s="80"/>
      <c r="D212" s="81"/>
      <c r="E212" s="80"/>
      <c r="F212" s="84"/>
    </row>
    <row r="213" spans="2:6" s="72" customFormat="1" x14ac:dyDescent="0.2">
      <c r="B213" s="80"/>
      <c r="C213" s="80"/>
      <c r="D213" s="81"/>
      <c r="E213" s="80"/>
      <c r="F213" s="84"/>
    </row>
    <row r="214" spans="2:6" s="72" customFormat="1" x14ac:dyDescent="0.2">
      <c r="B214" s="80"/>
      <c r="C214" s="80"/>
      <c r="D214" s="81"/>
      <c r="E214" s="80"/>
      <c r="F214" s="84"/>
    </row>
    <row r="215" spans="2:6" s="72" customFormat="1" x14ac:dyDescent="0.2">
      <c r="B215" s="80"/>
      <c r="C215" s="80"/>
      <c r="D215" s="81"/>
      <c r="E215" s="80"/>
      <c r="F215" s="84"/>
    </row>
    <row r="216" spans="2:6" s="72" customFormat="1" x14ac:dyDescent="0.2">
      <c r="B216" s="80"/>
      <c r="C216" s="80"/>
      <c r="D216" s="81"/>
      <c r="E216" s="80"/>
      <c r="F216" s="84"/>
    </row>
    <row r="217" spans="2:6" s="72" customFormat="1" x14ac:dyDescent="0.2">
      <c r="B217" s="80"/>
      <c r="C217" s="80"/>
      <c r="D217" s="81"/>
      <c r="E217" s="80"/>
      <c r="F217" s="84"/>
    </row>
    <row r="218" spans="2:6" s="72" customFormat="1" x14ac:dyDescent="0.2">
      <c r="B218" s="80"/>
      <c r="C218" s="80"/>
      <c r="D218" s="81"/>
      <c r="E218" s="80"/>
      <c r="F218" s="84"/>
    </row>
    <row r="219" spans="2:6" s="72" customFormat="1" x14ac:dyDescent="0.2">
      <c r="B219" s="80"/>
      <c r="C219" s="80"/>
      <c r="D219" s="81"/>
      <c r="E219" s="80"/>
      <c r="F219" s="84"/>
    </row>
    <row r="220" spans="2:6" s="72" customFormat="1" x14ac:dyDescent="0.2">
      <c r="B220" s="80"/>
      <c r="C220" s="80"/>
      <c r="D220" s="81"/>
      <c r="E220" s="80"/>
      <c r="F220" s="84"/>
    </row>
    <row r="221" spans="2:6" s="72" customFormat="1" x14ac:dyDescent="0.2">
      <c r="B221" s="80"/>
      <c r="C221" s="80"/>
      <c r="D221" s="81"/>
      <c r="E221" s="80"/>
      <c r="F221" s="84"/>
    </row>
    <row r="222" spans="2:6" s="72" customFormat="1" x14ac:dyDescent="0.2">
      <c r="B222" s="80"/>
      <c r="C222" s="80"/>
      <c r="D222" s="81"/>
      <c r="E222" s="80"/>
      <c r="F222" s="84"/>
    </row>
    <row r="223" spans="2:6" s="72" customFormat="1" x14ac:dyDescent="0.2">
      <c r="B223" s="80"/>
      <c r="C223" s="80"/>
      <c r="D223" s="81"/>
      <c r="E223" s="80"/>
      <c r="F223" s="84"/>
    </row>
    <row r="224" spans="2:6" s="72" customFormat="1" x14ac:dyDescent="0.2">
      <c r="B224" s="80"/>
      <c r="C224" s="80"/>
      <c r="D224" s="81"/>
      <c r="E224" s="80"/>
      <c r="F224" s="84"/>
    </row>
    <row r="225" spans="2:6" s="72" customFormat="1" x14ac:dyDescent="0.2">
      <c r="B225" s="80"/>
      <c r="C225" s="80"/>
      <c r="D225" s="81"/>
      <c r="E225" s="80"/>
      <c r="F225" s="84"/>
    </row>
    <row r="226" spans="2:6" s="72" customFormat="1" x14ac:dyDescent="0.2">
      <c r="B226" s="80"/>
      <c r="C226" s="80"/>
      <c r="D226" s="81"/>
      <c r="E226" s="80"/>
      <c r="F226" s="84"/>
    </row>
    <row r="227" spans="2:6" s="72" customFormat="1" x14ac:dyDescent="0.2">
      <c r="B227" s="80"/>
      <c r="C227" s="80"/>
      <c r="D227" s="81"/>
      <c r="E227" s="80"/>
      <c r="F227" s="84"/>
    </row>
    <row r="228" spans="2:6" s="72" customFormat="1" x14ac:dyDescent="0.2">
      <c r="B228" s="80"/>
      <c r="C228" s="80"/>
      <c r="D228" s="81"/>
      <c r="E228" s="80"/>
      <c r="F228" s="84"/>
    </row>
    <row r="229" spans="2:6" s="72" customFormat="1" x14ac:dyDescent="0.2">
      <c r="B229" s="80"/>
      <c r="C229" s="80"/>
      <c r="D229" s="81"/>
      <c r="E229" s="80"/>
      <c r="F229" s="84"/>
    </row>
    <row r="230" spans="2:6" s="72" customFormat="1" x14ac:dyDescent="0.2">
      <c r="B230" s="80"/>
      <c r="C230" s="80"/>
      <c r="D230" s="81"/>
      <c r="E230" s="80"/>
      <c r="F230" s="84"/>
    </row>
    <row r="231" spans="2:6" s="72" customFormat="1" x14ac:dyDescent="0.2">
      <c r="B231" s="80"/>
      <c r="C231" s="80"/>
      <c r="D231" s="81"/>
      <c r="E231" s="80"/>
      <c r="F231" s="84"/>
    </row>
    <row r="232" spans="2:6" s="72" customFormat="1" x14ac:dyDescent="0.2">
      <c r="B232" s="80"/>
      <c r="C232" s="80"/>
      <c r="D232" s="81"/>
      <c r="E232" s="80"/>
      <c r="F232" s="84"/>
    </row>
    <row r="233" spans="2:6" s="72" customFormat="1" x14ac:dyDescent="0.2">
      <c r="B233" s="80"/>
      <c r="C233" s="80"/>
      <c r="D233" s="81"/>
      <c r="E233" s="80"/>
      <c r="F233" s="84"/>
    </row>
    <row r="234" spans="2:6" s="72" customFormat="1" x14ac:dyDescent="0.2">
      <c r="B234" s="80"/>
      <c r="C234" s="80"/>
      <c r="D234" s="81"/>
      <c r="E234" s="80"/>
      <c r="F234" s="84"/>
    </row>
    <row r="235" spans="2:6" s="72" customFormat="1" x14ac:dyDescent="0.2">
      <c r="B235" s="80"/>
      <c r="C235" s="80"/>
      <c r="D235" s="81"/>
      <c r="E235" s="80"/>
      <c r="F235" s="84"/>
    </row>
    <row r="236" spans="2:6" s="72" customFormat="1" x14ac:dyDescent="0.2">
      <c r="B236" s="80"/>
      <c r="C236" s="80"/>
      <c r="D236" s="81"/>
      <c r="E236" s="80"/>
      <c r="F236" s="84"/>
    </row>
    <row r="237" spans="2:6" s="72" customFormat="1" x14ac:dyDescent="0.2">
      <c r="B237" s="80"/>
      <c r="C237" s="80"/>
      <c r="D237" s="81"/>
      <c r="E237" s="80"/>
      <c r="F237" s="84"/>
    </row>
    <row r="238" spans="2:6" s="72" customFormat="1" x14ac:dyDescent="0.2">
      <c r="B238" s="80"/>
      <c r="C238" s="80"/>
      <c r="D238" s="81"/>
      <c r="E238" s="80"/>
      <c r="F238" s="84"/>
    </row>
    <row r="239" spans="2:6" s="72" customFormat="1" x14ac:dyDescent="0.2">
      <c r="B239" s="80"/>
      <c r="C239" s="80"/>
      <c r="D239" s="81"/>
      <c r="E239" s="80"/>
      <c r="F239" s="84"/>
    </row>
    <row r="240" spans="2:6" s="72" customFormat="1" x14ac:dyDescent="0.2">
      <c r="B240" s="80"/>
      <c r="C240" s="80"/>
      <c r="D240" s="81"/>
      <c r="E240" s="80"/>
      <c r="F240" s="84"/>
    </row>
    <row r="241" spans="2:6" s="72" customFormat="1" x14ac:dyDescent="0.2">
      <c r="B241" s="80"/>
      <c r="C241" s="80"/>
      <c r="D241" s="81"/>
      <c r="E241" s="80"/>
      <c r="F241" s="84"/>
    </row>
    <row r="242" spans="2:6" s="72" customFormat="1" x14ac:dyDescent="0.2">
      <c r="B242" s="80"/>
      <c r="C242" s="80"/>
      <c r="D242" s="81"/>
      <c r="E242" s="80"/>
      <c r="F242" s="84"/>
    </row>
    <row r="243" spans="2:6" s="72" customFormat="1" x14ac:dyDescent="0.2">
      <c r="B243" s="80"/>
      <c r="C243" s="80"/>
      <c r="D243" s="81"/>
      <c r="E243" s="80"/>
      <c r="F243" s="84"/>
    </row>
    <row r="244" spans="2:6" s="72" customFormat="1" x14ac:dyDescent="0.2">
      <c r="B244" s="80"/>
      <c r="C244" s="80"/>
      <c r="D244" s="81"/>
      <c r="E244" s="80"/>
      <c r="F244" s="84"/>
    </row>
    <row r="245" spans="2:6" s="72" customFormat="1" x14ac:dyDescent="0.2">
      <c r="B245" s="80"/>
      <c r="C245" s="80"/>
      <c r="D245" s="81"/>
      <c r="E245" s="80"/>
      <c r="F245" s="84"/>
    </row>
    <row r="246" spans="2:6" s="72" customFormat="1" x14ac:dyDescent="0.2">
      <c r="B246" s="80"/>
      <c r="C246" s="80"/>
      <c r="D246" s="81"/>
      <c r="E246" s="80"/>
      <c r="F246" s="84"/>
    </row>
    <row r="247" spans="2:6" s="72" customFormat="1" x14ac:dyDescent="0.2">
      <c r="B247" s="80"/>
      <c r="C247" s="80"/>
      <c r="D247" s="81"/>
      <c r="E247" s="80"/>
      <c r="F247" s="84"/>
    </row>
    <row r="248" spans="2:6" s="72" customFormat="1" x14ac:dyDescent="0.2">
      <c r="B248" s="80"/>
      <c r="C248" s="80"/>
      <c r="D248" s="81"/>
      <c r="E248" s="80"/>
      <c r="F248" s="84"/>
    </row>
    <row r="249" spans="2:6" s="72" customFormat="1" x14ac:dyDescent="0.2">
      <c r="B249" s="80"/>
      <c r="C249" s="80"/>
      <c r="D249" s="81"/>
      <c r="E249" s="80"/>
      <c r="F249" s="84"/>
    </row>
    <row r="250" spans="2:6" s="72" customFormat="1" x14ac:dyDescent="0.2">
      <c r="B250" s="80"/>
      <c r="C250" s="80"/>
      <c r="D250" s="81"/>
      <c r="E250" s="80"/>
      <c r="F250" s="84"/>
    </row>
    <row r="251" spans="2:6" s="72" customFormat="1" x14ac:dyDescent="0.2">
      <c r="B251" s="80"/>
      <c r="C251" s="80"/>
      <c r="D251" s="81"/>
      <c r="E251" s="80"/>
      <c r="F251" s="84"/>
    </row>
    <row r="252" spans="2:6" s="72" customFormat="1" x14ac:dyDescent="0.2">
      <c r="B252" s="80"/>
      <c r="C252" s="80"/>
      <c r="D252" s="81"/>
      <c r="E252" s="80"/>
      <c r="F252" s="84"/>
    </row>
    <row r="253" spans="2:6" s="72" customFormat="1" x14ac:dyDescent="0.2">
      <c r="B253" s="80"/>
      <c r="C253" s="80"/>
      <c r="D253" s="81"/>
      <c r="E253" s="80"/>
      <c r="F253" s="84"/>
    </row>
    <row r="254" spans="2:6" s="72" customFormat="1" x14ac:dyDescent="0.2">
      <c r="B254" s="80"/>
      <c r="C254" s="80"/>
      <c r="D254" s="81"/>
      <c r="E254" s="80"/>
      <c r="F254" s="84"/>
    </row>
    <row r="255" spans="2:6" s="72" customFormat="1" x14ac:dyDescent="0.2">
      <c r="B255" s="80"/>
      <c r="C255" s="80"/>
      <c r="D255" s="81"/>
      <c r="E255" s="80"/>
      <c r="F255" s="84"/>
    </row>
    <row r="256" spans="2:6" s="72" customFormat="1" x14ac:dyDescent="0.2">
      <c r="B256" s="80"/>
      <c r="C256" s="80"/>
      <c r="D256" s="81"/>
      <c r="E256" s="80"/>
      <c r="F256" s="84"/>
    </row>
    <row r="257" spans="2:6" s="72" customFormat="1" x14ac:dyDescent="0.2">
      <c r="B257" s="80"/>
      <c r="C257" s="80"/>
      <c r="D257" s="81"/>
      <c r="E257" s="80"/>
      <c r="F257" s="84"/>
    </row>
    <row r="258" spans="2:6" s="72" customFormat="1" x14ac:dyDescent="0.2">
      <c r="B258" s="80"/>
      <c r="C258" s="80"/>
      <c r="D258" s="81"/>
      <c r="E258" s="80"/>
      <c r="F258" s="84"/>
    </row>
    <row r="259" spans="2:6" s="72" customFormat="1" x14ac:dyDescent="0.2">
      <c r="B259" s="80"/>
      <c r="C259" s="80"/>
      <c r="D259" s="81"/>
      <c r="E259" s="80"/>
      <c r="F259" s="84"/>
    </row>
    <row r="260" spans="2:6" s="72" customFormat="1" x14ac:dyDescent="0.2">
      <c r="B260" s="80"/>
      <c r="C260" s="80"/>
      <c r="D260" s="81"/>
      <c r="E260" s="80"/>
      <c r="F260" s="84"/>
    </row>
    <row r="261" spans="2:6" s="72" customFormat="1" x14ac:dyDescent="0.2">
      <c r="B261" s="80"/>
      <c r="C261" s="80"/>
      <c r="D261" s="81"/>
      <c r="E261" s="80"/>
      <c r="F261" s="84"/>
    </row>
    <row r="262" spans="2:6" s="72" customFormat="1" x14ac:dyDescent="0.2">
      <c r="B262" s="80"/>
      <c r="C262" s="80"/>
      <c r="D262" s="81"/>
      <c r="E262" s="80"/>
      <c r="F262" s="84"/>
    </row>
    <row r="263" spans="2:6" s="72" customFormat="1" x14ac:dyDescent="0.2">
      <c r="B263" s="80"/>
      <c r="C263" s="80"/>
      <c r="D263" s="81"/>
      <c r="E263" s="80"/>
      <c r="F263" s="84"/>
    </row>
    <row r="264" spans="2:6" s="72" customFormat="1" x14ac:dyDescent="0.2">
      <c r="B264" s="80"/>
      <c r="C264" s="80"/>
      <c r="D264" s="81"/>
      <c r="E264" s="80"/>
      <c r="F264" s="84"/>
    </row>
    <row r="265" spans="2:6" s="72" customFormat="1" x14ac:dyDescent="0.2">
      <c r="B265" s="80"/>
      <c r="C265" s="80"/>
      <c r="D265" s="81"/>
      <c r="E265" s="80"/>
      <c r="F265" s="84"/>
    </row>
    <row r="266" spans="2:6" s="72" customFormat="1" x14ac:dyDescent="0.2">
      <c r="B266" s="80"/>
      <c r="C266" s="80"/>
      <c r="D266" s="81"/>
      <c r="E266" s="80"/>
      <c r="F266" s="84"/>
    </row>
    <row r="267" spans="2:6" s="72" customFormat="1" x14ac:dyDescent="0.2">
      <c r="B267" s="80"/>
      <c r="C267" s="80"/>
      <c r="D267" s="81"/>
      <c r="E267" s="80"/>
      <c r="F267" s="84"/>
    </row>
    <row r="268" spans="2:6" s="72" customFormat="1" x14ac:dyDescent="0.2">
      <c r="B268" s="80"/>
      <c r="C268" s="80"/>
      <c r="D268" s="81"/>
      <c r="E268" s="80"/>
      <c r="F268" s="84"/>
    </row>
    <row r="269" spans="2:6" s="72" customFormat="1" x14ac:dyDescent="0.2">
      <c r="B269" s="80"/>
      <c r="C269" s="80"/>
      <c r="D269" s="81"/>
      <c r="E269" s="80"/>
      <c r="F269" s="84"/>
    </row>
    <row r="270" spans="2:6" s="72" customFormat="1" x14ac:dyDescent="0.2">
      <c r="B270" s="80"/>
      <c r="C270" s="80"/>
      <c r="D270" s="81"/>
      <c r="E270" s="80"/>
      <c r="F270" s="84"/>
    </row>
    <row r="271" spans="2:6" s="72" customFormat="1" x14ac:dyDescent="0.2">
      <c r="B271" s="80"/>
      <c r="C271" s="80"/>
      <c r="D271" s="81"/>
      <c r="E271" s="80"/>
      <c r="F271" s="84"/>
    </row>
    <row r="272" spans="2:6" s="72" customFormat="1" x14ac:dyDescent="0.2">
      <c r="B272" s="80"/>
      <c r="C272" s="80"/>
      <c r="D272" s="81"/>
      <c r="E272" s="80"/>
      <c r="F272" s="84"/>
    </row>
    <row r="273" spans="2:6" s="72" customFormat="1" x14ac:dyDescent="0.2">
      <c r="B273" s="80"/>
      <c r="C273" s="80"/>
      <c r="D273" s="81"/>
      <c r="E273" s="80"/>
      <c r="F273" s="84"/>
    </row>
    <row r="274" spans="2:6" s="72" customFormat="1" x14ac:dyDescent="0.2">
      <c r="B274" s="80"/>
      <c r="C274" s="80"/>
      <c r="D274" s="81"/>
      <c r="E274" s="80"/>
      <c r="F274" s="84"/>
    </row>
    <row r="275" spans="2:6" s="72" customFormat="1" x14ac:dyDescent="0.2">
      <c r="B275" s="80"/>
      <c r="C275" s="80"/>
      <c r="D275" s="81"/>
      <c r="E275" s="80"/>
      <c r="F275" s="84"/>
    </row>
    <row r="276" spans="2:6" s="72" customFormat="1" x14ac:dyDescent="0.2">
      <c r="B276" s="80"/>
      <c r="C276" s="80"/>
      <c r="D276" s="81"/>
      <c r="E276" s="80"/>
      <c r="F276" s="84"/>
    </row>
    <row r="277" spans="2:6" s="72" customFormat="1" x14ac:dyDescent="0.2">
      <c r="B277" s="80"/>
      <c r="C277" s="80"/>
      <c r="D277" s="81"/>
      <c r="E277" s="80"/>
      <c r="F277" s="84"/>
    </row>
    <row r="278" spans="2:6" s="72" customFormat="1" x14ac:dyDescent="0.2">
      <c r="B278" s="80"/>
      <c r="C278" s="80"/>
      <c r="D278" s="81"/>
      <c r="E278" s="80"/>
      <c r="F278" s="84"/>
    </row>
    <row r="279" spans="2:6" s="72" customFormat="1" x14ac:dyDescent="0.2">
      <c r="B279" s="80"/>
      <c r="C279" s="80"/>
      <c r="D279" s="81"/>
      <c r="E279" s="80"/>
      <c r="F279" s="84"/>
    </row>
    <row r="280" spans="2:6" s="72" customFormat="1" x14ac:dyDescent="0.2">
      <c r="B280" s="80"/>
      <c r="C280" s="80"/>
      <c r="D280" s="81"/>
      <c r="E280" s="80"/>
      <c r="F280" s="84"/>
    </row>
    <row r="281" spans="2:6" s="72" customFormat="1" x14ac:dyDescent="0.2">
      <c r="B281" s="80"/>
      <c r="C281" s="80"/>
      <c r="D281" s="81"/>
      <c r="E281" s="80"/>
      <c r="F281" s="84"/>
    </row>
    <row r="282" spans="2:6" s="72" customFormat="1" x14ac:dyDescent="0.2">
      <c r="B282" s="80"/>
      <c r="C282" s="80"/>
      <c r="D282" s="81"/>
      <c r="E282" s="80"/>
      <c r="F282" s="84"/>
    </row>
    <row r="283" spans="2:6" s="72" customFormat="1" x14ac:dyDescent="0.2">
      <c r="B283" s="80"/>
      <c r="C283" s="80"/>
      <c r="D283" s="81"/>
      <c r="E283" s="80"/>
      <c r="F283" s="84"/>
    </row>
    <row r="284" spans="2:6" s="72" customFormat="1" x14ac:dyDescent="0.2">
      <c r="B284" s="80"/>
      <c r="C284" s="80"/>
      <c r="D284" s="81"/>
      <c r="E284" s="80"/>
      <c r="F284" s="84"/>
    </row>
    <row r="285" spans="2:6" s="72" customFormat="1" x14ac:dyDescent="0.2">
      <c r="B285" s="80"/>
      <c r="C285" s="80"/>
      <c r="D285" s="81"/>
      <c r="E285" s="80"/>
      <c r="F285" s="84"/>
    </row>
    <row r="286" spans="2:6" s="72" customFormat="1" x14ac:dyDescent="0.2">
      <c r="B286" s="80"/>
      <c r="C286" s="80"/>
      <c r="D286" s="81"/>
      <c r="E286" s="80"/>
      <c r="F286" s="84"/>
    </row>
    <row r="287" spans="2:6" s="72" customFormat="1" x14ac:dyDescent="0.2">
      <c r="B287" s="80"/>
      <c r="C287" s="80"/>
      <c r="D287" s="81"/>
      <c r="E287" s="80"/>
      <c r="F287" s="84"/>
    </row>
    <row r="288" spans="2:6" s="72" customFormat="1" x14ac:dyDescent="0.2">
      <c r="B288" s="80"/>
      <c r="C288" s="80"/>
      <c r="D288" s="81"/>
      <c r="E288" s="80"/>
      <c r="F288" s="84"/>
    </row>
    <row r="289" spans="2:6" s="72" customFormat="1" x14ac:dyDescent="0.2">
      <c r="B289" s="80"/>
      <c r="C289" s="80"/>
      <c r="D289" s="81"/>
      <c r="E289" s="80"/>
      <c r="F289" s="84"/>
    </row>
    <row r="290" spans="2:6" s="72" customFormat="1" x14ac:dyDescent="0.2">
      <c r="B290" s="80"/>
      <c r="C290" s="80"/>
      <c r="D290" s="81"/>
      <c r="E290" s="80"/>
      <c r="F290" s="84"/>
    </row>
    <row r="291" spans="2:6" s="72" customFormat="1" x14ac:dyDescent="0.2">
      <c r="B291" s="80"/>
      <c r="C291" s="80"/>
      <c r="D291" s="81"/>
      <c r="E291" s="80"/>
      <c r="F291" s="84"/>
    </row>
    <row r="292" spans="2:6" s="72" customFormat="1" x14ac:dyDescent="0.2">
      <c r="B292" s="80"/>
      <c r="C292" s="80"/>
      <c r="D292" s="81"/>
      <c r="E292" s="80"/>
      <c r="F292" s="84"/>
    </row>
    <row r="293" spans="2:6" s="72" customFormat="1" x14ac:dyDescent="0.2">
      <c r="B293" s="80"/>
      <c r="C293" s="80"/>
      <c r="D293" s="81"/>
      <c r="E293" s="80"/>
      <c r="F293" s="84"/>
    </row>
    <row r="294" spans="2:6" s="72" customFormat="1" x14ac:dyDescent="0.2">
      <c r="B294" s="80"/>
      <c r="C294" s="80"/>
      <c r="D294" s="81"/>
      <c r="E294" s="80"/>
      <c r="F294" s="84"/>
    </row>
    <row r="295" spans="2:6" s="72" customFormat="1" x14ac:dyDescent="0.2">
      <c r="B295" s="80"/>
      <c r="C295" s="80"/>
      <c r="D295" s="81"/>
      <c r="E295" s="80"/>
      <c r="F295" s="84"/>
    </row>
    <row r="296" spans="2:6" s="72" customFormat="1" x14ac:dyDescent="0.2">
      <c r="B296" s="80"/>
      <c r="C296" s="80"/>
      <c r="D296" s="81"/>
      <c r="E296" s="80"/>
      <c r="F296" s="84"/>
    </row>
    <row r="297" spans="2:6" s="72" customFormat="1" x14ac:dyDescent="0.2">
      <c r="B297" s="80"/>
      <c r="C297" s="80"/>
      <c r="D297" s="81"/>
      <c r="E297" s="80"/>
      <c r="F297" s="84"/>
    </row>
    <row r="298" spans="2:6" s="72" customFormat="1" x14ac:dyDescent="0.2">
      <c r="B298" s="80"/>
      <c r="C298" s="80"/>
      <c r="D298" s="81"/>
      <c r="E298" s="80"/>
      <c r="F298" s="84"/>
    </row>
    <row r="299" spans="2:6" s="72" customFormat="1" x14ac:dyDescent="0.2">
      <c r="B299" s="80"/>
      <c r="C299" s="80"/>
      <c r="D299" s="81"/>
      <c r="E299" s="80"/>
      <c r="F299" s="84"/>
    </row>
    <row r="300" spans="2:6" s="72" customFormat="1" x14ac:dyDescent="0.2">
      <c r="B300" s="80"/>
      <c r="C300" s="80"/>
      <c r="D300" s="81"/>
      <c r="E300" s="80"/>
      <c r="F300" s="84"/>
    </row>
    <row r="301" spans="2:6" s="72" customFormat="1" x14ac:dyDescent="0.2">
      <c r="B301" s="80"/>
      <c r="C301" s="80"/>
      <c r="D301" s="81"/>
      <c r="E301" s="80"/>
      <c r="F301" s="84"/>
    </row>
    <row r="302" spans="2:6" s="72" customFormat="1" x14ac:dyDescent="0.2">
      <c r="B302" s="80"/>
      <c r="C302" s="80"/>
      <c r="D302" s="81"/>
      <c r="E302" s="80"/>
      <c r="F302" s="84"/>
    </row>
    <row r="303" spans="2:6" s="72" customFormat="1" x14ac:dyDescent="0.2">
      <c r="B303" s="80"/>
      <c r="C303" s="80"/>
      <c r="D303" s="81"/>
      <c r="E303" s="80"/>
      <c r="F303" s="84"/>
    </row>
    <row r="304" spans="2:6" s="72" customFormat="1" x14ac:dyDescent="0.2">
      <c r="B304" s="80"/>
      <c r="C304" s="80"/>
      <c r="D304" s="81"/>
      <c r="E304" s="80"/>
      <c r="F304" s="84"/>
    </row>
    <row r="305" spans="2:6" s="72" customFormat="1" x14ac:dyDescent="0.2">
      <c r="B305" s="80"/>
      <c r="C305" s="80"/>
      <c r="D305" s="81"/>
      <c r="E305" s="80"/>
      <c r="F305" s="84"/>
    </row>
    <row r="306" spans="2:6" s="72" customFormat="1" x14ac:dyDescent="0.2">
      <c r="B306" s="80"/>
      <c r="C306" s="80"/>
      <c r="D306" s="81"/>
      <c r="E306" s="80"/>
      <c r="F306" s="84"/>
    </row>
    <row r="307" spans="2:6" s="72" customFormat="1" x14ac:dyDescent="0.2">
      <c r="B307" s="80"/>
      <c r="C307" s="80"/>
      <c r="D307" s="81"/>
      <c r="E307" s="80"/>
      <c r="F307" s="84"/>
    </row>
    <row r="308" spans="2:6" s="72" customFormat="1" x14ac:dyDescent="0.2">
      <c r="B308" s="80"/>
      <c r="C308" s="80"/>
      <c r="D308" s="81"/>
      <c r="E308" s="80"/>
      <c r="F308" s="84"/>
    </row>
    <row r="309" spans="2:6" s="72" customFormat="1" x14ac:dyDescent="0.2">
      <c r="B309" s="80"/>
      <c r="C309" s="80"/>
      <c r="D309" s="81"/>
      <c r="E309" s="80"/>
      <c r="F309" s="84"/>
    </row>
    <row r="310" spans="2:6" s="72" customFormat="1" x14ac:dyDescent="0.2">
      <c r="B310" s="80"/>
      <c r="C310" s="80"/>
      <c r="D310" s="81"/>
      <c r="E310" s="80"/>
      <c r="F310" s="84"/>
    </row>
    <row r="311" spans="2:6" s="72" customFormat="1" x14ac:dyDescent="0.2">
      <c r="B311" s="80"/>
      <c r="C311" s="80"/>
      <c r="D311" s="81"/>
      <c r="E311" s="80"/>
      <c r="F311" s="84"/>
    </row>
    <row r="312" spans="2:6" s="72" customFormat="1" x14ac:dyDescent="0.2">
      <c r="B312" s="80"/>
      <c r="C312" s="80"/>
      <c r="D312" s="81"/>
      <c r="E312" s="80"/>
      <c r="F312" s="84"/>
    </row>
    <row r="313" spans="2:6" s="72" customFormat="1" x14ac:dyDescent="0.2">
      <c r="B313" s="80"/>
      <c r="C313" s="80"/>
      <c r="D313" s="81"/>
      <c r="E313" s="80"/>
      <c r="F313" s="84"/>
    </row>
    <row r="314" spans="2:6" s="72" customFormat="1" x14ac:dyDescent="0.2">
      <c r="B314" s="80"/>
      <c r="C314" s="80"/>
      <c r="D314" s="81"/>
      <c r="E314" s="80"/>
      <c r="F314" s="84"/>
    </row>
    <row r="315" spans="2:6" s="72" customFormat="1" x14ac:dyDescent="0.2">
      <c r="B315" s="80"/>
      <c r="C315" s="80"/>
      <c r="D315" s="81"/>
      <c r="E315" s="80"/>
      <c r="F315" s="84"/>
    </row>
    <row r="316" spans="2:6" s="72" customFormat="1" x14ac:dyDescent="0.2">
      <c r="B316" s="80"/>
      <c r="C316" s="80"/>
      <c r="D316" s="81"/>
      <c r="E316" s="80"/>
      <c r="F316" s="84"/>
    </row>
    <row r="317" spans="2:6" s="72" customFormat="1" x14ac:dyDescent="0.2">
      <c r="B317" s="80"/>
      <c r="C317" s="80"/>
      <c r="D317" s="81"/>
      <c r="E317" s="80"/>
      <c r="F317" s="84"/>
    </row>
    <row r="318" spans="2:6" s="72" customFormat="1" x14ac:dyDescent="0.2">
      <c r="B318" s="80"/>
      <c r="C318" s="80"/>
      <c r="D318" s="81"/>
      <c r="E318" s="80"/>
      <c r="F318" s="84"/>
    </row>
    <row r="319" spans="2:6" s="72" customFormat="1" x14ac:dyDescent="0.2">
      <c r="B319" s="80"/>
      <c r="C319" s="80"/>
      <c r="D319" s="81"/>
      <c r="E319" s="80"/>
      <c r="F319" s="84"/>
    </row>
    <row r="320" spans="2:6" s="72" customFormat="1" x14ac:dyDescent="0.2">
      <c r="B320" s="80"/>
      <c r="C320" s="80"/>
      <c r="D320" s="81"/>
      <c r="E320" s="80"/>
      <c r="F320" s="84"/>
    </row>
    <row r="321" spans="2:6" s="72" customFormat="1" x14ac:dyDescent="0.2">
      <c r="B321" s="80"/>
      <c r="C321" s="80"/>
      <c r="D321" s="81"/>
      <c r="E321" s="80"/>
      <c r="F321" s="84"/>
    </row>
    <row r="322" spans="2:6" s="72" customFormat="1" x14ac:dyDescent="0.2">
      <c r="B322" s="80"/>
      <c r="C322" s="80"/>
      <c r="D322" s="81"/>
      <c r="E322" s="80"/>
      <c r="F322" s="84"/>
    </row>
    <row r="323" spans="2:6" s="72" customFormat="1" x14ac:dyDescent="0.2">
      <c r="B323" s="80"/>
      <c r="C323" s="80"/>
      <c r="D323" s="81"/>
      <c r="E323" s="80"/>
      <c r="F323" s="84"/>
    </row>
    <row r="324" spans="2:6" s="72" customFormat="1" x14ac:dyDescent="0.2">
      <c r="B324" s="80"/>
      <c r="C324" s="80"/>
      <c r="D324" s="81"/>
      <c r="E324" s="80"/>
      <c r="F324" s="84"/>
    </row>
    <row r="325" spans="2:6" s="72" customFormat="1" x14ac:dyDescent="0.2">
      <c r="B325" s="80"/>
      <c r="C325" s="80"/>
      <c r="D325" s="81"/>
      <c r="E325" s="80"/>
      <c r="F325" s="84"/>
    </row>
    <row r="326" spans="2:6" s="72" customFormat="1" x14ac:dyDescent="0.2">
      <c r="B326" s="80"/>
      <c r="C326" s="80"/>
      <c r="D326" s="81"/>
      <c r="E326" s="80"/>
      <c r="F326" s="84"/>
    </row>
    <row r="327" spans="2:6" s="72" customFormat="1" x14ac:dyDescent="0.2">
      <c r="B327" s="80"/>
      <c r="C327" s="80"/>
      <c r="D327" s="81"/>
      <c r="E327" s="80"/>
      <c r="F327" s="84"/>
    </row>
    <row r="328" spans="2:6" s="72" customFormat="1" x14ac:dyDescent="0.2">
      <c r="B328" s="80"/>
      <c r="C328" s="80"/>
      <c r="D328" s="81"/>
      <c r="E328" s="80"/>
      <c r="F328" s="84"/>
    </row>
    <row r="329" spans="2:6" s="72" customFormat="1" x14ac:dyDescent="0.2">
      <c r="B329" s="80"/>
      <c r="C329" s="80"/>
      <c r="D329" s="81"/>
      <c r="E329" s="80"/>
      <c r="F329" s="84"/>
    </row>
    <row r="330" spans="2:6" s="72" customFormat="1" x14ac:dyDescent="0.2">
      <c r="B330" s="80"/>
      <c r="C330" s="80"/>
      <c r="D330" s="81"/>
      <c r="E330" s="80"/>
      <c r="F330" s="84"/>
    </row>
    <row r="331" spans="2:6" s="72" customFormat="1" x14ac:dyDescent="0.2">
      <c r="B331" s="80"/>
      <c r="C331" s="80"/>
      <c r="D331" s="81"/>
      <c r="E331" s="80"/>
      <c r="F331" s="84"/>
    </row>
    <row r="332" spans="2:6" s="72" customFormat="1" x14ac:dyDescent="0.2">
      <c r="B332" s="80"/>
      <c r="C332" s="80"/>
      <c r="D332" s="81"/>
      <c r="E332" s="80"/>
      <c r="F332" s="84"/>
    </row>
    <row r="333" spans="2:6" s="72" customFormat="1" x14ac:dyDescent="0.2">
      <c r="B333" s="80"/>
      <c r="C333" s="80"/>
      <c r="D333" s="81"/>
      <c r="E333" s="80"/>
      <c r="F333" s="84"/>
    </row>
    <row r="334" spans="2:6" s="72" customFormat="1" x14ac:dyDescent="0.2">
      <c r="B334" s="80"/>
      <c r="C334" s="80"/>
      <c r="D334" s="81"/>
      <c r="E334" s="80"/>
      <c r="F334" s="84"/>
    </row>
    <row r="335" spans="2:6" s="72" customFormat="1" x14ac:dyDescent="0.2">
      <c r="B335" s="80"/>
      <c r="C335" s="80"/>
      <c r="D335" s="81"/>
      <c r="E335" s="80"/>
      <c r="F335" s="84"/>
    </row>
    <row r="336" spans="2:6" s="72" customFormat="1" x14ac:dyDescent="0.2">
      <c r="B336" s="80"/>
      <c r="C336" s="80"/>
      <c r="D336" s="81"/>
      <c r="E336" s="80"/>
      <c r="F336" s="84"/>
    </row>
    <row r="337" spans="2:6" s="72" customFormat="1" x14ac:dyDescent="0.2">
      <c r="B337" s="80"/>
      <c r="C337" s="80"/>
      <c r="D337" s="81"/>
      <c r="E337" s="80"/>
      <c r="F337" s="84"/>
    </row>
    <row r="338" spans="2:6" s="72" customFormat="1" x14ac:dyDescent="0.2">
      <c r="B338" s="80"/>
      <c r="C338" s="80"/>
      <c r="D338" s="81"/>
      <c r="E338" s="80"/>
      <c r="F338" s="84"/>
    </row>
    <row r="339" spans="2:6" s="72" customFormat="1" x14ac:dyDescent="0.2">
      <c r="B339" s="80"/>
      <c r="C339" s="80"/>
      <c r="D339" s="81"/>
      <c r="E339" s="80"/>
      <c r="F339" s="84"/>
    </row>
    <row r="340" spans="2:6" s="72" customFormat="1" x14ac:dyDescent="0.2">
      <c r="B340" s="80"/>
      <c r="C340" s="80"/>
      <c r="D340" s="81"/>
      <c r="E340" s="80"/>
      <c r="F340" s="84"/>
    </row>
    <row r="341" spans="2:6" s="72" customFormat="1" x14ac:dyDescent="0.2">
      <c r="B341" s="80"/>
      <c r="C341" s="80"/>
      <c r="D341" s="81"/>
      <c r="E341" s="80"/>
      <c r="F341" s="84"/>
    </row>
    <row r="342" spans="2:6" s="72" customFormat="1" x14ac:dyDescent="0.2">
      <c r="B342" s="80"/>
      <c r="C342" s="80"/>
      <c r="D342" s="81"/>
      <c r="E342" s="80"/>
      <c r="F342" s="84"/>
    </row>
    <row r="343" spans="2:6" s="72" customFormat="1" x14ac:dyDescent="0.2">
      <c r="B343" s="80"/>
      <c r="C343" s="80"/>
      <c r="D343" s="81"/>
      <c r="E343" s="80"/>
      <c r="F343" s="84"/>
    </row>
    <row r="344" spans="2:6" s="72" customFormat="1" x14ac:dyDescent="0.2">
      <c r="B344" s="80"/>
      <c r="C344" s="80"/>
      <c r="D344" s="81"/>
      <c r="E344" s="80"/>
      <c r="F344" s="84"/>
    </row>
    <row r="345" spans="2:6" s="72" customFormat="1" x14ac:dyDescent="0.2">
      <c r="B345" s="80"/>
      <c r="C345" s="80"/>
      <c r="D345" s="81"/>
      <c r="E345" s="80"/>
      <c r="F345" s="84"/>
    </row>
    <row r="346" spans="2:6" s="72" customFormat="1" x14ac:dyDescent="0.2">
      <c r="B346" s="80"/>
      <c r="C346" s="80"/>
      <c r="D346" s="81"/>
      <c r="E346" s="80"/>
      <c r="F346" s="84"/>
    </row>
    <row r="347" spans="2:6" s="72" customFormat="1" x14ac:dyDescent="0.2">
      <c r="B347" s="80"/>
      <c r="C347" s="80"/>
      <c r="D347" s="81"/>
      <c r="E347" s="80"/>
      <c r="F347" s="84"/>
    </row>
    <row r="348" spans="2:6" s="72" customFormat="1" x14ac:dyDescent="0.2">
      <c r="B348" s="80"/>
      <c r="C348" s="80"/>
      <c r="D348" s="81"/>
      <c r="E348" s="80"/>
      <c r="F348" s="84"/>
    </row>
    <row r="349" spans="2:6" s="72" customFormat="1" x14ac:dyDescent="0.2">
      <c r="B349" s="80"/>
      <c r="C349" s="80"/>
      <c r="D349" s="81"/>
      <c r="E349" s="80"/>
      <c r="F349" s="84"/>
    </row>
    <row r="350" spans="2:6" s="72" customFormat="1" x14ac:dyDescent="0.2">
      <c r="B350" s="80"/>
      <c r="C350" s="80"/>
      <c r="D350" s="81"/>
      <c r="E350" s="80"/>
      <c r="F350" s="84"/>
    </row>
    <row r="351" spans="2:6" s="72" customFormat="1" x14ac:dyDescent="0.2">
      <c r="B351" s="80"/>
      <c r="C351" s="80"/>
      <c r="D351" s="81"/>
      <c r="E351" s="80"/>
      <c r="F351" s="84"/>
    </row>
    <row r="352" spans="2:6" s="72" customFormat="1" x14ac:dyDescent="0.2">
      <c r="B352" s="80"/>
      <c r="C352" s="80"/>
      <c r="D352" s="81"/>
      <c r="E352" s="80"/>
      <c r="F352" s="84"/>
    </row>
    <row r="353" spans="2:6" s="72" customFormat="1" x14ac:dyDescent="0.2">
      <c r="B353" s="80"/>
      <c r="C353" s="80"/>
      <c r="D353" s="81"/>
      <c r="E353" s="80"/>
      <c r="F353" s="84"/>
    </row>
    <row r="354" spans="2:6" s="72" customFormat="1" x14ac:dyDescent="0.2">
      <c r="B354" s="80"/>
      <c r="C354" s="80"/>
      <c r="D354" s="81"/>
      <c r="E354" s="80"/>
      <c r="F354" s="84"/>
    </row>
    <row r="355" spans="2:6" s="72" customFormat="1" x14ac:dyDescent="0.2">
      <c r="B355" s="80"/>
      <c r="C355" s="80"/>
      <c r="D355" s="81"/>
      <c r="E355" s="80"/>
      <c r="F355" s="84"/>
    </row>
    <row r="356" spans="2:6" s="72" customFormat="1" x14ac:dyDescent="0.2">
      <c r="B356" s="80"/>
      <c r="C356" s="80"/>
      <c r="D356" s="81"/>
      <c r="E356" s="80"/>
      <c r="F356" s="84"/>
    </row>
    <row r="357" spans="2:6" s="72" customFormat="1" x14ac:dyDescent="0.2">
      <c r="B357" s="80"/>
      <c r="C357" s="80"/>
      <c r="D357" s="81"/>
      <c r="E357" s="80"/>
      <c r="F357" s="84"/>
    </row>
    <row r="358" spans="2:6" s="72" customFormat="1" x14ac:dyDescent="0.2">
      <c r="B358" s="80"/>
      <c r="C358" s="80"/>
      <c r="D358" s="81"/>
      <c r="E358" s="80"/>
      <c r="F358" s="84"/>
    </row>
    <row r="359" spans="2:6" s="72" customFormat="1" x14ac:dyDescent="0.2">
      <c r="B359" s="80"/>
      <c r="C359" s="80"/>
      <c r="D359" s="81"/>
      <c r="E359" s="80"/>
      <c r="F359" s="84"/>
    </row>
    <row r="360" spans="2:6" s="72" customFormat="1" x14ac:dyDescent="0.2">
      <c r="B360" s="80"/>
      <c r="C360" s="80"/>
      <c r="D360" s="81"/>
      <c r="E360" s="80"/>
      <c r="F360" s="84"/>
    </row>
    <row r="361" spans="2:6" s="72" customFormat="1" x14ac:dyDescent="0.2">
      <c r="B361" s="80"/>
      <c r="C361" s="80"/>
      <c r="D361" s="81"/>
      <c r="E361" s="80"/>
      <c r="F361" s="84"/>
    </row>
    <row r="362" spans="2:6" s="72" customFormat="1" x14ac:dyDescent="0.2">
      <c r="B362" s="80"/>
      <c r="C362" s="80"/>
      <c r="D362" s="81"/>
      <c r="E362" s="80"/>
      <c r="F362" s="84"/>
    </row>
    <row r="363" spans="2:6" s="72" customFormat="1" x14ac:dyDescent="0.2">
      <c r="B363" s="80"/>
      <c r="C363" s="80"/>
      <c r="D363" s="81"/>
      <c r="E363" s="80"/>
      <c r="F363" s="84"/>
    </row>
    <row r="364" spans="2:6" s="72" customFormat="1" x14ac:dyDescent="0.2">
      <c r="B364" s="80"/>
      <c r="C364" s="80"/>
      <c r="D364" s="81"/>
      <c r="E364" s="80"/>
      <c r="F364" s="84"/>
    </row>
    <row r="365" spans="2:6" s="72" customFormat="1" x14ac:dyDescent="0.2">
      <c r="B365" s="80"/>
      <c r="C365" s="80"/>
      <c r="D365" s="81"/>
      <c r="E365" s="80"/>
      <c r="F365" s="84"/>
    </row>
    <row r="366" spans="2:6" s="72" customFormat="1" x14ac:dyDescent="0.2">
      <c r="B366" s="80"/>
      <c r="C366" s="80"/>
      <c r="D366" s="81"/>
      <c r="E366" s="80"/>
      <c r="F366" s="84"/>
    </row>
    <row r="367" spans="2:6" s="72" customFormat="1" x14ac:dyDescent="0.2">
      <c r="B367" s="80"/>
      <c r="C367" s="80"/>
      <c r="D367" s="81"/>
      <c r="E367" s="80"/>
      <c r="F367" s="84"/>
    </row>
    <row r="368" spans="2:6" s="72" customFormat="1" x14ac:dyDescent="0.2">
      <c r="B368" s="80"/>
      <c r="C368" s="80"/>
      <c r="D368" s="81"/>
      <c r="E368" s="80"/>
      <c r="F368" s="84"/>
    </row>
    <row r="369" spans="2:6" s="72" customFormat="1" x14ac:dyDescent="0.2">
      <c r="B369" s="80"/>
      <c r="C369" s="80"/>
      <c r="D369" s="81"/>
      <c r="E369" s="80"/>
      <c r="F369" s="84"/>
    </row>
    <row r="370" spans="2:6" s="72" customFormat="1" x14ac:dyDescent="0.2">
      <c r="B370" s="80"/>
      <c r="C370" s="80"/>
      <c r="D370" s="81"/>
      <c r="E370" s="80"/>
      <c r="F370" s="84"/>
    </row>
    <row r="371" spans="2:6" s="72" customFormat="1" x14ac:dyDescent="0.2">
      <c r="B371" s="80"/>
      <c r="C371" s="80"/>
      <c r="D371" s="81"/>
      <c r="E371" s="80"/>
      <c r="F371" s="84"/>
    </row>
    <row r="372" spans="2:6" s="72" customFormat="1" x14ac:dyDescent="0.2">
      <c r="B372" s="80"/>
      <c r="C372" s="80"/>
      <c r="D372" s="81"/>
      <c r="E372" s="80"/>
      <c r="F372" s="84"/>
    </row>
    <row r="373" spans="2:6" s="72" customFormat="1" x14ac:dyDescent="0.2">
      <c r="B373" s="80"/>
      <c r="C373" s="80"/>
      <c r="D373" s="81"/>
      <c r="E373" s="80"/>
      <c r="F373" s="84"/>
    </row>
    <row r="374" spans="2:6" s="72" customFormat="1" x14ac:dyDescent="0.2">
      <c r="B374" s="80"/>
      <c r="C374" s="80"/>
      <c r="D374" s="81"/>
      <c r="E374" s="80"/>
      <c r="F374" s="84"/>
    </row>
    <row r="375" spans="2:6" s="72" customFormat="1" x14ac:dyDescent="0.2">
      <c r="B375" s="80"/>
      <c r="C375" s="80"/>
      <c r="D375" s="81"/>
      <c r="E375" s="80"/>
      <c r="F375" s="84"/>
    </row>
    <row r="376" spans="2:6" s="72" customFormat="1" x14ac:dyDescent="0.2">
      <c r="B376" s="80"/>
      <c r="C376" s="80"/>
      <c r="D376" s="81"/>
      <c r="E376" s="80"/>
      <c r="F376" s="84"/>
    </row>
    <row r="377" spans="2:6" s="72" customFormat="1" x14ac:dyDescent="0.2">
      <c r="B377" s="80"/>
      <c r="C377" s="80"/>
      <c r="D377" s="81"/>
      <c r="E377" s="80"/>
      <c r="F377" s="84"/>
    </row>
    <row r="378" spans="2:6" s="72" customFormat="1" x14ac:dyDescent="0.2">
      <c r="B378" s="80"/>
      <c r="C378" s="80"/>
      <c r="D378" s="81"/>
      <c r="E378" s="80"/>
      <c r="F378" s="84"/>
    </row>
    <row r="379" spans="2:6" s="72" customFormat="1" x14ac:dyDescent="0.2">
      <c r="B379" s="80"/>
      <c r="C379" s="80"/>
      <c r="D379" s="81"/>
      <c r="E379" s="80"/>
      <c r="F379" s="84"/>
    </row>
    <row r="380" spans="2:6" s="72" customFormat="1" x14ac:dyDescent="0.2">
      <c r="B380" s="80"/>
      <c r="C380" s="80"/>
      <c r="D380" s="81"/>
      <c r="E380" s="80"/>
      <c r="F380" s="84"/>
    </row>
    <row r="381" spans="2:6" s="72" customFormat="1" x14ac:dyDescent="0.2">
      <c r="B381" s="80"/>
      <c r="C381" s="80"/>
      <c r="D381" s="81"/>
      <c r="E381" s="80"/>
      <c r="F381" s="84"/>
    </row>
    <row r="382" spans="2:6" s="72" customFormat="1" x14ac:dyDescent="0.2">
      <c r="B382" s="80"/>
      <c r="C382" s="80"/>
      <c r="D382" s="81"/>
      <c r="E382" s="80"/>
      <c r="F382" s="84"/>
    </row>
    <row r="383" spans="2:6" s="72" customFormat="1" x14ac:dyDescent="0.2">
      <c r="B383" s="80"/>
      <c r="C383" s="80"/>
      <c r="D383" s="81"/>
      <c r="E383" s="80"/>
      <c r="F383" s="84"/>
    </row>
    <row r="384" spans="2:6" s="72" customFormat="1" x14ac:dyDescent="0.2">
      <c r="B384" s="80"/>
      <c r="C384" s="80"/>
      <c r="D384" s="81"/>
      <c r="E384" s="80"/>
      <c r="F384" s="84"/>
    </row>
    <row r="385" spans="2:6" s="72" customFormat="1" x14ac:dyDescent="0.2">
      <c r="B385" s="80"/>
      <c r="C385" s="80"/>
      <c r="D385" s="81"/>
      <c r="E385" s="80"/>
      <c r="F385" s="84"/>
    </row>
    <row r="386" spans="2:6" s="72" customFormat="1" x14ac:dyDescent="0.2">
      <c r="B386" s="80"/>
      <c r="C386" s="80"/>
      <c r="D386" s="81"/>
      <c r="E386" s="80"/>
      <c r="F386" s="84"/>
    </row>
    <row r="387" spans="2:6" s="72" customFormat="1" x14ac:dyDescent="0.2">
      <c r="B387" s="80"/>
      <c r="C387" s="80"/>
      <c r="D387" s="81"/>
      <c r="E387" s="80"/>
      <c r="F387" s="84"/>
    </row>
    <row r="388" spans="2:6" s="72" customFormat="1" x14ac:dyDescent="0.2">
      <c r="B388" s="80"/>
      <c r="C388" s="80"/>
      <c r="D388" s="81"/>
      <c r="E388" s="80"/>
      <c r="F388" s="84"/>
    </row>
    <row r="389" spans="2:6" s="72" customFormat="1" x14ac:dyDescent="0.2">
      <c r="B389" s="80"/>
      <c r="C389" s="80"/>
      <c r="D389" s="81"/>
      <c r="E389" s="80"/>
      <c r="F389" s="84"/>
    </row>
    <row r="390" spans="2:6" s="72" customFormat="1" x14ac:dyDescent="0.2">
      <c r="B390" s="80"/>
      <c r="C390" s="80"/>
      <c r="D390" s="81"/>
      <c r="E390" s="80"/>
      <c r="F390" s="84"/>
    </row>
    <row r="391" spans="2:6" s="72" customFormat="1" x14ac:dyDescent="0.2">
      <c r="B391" s="80"/>
      <c r="C391" s="80"/>
      <c r="D391" s="81"/>
      <c r="E391" s="80"/>
      <c r="F391" s="84"/>
    </row>
    <row r="392" spans="2:6" s="72" customFormat="1" x14ac:dyDescent="0.2">
      <c r="B392" s="80"/>
      <c r="C392" s="80"/>
      <c r="D392" s="81"/>
      <c r="E392" s="80"/>
      <c r="F392" s="84"/>
    </row>
    <row r="393" spans="2:6" s="72" customFormat="1" x14ac:dyDescent="0.2">
      <c r="B393" s="80"/>
      <c r="C393" s="80"/>
      <c r="D393" s="81"/>
      <c r="E393" s="80"/>
      <c r="F393" s="84"/>
    </row>
    <row r="394" spans="2:6" s="72" customFormat="1" x14ac:dyDescent="0.2">
      <c r="B394" s="80"/>
      <c r="C394" s="80"/>
      <c r="D394" s="81"/>
      <c r="E394" s="80"/>
      <c r="F394" s="84"/>
    </row>
    <row r="395" spans="2:6" s="72" customFormat="1" x14ac:dyDescent="0.2">
      <c r="B395" s="80"/>
      <c r="C395" s="80"/>
      <c r="D395" s="81"/>
      <c r="E395" s="80"/>
      <c r="F395" s="84"/>
    </row>
    <row r="396" spans="2:6" s="72" customFormat="1" x14ac:dyDescent="0.2">
      <c r="B396" s="80"/>
      <c r="C396" s="80"/>
      <c r="D396" s="81"/>
      <c r="E396" s="80"/>
      <c r="F396" s="84"/>
    </row>
    <row r="397" spans="2:6" s="72" customFormat="1" x14ac:dyDescent="0.2">
      <c r="B397" s="80"/>
      <c r="C397" s="80"/>
      <c r="D397" s="81"/>
      <c r="E397" s="80"/>
      <c r="F397" s="84"/>
    </row>
    <row r="398" spans="2:6" s="72" customFormat="1" x14ac:dyDescent="0.2">
      <c r="B398" s="80"/>
      <c r="C398" s="80"/>
      <c r="D398" s="81"/>
      <c r="E398" s="80"/>
      <c r="F398" s="84"/>
    </row>
    <row r="399" spans="2:6" s="72" customFormat="1" x14ac:dyDescent="0.2">
      <c r="B399" s="80"/>
      <c r="C399" s="80"/>
      <c r="D399" s="81"/>
      <c r="E399" s="80"/>
      <c r="F399" s="84"/>
    </row>
    <row r="400" spans="2:6" s="72" customFormat="1" x14ac:dyDescent="0.2">
      <c r="B400" s="80"/>
      <c r="C400" s="80"/>
      <c r="D400" s="81"/>
      <c r="E400" s="80"/>
      <c r="F400" s="84"/>
    </row>
    <row r="401" spans="2:6" s="72" customFormat="1" x14ac:dyDescent="0.2">
      <c r="B401" s="80"/>
      <c r="C401" s="80"/>
      <c r="D401" s="81"/>
      <c r="E401" s="80"/>
      <c r="F401" s="84"/>
    </row>
    <row r="402" spans="2:6" s="72" customFormat="1" x14ac:dyDescent="0.2">
      <c r="B402" s="80"/>
      <c r="C402" s="80"/>
      <c r="D402" s="81"/>
      <c r="E402" s="80"/>
      <c r="F402" s="84"/>
    </row>
    <row r="403" spans="2:6" s="72" customFormat="1" x14ac:dyDescent="0.2">
      <c r="B403" s="80"/>
      <c r="C403" s="80"/>
      <c r="D403" s="81"/>
      <c r="E403" s="80"/>
      <c r="F403" s="84"/>
    </row>
    <row r="404" spans="2:6" s="72" customFormat="1" x14ac:dyDescent="0.2">
      <c r="B404" s="80"/>
      <c r="C404" s="80"/>
      <c r="D404" s="81"/>
      <c r="E404" s="80"/>
      <c r="F404" s="84"/>
    </row>
    <row r="405" spans="2:6" s="72" customFormat="1" x14ac:dyDescent="0.2">
      <c r="B405" s="80"/>
      <c r="C405" s="80"/>
      <c r="D405" s="81"/>
      <c r="E405" s="80"/>
      <c r="F405" s="84"/>
    </row>
    <row r="406" spans="2:6" s="72" customFormat="1" x14ac:dyDescent="0.2">
      <c r="B406" s="80"/>
      <c r="C406" s="80"/>
      <c r="D406" s="81"/>
      <c r="E406" s="80"/>
      <c r="F406" s="84"/>
    </row>
    <row r="407" spans="2:6" s="72" customFormat="1" x14ac:dyDescent="0.2">
      <c r="B407" s="80"/>
      <c r="C407" s="80"/>
      <c r="D407" s="81"/>
      <c r="E407" s="80"/>
      <c r="F407" s="84"/>
    </row>
    <row r="408" spans="2:6" s="72" customFormat="1" x14ac:dyDescent="0.2">
      <c r="B408" s="80"/>
      <c r="C408" s="80"/>
      <c r="D408" s="81"/>
      <c r="E408" s="80"/>
      <c r="F408" s="84"/>
    </row>
    <row r="409" spans="2:6" s="72" customFormat="1" x14ac:dyDescent="0.2">
      <c r="B409" s="80"/>
      <c r="C409" s="80"/>
      <c r="D409" s="81"/>
      <c r="E409" s="80"/>
      <c r="F409" s="84"/>
    </row>
    <row r="410" spans="2:6" s="72" customFormat="1" x14ac:dyDescent="0.2">
      <c r="B410" s="80"/>
      <c r="C410" s="80"/>
      <c r="D410" s="81"/>
      <c r="E410" s="80"/>
      <c r="F410" s="84"/>
    </row>
    <row r="411" spans="2:6" s="72" customFormat="1" x14ac:dyDescent="0.2">
      <c r="B411" s="80"/>
      <c r="C411" s="80"/>
      <c r="D411" s="81"/>
      <c r="E411" s="80"/>
      <c r="F411" s="84"/>
    </row>
    <row r="412" spans="2:6" s="72" customFormat="1" x14ac:dyDescent="0.2">
      <c r="B412" s="80"/>
      <c r="C412" s="80"/>
      <c r="D412" s="81"/>
      <c r="E412" s="80"/>
      <c r="F412" s="84"/>
    </row>
    <row r="413" spans="2:6" s="72" customFormat="1" x14ac:dyDescent="0.2">
      <c r="B413" s="80"/>
      <c r="C413" s="80"/>
      <c r="D413" s="81"/>
      <c r="E413" s="80"/>
      <c r="F413" s="84"/>
    </row>
    <row r="414" spans="2:6" s="72" customFormat="1" x14ac:dyDescent="0.2">
      <c r="B414" s="80"/>
      <c r="C414" s="80"/>
      <c r="D414" s="81"/>
      <c r="E414" s="80"/>
      <c r="F414" s="84"/>
    </row>
    <row r="415" spans="2:6" s="72" customFormat="1" x14ac:dyDescent="0.2">
      <c r="B415" s="80"/>
      <c r="C415" s="80"/>
      <c r="D415" s="81"/>
      <c r="E415" s="80"/>
      <c r="F415" s="84"/>
    </row>
    <row r="416" spans="2:6" s="72" customFormat="1" x14ac:dyDescent="0.2">
      <c r="B416" s="80"/>
      <c r="C416" s="80"/>
      <c r="D416" s="81"/>
      <c r="E416" s="80"/>
      <c r="F416" s="84"/>
    </row>
    <row r="417" spans="2:6" s="72" customFormat="1" x14ac:dyDescent="0.2">
      <c r="B417" s="80"/>
      <c r="C417" s="80"/>
      <c r="D417" s="81"/>
      <c r="E417" s="80"/>
      <c r="F417" s="84"/>
    </row>
    <row r="418" spans="2:6" s="72" customFormat="1" x14ac:dyDescent="0.2">
      <c r="B418" s="80"/>
      <c r="C418" s="80"/>
      <c r="D418" s="81"/>
      <c r="E418" s="80"/>
      <c r="F418" s="84"/>
    </row>
    <row r="419" spans="2:6" s="72" customFormat="1" x14ac:dyDescent="0.2">
      <c r="B419" s="80"/>
      <c r="C419" s="80"/>
      <c r="D419" s="81"/>
      <c r="E419" s="80"/>
      <c r="F419" s="84"/>
    </row>
    <row r="420" spans="2:6" s="72" customFormat="1" x14ac:dyDescent="0.2">
      <c r="B420" s="80"/>
      <c r="C420" s="80"/>
      <c r="D420" s="81"/>
      <c r="E420" s="80"/>
      <c r="F420" s="84"/>
    </row>
    <row r="421" spans="2:6" s="72" customFormat="1" x14ac:dyDescent="0.2">
      <c r="B421" s="80"/>
      <c r="C421" s="80"/>
      <c r="D421" s="81"/>
      <c r="E421" s="80"/>
      <c r="F421" s="84"/>
    </row>
    <row r="422" spans="2:6" s="72" customFormat="1" x14ac:dyDescent="0.2">
      <c r="B422" s="80"/>
      <c r="C422" s="80"/>
      <c r="D422" s="81"/>
      <c r="E422" s="80"/>
      <c r="F422" s="84"/>
    </row>
    <row r="423" spans="2:6" s="72" customFormat="1" x14ac:dyDescent="0.2">
      <c r="B423" s="80"/>
      <c r="C423" s="80"/>
      <c r="D423" s="81"/>
      <c r="E423" s="80"/>
      <c r="F423" s="84"/>
    </row>
    <row r="424" spans="2:6" s="72" customFormat="1" x14ac:dyDescent="0.2">
      <c r="B424" s="80"/>
      <c r="C424" s="80"/>
      <c r="D424" s="81"/>
      <c r="E424" s="80"/>
      <c r="F424" s="84"/>
    </row>
    <row r="425" spans="2:6" s="72" customFormat="1" x14ac:dyDescent="0.2">
      <c r="B425" s="80"/>
      <c r="C425" s="80"/>
      <c r="D425" s="81"/>
      <c r="E425" s="80"/>
      <c r="F425" s="84"/>
    </row>
    <row r="426" spans="2:6" s="72" customFormat="1" x14ac:dyDescent="0.2">
      <c r="B426" s="80"/>
      <c r="C426" s="80"/>
      <c r="D426" s="81"/>
      <c r="E426" s="80"/>
      <c r="F426" s="84"/>
    </row>
    <row r="427" spans="2:6" s="72" customFormat="1" x14ac:dyDescent="0.2">
      <c r="B427" s="80"/>
      <c r="C427" s="80"/>
      <c r="D427" s="81"/>
      <c r="E427" s="80"/>
      <c r="F427" s="84"/>
    </row>
    <row r="428" spans="2:6" s="72" customFormat="1" x14ac:dyDescent="0.2">
      <c r="B428" s="80"/>
      <c r="C428" s="80"/>
      <c r="D428" s="81"/>
      <c r="E428" s="80"/>
      <c r="F428" s="84"/>
    </row>
    <row r="429" spans="2:6" s="72" customFormat="1" x14ac:dyDescent="0.2">
      <c r="B429" s="80"/>
      <c r="C429" s="80"/>
      <c r="D429" s="81"/>
      <c r="E429" s="80"/>
      <c r="F429" s="84"/>
    </row>
    <row r="430" spans="2:6" s="72" customFormat="1" x14ac:dyDescent="0.2">
      <c r="B430" s="80"/>
      <c r="C430" s="80"/>
      <c r="D430" s="81"/>
      <c r="E430" s="80"/>
      <c r="F430" s="84"/>
    </row>
    <row r="431" spans="2:6" s="72" customFormat="1" x14ac:dyDescent="0.2">
      <c r="B431" s="80"/>
      <c r="C431" s="80"/>
      <c r="D431" s="81"/>
      <c r="E431" s="80"/>
      <c r="F431" s="84"/>
    </row>
    <row r="432" spans="2:6" s="72" customFormat="1" x14ac:dyDescent="0.2">
      <c r="B432" s="80"/>
      <c r="C432" s="80"/>
      <c r="D432" s="81"/>
      <c r="E432" s="80"/>
      <c r="F432" s="84"/>
    </row>
    <row r="433" spans="2:6" s="72" customFormat="1" x14ac:dyDescent="0.2">
      <c r="B433" s="80"/>
      <c r="C433" s="80"/>
      <c r="D433" s="81"/>
      <c r="E433" s="80"/>
      <c r="F433" s="84"/>
    </row>
    <row r="434" spans="2:6" s="72" customFormat="1" x14ac:dyDescent="0.2">
      <c r="B434" s="80"/>
      <c r="C434" s="80"/>
      <c r="D434" s="81"/>
      <c r="E434" s="80"/>
      <c r="F434" s="84"/>
    </row>
    <row r="435" spans="2:6" s="72" customFormat="1" x14ac:dyDescent="0.2">
      <c r="B435" s="80"/>
      <c r="C435" s="80"/>
      <c r="D435" s="81"/>
      <c r="E435" s="80"/>
      <c r="F435" s="84"/>
    </row>
    <row r="436" spans="2:6" s="72" customFormat="1" x14ac:dyDescent="0.2">
      <c r="B436" s="80"/>
      <c r="C436" s="80"/>
      <c r="D436" s="81"/>
      <c r="E436" s="80"/>
      <c r="F436" s="84"/>
    </row>
    <row r="437" spans="2:6" s="72" customFormat="1" x14ac:dyDescent="0.2">
      <c r="B437" s="80"/>
      <c r="C437" s="80"/>
      <c r="D437" s="81"/>
      <c r="E437" s="80"/>
      <c r="F437" s="84"/>
    </row>
    <row r="438" spans="2:6" s="72" customFormat="1" x14ac:dyDescent="0.2">
      <c r="B438" s="80"/>
      <c r="C438" s="80"/>
      <c r="D438" s="81"/>
      <c r="E438" s="80"/>
      <c r="F438" s="84"/>
    </row>
    <row r="439" spans="2:6" s="72" customFormat="1" x14ac:dyDescent="0.2">
      <c r="B439" s="80"/>
      <c r="C439" s="80"/>
      <c r="D439" s="81"/>
      <c r="E439" s="80"/>
      <c r="F439" s="84"/>
    </row>
    <row r="440" spans="2:6" s="72" customFormat="1" x14ac:dyDescent="0.2">
      <c r="B440" s="80"/>
      <c r="C440" s="80"/>
      <c r="D440" s="81"/>
      <c r="E440" s="80"/>
      <c r="F440" s="84"/>
    </row>
    <row r="441" spans="2:6" s="72" customFormat="1" x14ac:dyDescent="0.2">
      <c r="B441" s="80"/>
      <c r="C441" s="80"/>
      <c r="D441" s="81"/>
      <c r="E441" s="80"/>
      <c r="F441" s="84"/>
    </row>
    <row r="442" spans="2:6" s="72" customFormat="1" x14ac:dyDescent="0.2">
      <c r="B442" s="80"/>
      <c r="C442" s="80"/>
      <c r="D442" s="81"/>
      <c r="E442" s="80"/>
      <c r="F442" s="84"/>
    </row>
    <row r="443" spans="2:6" s="72" customFormat="1" x14ac:dyDescent="0.2">
      <c r="B443" s="80"/>
      <c r="C443" s="80"/>
      <c r="D443" s="81"/>
      <c r="E443" s="80"/>
      <c r="F443" s="84"/>
    </row>
    <row r="444" spans="2:6" s="72" customFormat="1" x14ac:dyDescent="0.2">
      <c r="B444" s="80"/>
      <c r="C444" s="80"/>
      <c r="D444" s="81"/>
      <c r="E444" s="80"/>
      <c r="F444" s="84"/>
    </row>
    <row r="445" spans="2:6" s="72" customFormat="1" x14ac:dyDescent="0.2">
      <c r="B445" s="80"/>
      <c r="C445" s="80"/>
      <c r="D445" s="81"/>
      <c r="E445" s="80"/>
      <c r="F445" s="84"/>
    </row>
    <row r="446" spans="2:6" s="72" customFormat="1" x14ac:dyDescent="0.2">
      <c r="B446" s="80"/>
      <c r="C446" s="80"/>
      <c r="D446" s="81"/>
      <c r="E446" s="80"/>
      <c r="F446" s="84"/>
    </row>
    <row r="447" spans="2:6" s="72" customFormat="1" x14ac:dyDescent="0.2">
      <c r="B447" s="80"/>
      <c r="C447" s="80"/>
      <c r="D447" s="81"/>
      <c r="E447" s="80"/>
      <c r="F447" s="84"/>
    </row>
    <row r="448" spans="2:6" s="72" customFormat="1" x14ac:dyDescent="0.2">
      <c r="B448" s="80"/>
      <c r="C448" s="80"/>
      <c r="D448" s="81"/>
      <c r="E448" s="80"/>
      <c r="F448" s="84"/>
    </row>
    <row r="449" spans="2:6" s="72" customFormat="1" x14ac:dyDescent="0.2">
      <c r="B449" s="80"/>
      <c r="C449" s="80"/>
      <c r="D449" s="81"/>
      <c r="E449" s="80"/>
      <c r="F449" s="84"/>
    </row>
    <row r="450" spans="2:6" s="72" customFormat="1" x14ac:dyDescent="0.2">
      <c r="B450" s="80"/>
      <c r="C450" s="80"/>
      <c r="D450" s="81"/>
      <c r="E450" s="80"/>
      <c r="F450" s="84"/>
    </row>
    <row r="451" spans="2:6" s="72" customFormat="1" x14ac:dyDescent="0.2">
      <c r="B451" s="80"/>
      <c r="C451" s="80"/>
      <c r="D451" s="81"/>
      <c r="E451" s="80"/>
      <c r="F451" s="84"/>
    </row>
    <row r="452" spans="2:6" s="72" customFormat="1" x14ac:dyDescent="0.2">
      <c r="B452" s="80"/>
      <c r="C452" s="80"/>
      <c r="D452" s="81"/>
      <c r="E452" s="80"/>
      <c r="F452" s="84"/>
    </row>
    <row r="453" spans="2:6" s="72" customFormat="1" x14ac:dyDescent="0.2">
      <c r="B453" s="80"/>
      <c r="C453" s="80"/>
      <c r="D453" s="81"/>
      <c r="E453" s="80"/>
      <c r="F453" s="84"/>
    </row>
    <row r="454" spans="2:6" s="72" customFormat="1" x14ac:dyDescent="0.2">
      <c r="B454" s="80"/>
      <c r="C454" s="80"/>
      <c r="D454" s="81"/>
      <c r="E454" s="80"/>
      <c r="F454" s="84"/>
    </row>
    <row r="455" spans="2:6" s="72" customFormat="1" x14ac:dyDescent="0.2">
      <c r="B455" s="80"/>
      <c r="C455" s="80"/>
      <c r="D455" s="81"/>
      <c r="E455" s="80"/>
      <c r="F455" s="84"/>
    </row>
    <row r="456" spans="2:6" s="72" customFormat="1" x14ac:dyDescent="0.2">
      <c r="B456" s="80"/>
      <c r="C456" s="80"/>
      <c r="D456" s="81"/>
      <c r="E456" s="80"/>
      <c r="F456" s="84"/>
    </row>
    <row r="457" spans="2:6" s="72" customFormat="1" x14ac:dyDescent="0.2">
      <c r="B457" s="80"/>
      <c r="C457" s="80"/>
      <c r="D457" s="81"/>
      <c r="E457" s="80"/>
      <c r="F457" s="84"/>
    </row>
    <row r="458" spans="2:6" s="72" customFormat="1" x14ac:dyDescent="0.2">
      <c r="B458" s="80"/>
      <c r="C458" s="80"/>
      <c r="D458" s="81"/>
      <c r="E458" s="80"/>
      <c r="F458" s="84"/>
    </row>
    <row r="459" spans="2:6" s="72" customFormat="1" x14ac:dyDescent="0.2">
      <c r="B459" s="80"/>
      <c r="C459" s="80"/>
      <c r="D459" s="81"/>
      <c r="E459" s="80"/>
      <c r="F459" s="84"/>
    </row>
    <row r="460" spans="2:6" s="72" customFormat="1" x14ac:dyDescent="0.2">
      <c r="B460" s="80"/>
      <c r="C460" s="80"/>
      <c r="D460" s="81"/>
      <c r="E460" s="80"/>
      <c r="F460" s="84"/>
    </row>
    <row r="461" spans="2:6" s="72" customFormat="1" x14ac:dyDescent="0.2">
      <c r="B461" s="80"/>
      <c r="C461" s="80"/>
      <c r="D461" s="81"/>
      <c r="E461" s="80"/>
      <c r="F461" s="84"/>
    </row>
    <row r="462" spans="2:6" s="72" customFormat="1" x14ac:dyDescent="0.2">
      <c r="B462" s="80"/>
      <c r="C462" s="80"/>
      <c r="D462" s="81"/>
      <c r="E462" s="80"/>
      <c r="F462" s="84"/>
    </row>
    <row r="463" spans="2:6" s="72" customFormat="1" x14ac:dyDescent="0.2">
      <c r="B463" s="80"/>
      <c r="C463" s="80"/>
      <c r="D463" s="81"/>
      <c r="E463" s="80"/>
      <c r="F463" s="84"/>
    </row>
    <row r="464" spans="2:6" s="72" customFormat="1" x14ac:dyDescent="0.2">
      <c r="B464" s="80"/>
      <c r="C464" s="80"/>
      <c r="D464" s="81"/>
      <c r="E464" s="80"/>
      <c r="F464" s="84"/>
    </row>
    <row r="465" spans="2:6" s="72" customFormat="1" x14ac:dyDescent="0.2">
      <c r="B465" s="80"/>
      <c r="C465" s="80"/>
      <c r="D465" s="81"/>
      <c r="E465" s="80"/>
      <c r="F465" s="84"/>
    </row>
    <row r="466" spans="2:6" s="72" customFormat="1" x14ac:dyDescent="0.2">
      <c r="B466" s="80"/>
      <c r="C466" s="80"/>
      <c r="D466" s="81"/>
      <c r="E466" s="80"/>
      <c r="F466" s="84"/>
    </row>
    <row r="467" spans="2:6" s="72" customFormat="1" x14ac:dyDescent="0.2">
      <c r="B467" s="80"/>
      <c r="C467" s="80"/>
      <c r="D467" s="81"/>
      <c r="E467" s="80"/>
      <c r="F467" s="84"/>
    </row>
    <row r="468" spans="2:6" s="72" customFormat="1" x14ac:dyDescent="0.2">
      <c r="B468" s="80"/>
      <c r="C468" s="80"/>
      <c r="D468" s="81"/>
      <c r="E468" s="80"/>
      <c r="F468" s="84"/>
    </row>
    <row r="469" spans="2:6" s="72" customFormat="1" x14ac:dyDescent="0.2">
      <c r="B469" s="80"/>
      <c r="C469" s="80"/>
      <c r="D469" s="81"/>
      <c r="E469" s="80"/>
      <c r="F469" s="84"/>
    </row>
    <row r="470" spans="2:6" s="72" customFormat="1" x14ac:dyDescent="0.2">
      <c r="B470" s="80"/>
      <c r="C470" s="80"/>
      <c r="D470" s="81"/>
      <c r="E470" s="80"/>
      <c r="F470" s="84"/>
    </row>
    <row r="471" spans="2:6" s="72" customFormat="1" x14ac:dyDescent="0.2">
      <c r="B471" s="80"/>
      <c r="C471" s="80"/>
      <c r="D471" s="81"/>
      <c r="E471" s="80"/>
      <c r="F471" s="84"/>
    </row>
    <row r="472" spans="2:6" s="72" customFormat="1" x14ac:dyDescent="0.2">
      <c r="B472" s="80"/>
      <c r="C472" s="80"/>
      <c r="D472" s="81"/>
      <c r="E472" s="80"/>
      <c r="F472" s="84"/>
    </row>
    <row r="473" spans="2:6" s="72" customFormat="1" x14ac:dyDescent="0.2">
      <c r="B473" s="80"/>
      <c r="C473" s="80"/>
      <c r="D473" s="81"/>
      <c r="E473" s="80"/>
      <c r="F473" s="84"/>
    </row>
    <row r="474" spans="2:6" s="72" customFormat="1" x14ac:dyDescent="0.2">
      <c r="B474" s="80"/>
      <c r="C474" s="80"/>
      <c r="D474" s="81"/>
      <c r="E474" s="80"/>
      <c r="F474" s="84"/>
    </row>
    <row r="475" spans="2:6" s="72" customFormat="1" x14ac:dyDescent="0.2">
      <c r="B475" s="80"/>
      <c r="C475" s="80"/>
      <c r="D475" s="81"/>
      <c r="E475" s="80"/>
      <c r="F475" s="84"/>
    </row>
    <row r="476" spans="2:6" s="72" customFormat="1" x14ac:dyDescent="0.2">
      <c r="B476" s="80"/>
      <c r="C476" s="80"/>
      <c r="D476" s="81"/>
      <c r="E476" s="80"/>
      <c r="F476" s="84"/>
    </row>
    <row r="477" spans="2:6" s="72" customFormat="1" x14ac:dyDescent="0.2">
      <c r="B477" s="80"/>
      <c r="C477" s="80"/>
      <c r="D477" s="81"/>
      <c r="E477" s="80"/>
      <c r="F477" s="84"/>
    </row>
    <row r="478" spans="2:6" s="72" customFormat="1" x14ac:dyDescent="0.2">
      <c r="B478" s="80"/>
      <c r="C478" s="80"/>
      <c r="D478" s="81"/>
      <c r="E478" s="80"/>
      <c r="F478" s="84"/>
    </row>
    <row r="479" spans="2:6" s="72" customFormat="1" x14ac:dyDescent="0.2">
      <c r="B479" s="80"/>
      <c r="C479" s="80"/>
      <c r="D479" s="81"/>
      <c r="E479" s="80"/>
      <c r="F479" s="84"/>
    </row>
    <row r="480" spans="2:6" s="72" customFormat="1" x14ac:dyDescent="0.2">
      <c r="B480" s="80"/>
      <c r="C480" s="80"/>
      <c r="D480" s="81"/>
      <c r="E480" s="80"/>
      <c r="F480" s="84"/>
    </row>
    <row r="481" spans="2:6" s="72" customFormat="1" x14ac:dyDescent="0.2">
      <c r="B481" s="80"/>
      <c r="C481" s="80"/>
      <c r="D481" s="81"/>
      <c r="E481" s="80"/>
      <c r="F481" s="84"/>
    </row>
    <row r="482" spans="2:6" s="72" customFormat="1" x14ac:dyDescent="0.2">
      <c r="B482" s="80"/>
      <c r="C482" s="80"/>
      <c r="D482" s="81"/>
      <c r="E482" s="80"/>
      <c r="F482" s="84"/>
    </row>
    <row r="483" spans="2:6" s="72" customFormat="1" x14ac:dyDescent="0.2">
      <c r="B483" s="80"/>
      <c r="C483" s="80"/>
      <c r="D483" s="81"/>
      <c r="E483" s="80"/>
      <c r="F483" s="84"/>
    </row>
    <row r="484" spans="2:6" s="72" customFormat="1" x14ac:dyDescent="0.2">
      <c r="B484" s="80"/>
      <c r="C484" s="80"/>
      <c r="D484" s="81"/>
      <c r="E484" s="80"/>
      <c r="F484" s="84"/>
    </row>
    <row r="485" spans="2:6" s="72" customFormat="1" x14ac:dyDescent="0.2">
      <c r="B485" s="80"/>
      <c r="C485" s="80"/>
      <c r="D485" s="81"/>
      <c r="E485" s="80"/>
      <c r="F485" s="84"/>
    </row>
    <row r="486" spans="2:6" s="72" customFormat="1" x14ac:dyDescent="0.2">
      <c r="B486" s="80"/>
      <c r="C486" s="80"/>
      <c r="D486" s="81"/>
      <c r="E486" s="80"/>
      <c r="F486" s="84"/>
    </row>
    <row r="487" spans="2:6" s="72" customFormat="1" x14ac:dyDescent="0.2">
      <c r="B487" s="80"/>
      <c r="C487" s="80"/>
      <c r="D487" s="81"/>
      <c r="E487" s="80"/>
      <c r="F487" s="84"/>
    </row>
    <row r="488" spans="2:6" s="72" customFormat="1" x14ac:dyDescent="0.2">
      <c r="B488" s="80"/>
      <c r="C488" s="80"/>
      <c r="D488" s="81"/>
      <c r="E488" s="80"/>
      <c r="F488" s="84"/>
    </row>
    <row r="489" spans="2:6" s="72" customFormat="1" x14ac:dyDescent="0.2">
      <c r="B489" s="80"/>
      <c r="C489" s="80"/>
      <c r="D489" s="81"/>
      <c r="E489" s="80"/>
      <c r="F489" s="84"/>
    </row>
    <row r="490" spans="2:6" s="72" customFormat="1" x14ac:dyDescent="0.2">
      <c r="B490" s="80"/>
      <c r="C490" s="80"/>
      <c r="D490" s="81"/>
      <c r="E490" s="80"/>
      <c r="F490" s="84"/>
    </row>
    <row r="491" spans="2:6" s="72" customFormat="1" x14ac:dyDescent="0.2">
      <c r="B491" s="80"/>
      <c r="C491" s="80"/>
      <c r="D491" s="81"/>
      <c r="E491" s="80"/>
      <c r="F491" s="84"/>
    </row>
    <row r="492" spans="2:6" s="72" customFormat="1" x14ac:dyDescent="0.2">
      <c r="B492" s="80"/>
      <c r="C492" s="80"/>
      <c r="D492" s="81"/>
      <c r="E492" s="80"/>
      <c r="F492" s="84"/>
    </row>
    <row r="493" spans="2:6" s="72" customFormat="1" x14ac:dyDescent="0.2">
      <c r="B493" s="80"/>
      <c r="C493" s="80"/>
      <c r="D493" s="81"/>
      <c r="E493" s="80"/>
      <c r="F493" s="84"/>
    </row>
    <row r="494" spans="2:6" s="72" customFormat="1" x14ac:dyDescent="0.2">
      <c r="B494" s="80"/>
      <c r="C494" s="80"/>
      <c r="D494" s="81"/>
      <c r="E494" s="80"/>
      <c r="F494" s="84"/>
    </row>
    <row r="495" spans="2:6" s="72" customFormat="1" x14ac:dyDescent="0.2">
      <c r="B495" s="80"/>
      <c r="C495" s="80"/>
      <c r="D495" s="81"/>
      <c r="E495" s="80"/>
      <c r="F495" s="84"/>
    </row>
    <row r="496" spans="2:6" s="72" customFormat="1" x14ac:dyDescent="0.2">
      <c r="B496" s="80"/>
      <c r="C496" s="80"/>
      <c r="D496" s="81"/>
      <c r="E496" s="80"/>
      <c r="F496" s="84"/>
    </row>
    <row r="497" spans="2:6" s="72" customFormat="1" x14ac:dyDescent="0.2">
      <c r="B497" s="80"/>
      <c r="C497" s="80"/>
      <c r="D497" s="81"/>
      <c r="E497" s="80"/>
      <c r="F497" s="84"/>
    </row>
    <row r="498" spans="2:6" s="72" customFormat="1" x14ac:dyDescent="0.2">
      <c r="B498" s="80"/>
      <c r="C498" s="80"/>
      <c r="D498" s="81"/>
      <c r="E498" s="80"/>
      <c r="F498" s="84"/>
    </row>
    <row r="499" spans="2:6" s="72" customFormat="1" x14ac:dyDescent="0.2">
      <c r="B499" s="80"/>
      <c r="C499" s="80"/>
      <c r="D499" s="81"/>
      <c r="E499" s="80"/>
      <c r="F499" s="84"/>
    </row>
    <row r="500" spans="2:6" s="72" customFormat="1" x14ac:dyDescent="0.2">
      <c r="B500" s="80"/>
      <c r="C500" s="80"/>
      <c r="D500" s="81"/>
      <c r="E500" s="80"/>
      <c r="F500" s="84"/>
    </row>
    <row r="501" spans="2:6" s="72" customFormat="1" x14ac:dyDescent="0.2">
      <c r="B501" s="80"/>
      <c r="C501" s="80"/>
      <c r="D501" s="81"/>
      <c r="E501" s="80"/>
      <c r="F501" s="84"/>
    </row>
    <row r="502" spans="2:6" s="72" customFormat="1" x14ac:dyDescent="0.2">
      <c r="B502" s="80"/>
      <c r="C502" s="80"/>
      <c r="D502" s="81"/>
      <c r="E502" s="80"/>
      <c r="F502" s="84"/>
    </row>
    <row r="503" spans="2:6" s="72" customFormat="1" x14ac:dyDescent="0.2">
      <c r="B503" s="80"/>
      <c r="C503" s="80"/>
      <c r="D503" s="81"/>
      <c r="E503" s="80"/>
      <c r="F503" s="84"/>
    </row>
    <row r="504" spans="2:6" s="72" customFormat="1" x14ac:dyDescent="0.2">
      <c r="B504" s="80"/>
      <c r="C504" s="80"/>
      <c r="D504" s="81"/>
      <c r="E504" s="80"/>
      <c r="F504" s="84"/>
    </row>
    <row r="505" spans="2:6" s="72" customFormat="1" x14ac:dyDescent="0.2">
      <c r="B505" s="80"/>
      <c r="C505" s="80"/>
      <c r="D505" s="81"/>
      <c r="E505" s="80"/>
      <c r="F505" s="84"/>
    </row>
    <row r="506" spans="2:6" s="72" customFormat="1" x14ac:dyDescent="0.2">
      <c r="B506" s="80"/>
      <c r="C506" s="80"/>
      <c r="D506" s="81"/>
      <c r="E506" s="80"/>
      <c r="F506" s="84"/>
    </row>
    <row r="507" spans="2:6" s="72" customFormat="1" x14ac:dyDescent="0.2">
      <c r="B507" s="80"/>
      <c r="C507" s="80"/>
      <c r="D507" s="81"/>
      <c r="E507" s="80"/>
      <c r="F507" s="84"/>
    </row>
    <row r="508" spans="2:6" s="72" customFormat="1" x14ac:dyDescent="0.2">
      <c r="B508" s="80"/>
      <c r="C508" s="80"/>
      <c r="D508" s="81"/>
      <c r="E508" s="80"/>
      <c r="F508" s="84"/>
    </row>
    <row r="509" spans="2:6" s="72" customFormat="1" x14ac:dyDescent="0.2">
      <c r="B509" s="80"/>
      <c r="C509" s="80"/>
      <c r="D509" s="81"/>
      <c r="E509" s="80"/>
      <c r="F509" s="84"/>
    </row>
    <row r="510" spans="2:6" s="72" customFormat="1" x14ac:dyDescent="0.2">
      <c r="B510" s="80"/>
      <c r="C510" s="80"/>
      <c r="D510" s="81"/>
      <c r="E510" s="80"/>
      <c r="F510" s="84"/>
    </row>
    <row r="511" spans="2:6" s="72" customFormat="1" x14ac:dyDescent="0.2">
      <c r="B511" s="80"/>
      <c r="C511" s="80"/>
      <c r="D511" s="81"/>
      <c r="E511" s="80"/>
      <c r="F511" s="84"/>
    </row>
    <row r="512" spans="2:6" s="72" customFormat="1" x14ac:dyDescent="0.2">
      <c r="B512" s="80"/>
      <c r="C512" s="80"/>
      <c r="D512" s="81"/>
      <c r="E512" s="80"/>
      <c r="F512" s="84"/>
    </row>
    <row r="513" spans="2:6" s="72" customFormat="1" x14ac:dyDescent="0.2">
      <c r="B513" s="80"/>
      <c r="C513" s="80"/>
      <c r="D513" s="81"/>
      <c r="E513" s="80"/>
      <c r="F513" s="84"/>
    </row>
    <row r="514" spans="2:6" s="72" customFormat="1" x14ac:dyDescent="0.2">
      <c r="B514" s="80"/>
      <c r="C514" s="80"/>
      <c r="D514" s="81"/>
      <c r="E514" s="80"/>
      <c r="F514" s="84"/>
    </row>
    <row r="515" spans="2:6" s="72" customFormat="1" x14ac:dyDescent="0.2">
      <c r="B515" s="80"/>
      <c r="C515" s="80"/>
      <c r="D515" s="81"/>
      <c r="E515" s="80"/>
      <c r="F515" s="84"/>
    </row>
    <row r="516" spans="2:6" s="72" customFormat="1" x14ac:dyDescent="0.2">
      <c r="B516" s="80"/>
      <c r="C516" s="80"/>
      <c r="D516" s="81"/>
      <c r="E516" s="80"/>
      <c r="F516" s="84"/>
    </row>
    <row r="517" spans="2:6" s="72" customFormat="1" x14ac:dyDescent="0.2">
      <c r="B517" s="80"/>
      <c r="C517" s="80"/>
      <c r="D517" s="81"/>
      <c r="E517" s="80"/>
      <c r="F517" s="84"/>
    </row>
    <row r="518" spans="2:6" s="72" customFormat="1" x14ac:dyDescent="0.2">
      <c r="B518" s="80"/>
      <c r="C518" s="80"/>
      <c r="D518" s="81"/>
      <c r="E518" s="80"/>
      <c r="F518" s="84"/>
    </row>
    <row r="519" spans="2:6" s="72" customFormat="1" x14ac:dyDescent="0.2">
      <c r="B519" s="80"/>
      <c r="C519" s="80"/>
      <c r="D519" s="81"/>
      <c r="E519" s="80"/>
      <c r="F519" s="84"/>
    </row>
    <row r="520" spans="2:6" s="72" customFormat="1" x14ac:dyDescent="0.2">
      <c r="B520" s="80"/>
      <c r="C520" s="80"/>
      <c r="D520" s="81"/>
      <c r="E520" s="80"/>
      <c r="F520" s="84"/>
    </row>
    <row r="521" spans="2:6" s="72" customFormat="1" x14ac:dyDescent="0.2">
      <c r="B521" s="80"/>
      <c r="C521" s="80"/>
      <c r="D521" s="81"/>
      <c r="E521" s="80"/>
      <c r="F521" s="84"/>
    </row>
    <row r="522" spans="2:6" s="72" customFormat="1" x14ac:dyDescent="0.2">
      <c r="B522" s="80"/>
      <c r="C522" s="80"/>
      <c r="D522" s="81"/>
      <c r="E522" s="80"/>
      <c r="F522" s="84"/>
    </row>
    <row r="523" spans="2:6" s="72" customFormat="1" x14ac:dyDescent="0.2">
      <c r="B523" s="80"/>
      <c r="C523" s="80"/>
      <c r="D523" s="81"/>
      <c r="E523" s="80"/>
      <c r="F523" s="84"/>
    </row>
    <row r="524" spans="2:6" s="72" customFormat="1" x14ac:dyDescent="0.2">
      <c r="B524" s="80"/>
      <c r="C524" s="80"/>
      <c r="D524" s="81"/>
      <c r="E524" s="80"/>
      <c r="F524" s="84"/>
    </row>
    <row r="525" spans="2:6" s="72" customFormat="1" x14ac:dyDescent="0.2">
      <c r="B525" s="80"/>
      <c r="C525" s="80"/>
      <c r="D525" s="81"/>
      <c r="E525" s="80"/>
      <c r="F525" s="84"/>
    </row>
    <row r="526" spans="2:6" s="72" customFormat="1" x14ac:dyDescent="0.2">
      <c r="B526" s="80"/>
      <c r="C526" s="80"/>
      <c r="D526" s="81"/>
      <c r="E526" s="80"/>
      <c r="F526" s="84"/>
    </row>
    <row r="527" spans="2:6" s="72" customFormat="1" x14ac:dyDescent="0.2">
      <c r="B527" s="80"/>
      <c r="C527" s="80"/>
      <c r="D527" s="81"/>
      <c r="E527" s="80"/>
      <c r="F527" s="84"/>
    </row>
    <row r="528" spans="2:6" s="72" customFormat="1" x14ac:dyDescent="0.2">
      <c r="B528" s="80"/>
      <c r="C528" s="80"/>
      <c r="D528" s="81"/>
      <c r="E528" s="80"/>
      <c r="F528" s="84"/>
    </row>
    <row r="529" spans="2:6" s="72" customFormat="1" x14ac:dyDescent="0.2">
      <c r="B529" s="80"/>
      <c r="C529" s="80"/>
      <c r="D529" s="81"/>
      <c r="E529" s="80"/>
      <c r="F529" s="84"/>
    </row>
    <row r="530" spans="2:6" s="72" customFormat="1" x14ac:dyDescent="0.2">
      <c r="B530" s="80"/>
      <c r="C530" s="80"/>
      <c r="D530" s="81"/>
      <c r="E530" s="80"/>
      <c r="F530" s="84"/>
    </row>
    <row r="531" spans="2:6" s="72" customFormat="1" x14ac:dyDescent="0.2">
      <c r="B531" s="80"/>
      <c r="C531" s="80"/>
      <c r="D531" s="81"/>
      <c r="E531" s="80"/>
      <c r="F531" s="84"/>
    </row>
    <row r="532" spans="2:6" s="72" customFormat="1" x14ac:dyDescent="0.2">
      <c r="B532" s="80"/>
      <c r="C532" s="80"/>
      <c r="D532" s="81"/>
      <c r="E532" s="80"/>
      <c r="F532" s="84"/>
    </row>
    <row r="533" spans="2:6" s="72" customFormat="1" x14ac:dyDescent="0.2">
      <c r="B533" s="80"/>
      <c r="C533" s="80"/>
      <c r="D533" s="81"/>
      <c r="E533" s="80"/>
      <c r="F533" s="84"/>
    </row>
    <row r="534" spans="2:6" s="72" customFormat="1" x14ac:dyDescent="0.2">
      <c r="B534" s="80"/>
      <c r="C534" s="80"/>
      <c r="D534" s="81"/>
      <c r="E534" s="80"/>
      <c r="F534" s="84"/>
    </row>
    <row r="535" spans="2:6" s="72" customFormat="1" x14ac:dyDescent="0.2">
      <c r="B535" s="80"/>
      <c r="C535" s="80"/>
      <c r="D535" s="81"/>
      <c r="E535" s="80"/>
      <c r="F535" s="84"/>
    </row>
    <row r="536" spans="2:6" s="72" customFormat="1" x14ac:dyDescent="0.2">
      <c r="B536" s="80"/>
      <c r="C536" s="80"/>
      <c r="D536" s="81"/>
      <c r="E536" s="80"/>
      <c r="F536" s="84"/>
    </row>
    <row r="537" spans="2:6" s="72" customFormat="1" x14ac:dyDescent="0.2">
      <c r="B537" s="80"/>
      <c r="C537" s="80"/>
      <c r="D537" s="81"/>
      <c r="E537" s="80"/>
      <c r="F537" s="84"/>
    </row>
    <row r="538" spans="2:6" s="72" customFormat="1" x14ac:dyDescent="0.2">
      <c r="B538" s="80"/>
      <c r="C538" s="80"/>
      <c r="D538" s="81"/>
      <c r="E538" s="80"/>
      <c r="F538" s="84"/>
    </row>
    <row r="539" spans="2:6" s="72" customFormat="1" x14ac:dyDescent="0.2">
      <c r="B539" s="80"/>
      <c r="C539" s="80"/>
      <c r="D539" s="81"/>
      <c r="E539" s="80"/>
      <c r="F539" s="84"/>
    </row>
    <row r="540" spans="2:6" s="72" customFormat="1" x14ac:dyDescent="0.2">
      <c r="B540" s="80"/>
      <c r="C540" s="80"/>
      <c r="D540" s="81"/>
      <c r="E540" s="80"/>
      <c r="F540" s="84"/>
    </row>
    <row r="541" spans="2:6" s="72" customFormat="1" x14ac:dyDescent="0.2">
      <c r="B541" s="80"/>
      <c r="C541" s="80"/>
      <c r="D541" s="81"/>
      <c r="E541" s="80"/>
      <c r="F541" s="84"/>
    </row>
    <row r="542" spans="2:6" s="72" customFormat="1" x14ac:dyDescent="0.2">
      <c r="B542" s="80"/>
      <c r="C542" s="80"/>
      <c r="D542" s="81"/>
      <c r="E542" s="80"/>
      <c r="F542" s="84"/>
    </row>
    <row r="543" spans="2:6" s="72" customFormat="1" x14ac:dyDescent="0.2">
      <c r="B543" s="80"/>
      <c r="C543" s="80"/>
      <c r="D543" s="81"/>
      <c r="E543" s="80"/>
      <c r="F543" s="84"/>
    </row>
    <row r="544" spans="2:6" s="72" customFormat="1" x14ac:dyDescent="0.2">
      <c r="B544" s="80"/>
      <c r="C544" s="80"/>
      <c r="D544" s="81"/>
      <c r="E544" s="80"/>
      <c r="F544" s="84"/>
    </row>
    <row r="545" spans="2:6" s="72" customFormat="1" x14ac:dyDescent="0.2">
      <c r="B545" s="80"/>
      <c r="C545" s="80"/>
      <c r="D545" s="81"/>
      <c r="E545" s="80"/>
      <c r="F545" s="84"/>
    </row>
    <row r="546" spans="2:6" s="72" customFormat="1" x14ac:dyDescent="0.2">
      <c r="B546" s="80"/>
      <c r="C546" s="80"/>
      <c r="D546" s="81"/>
      <c r="E546" s="80"/>
      <c r="F546" s="84"/>
    </row>
    <row r="547" spans="2:6" s="72" customFormat="1" x14ac:dyDescent="0.2">
      <c r="B547" s="80"/>
      <c r="C547" s="80"/>
      <c r="D547" s="81"/>
      <c r="E547" s="80"/>
      <c r="F547" s="84"/>
    </row>
    <row r="548" spans="2:6" s="72" customFormat="1" x14ac:dyDescent="0.2">
      <c r="B548" s="80"/>
      <c r="C548" s="80"/>
      <c r="D548" s="81"/>
      <c r="E548" s="80"/>
      <c r="F548" s="84"/>
    </row>
    <row r="549" spans="2:6" s="72" customFormat="1" x14ac:dyDescent="0.2">
      <c r="B549" s="80"/>
      <c r="C549" s="80"/>
      <c r="D549" s="81"/>
      <c r="E549" s="80"/>
      <c r="F549" s="84"/>
    </row>
    <row r="550" spans="2:6" s="72" customFormat="1" x14ac:dyDescent="0.2">
      <c r="B550" s="80"/>
      <c r="C550" s="80"/>
      <c r="D550" s="81"/>
      <c r="E550" s="80"/>
      <c r="F550" s="84"/>
    </row>
    <row r="551" spans="2:6" s="72" customFormat="1" x14ac:dyDescent="0.2">
      <c r="B551" s="80"/>
      <c r="C551" s="80"/>
      <c r="D551" s="81"/>
      <c r="E551" s="80"/>
      <c r="F551" s="84"/>
    </row>
    <row r="552" spans="2:6" s="72" customFormat="1" x14ac:dyDescent="0.2">
      <c r="B552" s="80"/>
      <c r="C552" s="80"/>
      <c r="D552" s="81"/>
      <c r="E552" s="80"/>
      <c r="F552" s="84"/>
    </row>
    <row r="553" spans="2:6" s="72" customFormat="1" x14ac:dyDescent="0.2">
      <c r="B553" s="80"/>
      <c r="C553" s="80"/>
      <c r="D553" s="81"/>
      <c r="E553" s="80"/>
      <c r="F553" s="84"/>
    </row>
    <row r="554" spans="2:6" s="72" customFormat="1" x14ac:dyDescent="0.2">
      <c r="B554" s="80"/>
      <c r="C554" s="80"/>
      <c r="D554" s="81"/>
      <c r="E554" s="80"/>
      <c r="F554" s="84"/>
    </row>
    <row r="555" spans="2:6" s="72" customFormat="1" x14ac:dyDescent="0.2">
      <c r="B555" s="80"/>
      <c r="C555" s="80"/>
      <c r="D555" s="81"/>
      <c r="E555" s="80"/>
      <c r="F555" s="84"/>
    </row>
    <row r="556" spans="2:6" s="72" customFormat="1" x14ac:dyDescent="0.2">
      <c r="B556" s="80"/>
      <c r="C556" s="80"/>
      <c r="D556" s="81"/>
      <c r="E556" s="80"/>
      <c r="F556" s="84"/>
    </row>
    <row r="557" spans="2:6" s="72" customFormat="1" x14ac:dyDescent="0.2">
      <c r="B557" s="80"/>
      <c r="C557" s="80"/>
      <c r="D557" s="81"/>
      <c r="E557" s="80"/>
      <c r="F557" s="84"/>
    </row>
    <row r="558" spans="2:6" s="72" customFormat="1" x14ac:dyDescent="0.2">
      <c r="B558" s="80"/>
      <c r="C558" s="80"/>
      <c r="D558" s="81"/>
      <c r="E558" s="80"/>
      <c r="F558" s="84"/>
    </row>
    <row r="559" spans="2:6" s="72" customFormat="1" x14ac:dyDescent="0.2">
      <c r="B559" s="80"/>
      <c r="C559" s="80"/>
      <c r="D559" s="81"/>
      <c r="E559" s="80"/>
      <c r="F559" s="84"/>
    </row>
    <row r="560" spans="2:6" s="72" customFormat="1" x14ac:dyDescent="0.2">
      <c r="B560" s="80"/>
      <c r="C560" s="80"/>
      <c r="D560" s="81"/>
      <c r="E560" s="80"/>
      <c r="F560" s="84"/>
    </row>
    <row r="561" spans="2:6" s="72" customFormat="1" x14ac:dyDescent="0.2">
      <c r="B561" s="80"/>
      <c r="C561" s="80"/>
      <c r="D561" s="81"/>
      <c r="E561" s="80"/>
      <c r="F561" s="84"/>
    </row>
    <row r="562" spans="2:6" s="72" customFormat="1" x14ac:dyDescent="0.2">
      <c r="B562" s="80"/>
      <c r="C562" s="80"/>
      <c r="D562" s="81"/>
      <c r="E562" s="80"/>
      <c r="F562" s="84"/>
    </row>
    <row r="563" spans="2:6" s="72" customFormat="1" x14ac:dyDescent="0.2">
      <c r="B563" s="80"/>
      <c r="C563" s="80"/>
      <c r="D563" s="81"/>
      <c r="E563" s="80"/>
      <c r="F563" s="84"/>
    </row>
    <row r="564" spans="2:6" s="72" customFormat="1" x14ac:dyDescent="0.2">
      <c r="B564" s="80"/>
      <c r="C564" s="80"/>
      <c r="D564" s="81"/>
      <c r="E564" s="80"/>
      <c r="F564" s="84"/>
    </row>
    <row r="565" spans="2:6" s="72" customFormat="1" x14ac:dyDescent="0.2">
      <c r="B565" s="80"/>
      <c r="C565" s="80"/>
      <c r="D565" s="81"/>
      <c r="E565" s="80"/>
      <c r="F565" s="84"/>
    </row>
    <row r="566" spans="2:6" s="72" customFormat="1" x14ac:dyDescent="0.2">
      <c r="B566" s="80"/>
      <c r="C566" s="80"/>
      <c r="D566" s="81"/>
      <c r="E566" s="80"/>
      <c r="F566" s="84"/>
    </row>
    <row r="567" spans="2:6" s="72" customFormat="1" x14ac:dyDescent="0.2">
      <c r="B567" s="80"/>
      <c r="C567" s="80"/>
      <c r="D567" s="81"/>
      <c r="E567" s="80"/>
      <c r="F567" s="84"/>
    </row>
    <row r="568" spans="2:6" s="72" customFormat="1" x14ac:dyDescent="0.2">
      <c r="B568" s="80"/>
      <c r="C568" s="80"/>
      <c r="D568" s="81"/>
      <c r="E568" s="80"/>
      <c r="F568" s="84"/>
    </row>
    <row r="569" spans="2:6" s="72" customFormat="1" x14ac:dyDescent="0.2">
      <c r="B569" s="80"/>
      <c r="C569" s="80"/>
      <c r="D569" s="81"/>
      <c r="E569" s="80"/>
      <c r="F569" s="84"/>
    </row>
    <row r="570" spans="2:6" s="72" customFormat="1" x14ac:dyDescent="0.2">
      <c r="B570" s="80"/>
      <c r="C570" s="80"/>
      <c r="D570" s="81"/>
      <c r="E570" s="80"/>
      <c r="F570" s="84"/>
    </row>
    <row r="571" spans="2:6" s="72" customFormat="1" x14ac:dyDescent="0.2">
      <c r="B571" s="80"/>
      <c r="C571" s="80"/>
      <c r="D571" s="81"/>
      <c r="E571" s="80"/>
      <c r="F571" s="84"/>
    </row>
    <row r="572" spans="2:6" s="72" customFormat="1" x14ac:dyDescent="0.2">
      <c r="B572" s="80"/>
      <c r="C572" s="80"/>
      <c r="D572" s="81"/>
      <c r="E572" s="80"/>
      <c r="F572" s="84"/>
    </row>
    <row r="573" spans="2:6" s="72" customFormat="1" x14ac:dyDescent="0.2">
      <c r="B573" s="80"/>
      <c r="C573" s="80"/>
      <c r="D573" s="81"/>
      <c r="E573" s="80"/>
      <c r="F573" s="84"/>
    </row>
    <row r="574" spans="2:6" s="72" customFormat="1" x14ac:dyDescent="0.2">
      <c r="B574" s="80"/>
      <c r="C574" s="80"/>
      <c r="D574" s="81"/>
      <c r="E574" s="80"/>
      <c r="F574" s="84"/>
    </row>
    <row r="575" spans="2:6" s="72" customFormat="1" x14ac:dyDescent="0.2">
      <c r="B575" s="80"/>
      <c r="C575" s="80"/>
      <c r="D575" s="81"/>
      <c r="E575" s="80"/>
      <c r="F575" s="84"/>
    </row>
    <row r="576" spans="2:6" s="72" customFormat="1" x14ac:dyDescent="0.2">
      <c r="B576" s="80"/>
      <c r="C576" s="80"/>
      <c r="D576" s="81"/>
      <c r="E576" s="80"/>
      <c r="F576" s="84"/>
    </row>
    <row r="577" spans="2:6" s="72" customFormat="1" x14ac:dyDescent="0.2">
      <c r="B577" s="80"/>
      <c r="C577" s="80"/>
      <c r="D577" s="81"/>
      <c r="E577" s="80"/>
      <c r="F577" s="84"/>
    </row>
    <row r="578" spans="2:6" s="72" customFormat="1" x14ac:dyDescent="0.2">
      <c r="B578" s="80"/>
      <c r="C578" s="80"/>
      <c r="D578" s="81"/>
      <c r="E578" s="80"/>
      <c r="F578" s="84"/>
    </row>
    <row r="579" spans="2:6" s="72" customFormat="1" x14ac:dyDescent="0.2">
      <c r="B579" s="80"/>
      <c r="C579" s="80"/>
      <c r="D579" s="81"/>
      <c r="E579" s="80"/>
      <c r="F579" s="84"/>
    </row>
    <row r="580" spans="2:6" s="72" customFormat="1" x14ac:dyDescent="0.2">
      <c r="B580" s="80"/>
      <c r="C580" s="80"/>
      <c r="D580" s="81"/>
      <c r="E580" s="80"/>
      <c r="F580" s="84"/>
    </row>
    <row r="581" spans="2:6" s="72" customFormat="1" x14ac:dyDescent="0.2">
      <c r="B581" s="80"/>
      <c r="C581" s="80"/>
      <c r="D581" s="81"/>
      <c r="E581" s="80"/>
      <c r="F581" s="84"/>
    </row>
    <row r="582" spans="2:6" s="72" customFormat="1" x14ac:dyDescent="0.2">
      <c r="B582" s="80"/>
      <c r="C582" s="80"/>
      <c r="D582" s="81"/>
      <c r="E582" s="80"/>
      <c r="F582" s="84"/>
    </row>
    <row r="583" spans="2:6" s="72" customFormat="1" x14ac:dyDescent="0.2">
      <c r="B583" s="80"/>
      <c r="C583" s="80"/>
      <c r="D583" s="81"/>
      <c r="E583" s="80"/>
      <c r="F583" s="84"/>
    </row>
    <row r="584" spans="2:6" s="72" customFormat="1" x14ac:dyDescent="0.2">
      <c r="B584" s="80"/>
      <c r="C584" s="80"/>
      <c r="D584" s="81"/>
      <c r="E584" s="80"/>
      <c r="F584" s="84"/>
    </row>
    <row r="585" spans="2:6" s="72" customFormat="1" x14ac:dyDescent="0.2">
      <c r="B585" s="80"/>
      <c r="C585" s="80"/>
      <c r="D585" s="81"/>
      <c r="E585" s="80"/>
      <c r="F585" s="84"/>
    </row>
    <row r="586" spans="2:6" s="72" customFormat="1" x14ac:dyDescent="0.2">
      <c r="B586" s="80"/>
      <c r="C586" s="80"/>
      <c r="D586" s="81"/>
      <c r="E586" s="80"/>
      <c r="F586" s="84"/>
    </row>
    <row r="587" spans="2:6" s="72" customFormat="1" x14ac:dyDescent="0.2">
      <c r="B587" s="80"/>
      <c r="C587" s="80"/>
      <c r="D587" s="81"/>
      <c r="E587" s="80"/>
      <c r="F587" s="84"/>
    </row>
    <row r="588" spans="2:6" s="72" customFormat="1" x14ac:dyDescent="0.2">
      <c r="B588" s="80"/>
      <c r="C588" s="80"/>
      <c r="D588" s="81"/>
      <c r="E588" s="80"/>
      <c r="F588" s="84"/>
    </row>
    <row r="589" spans="2:6" s="72" customFormat="1" x14ac:dyDescent="0.2">
      <c r="B589" s="80"/>
      <c r="C589" s="80"/>
      <c r="D589" s="81"/>
      <c r="E589" s="80"/>
      <c r="F589" s="84"/>
    </row>
    <row r="590" spans="2:6" s="72" customFormat="1" x14ac:dyDescent="0.2">
      <c r="B590" s="80"/>
      <c r="C590" s="80"/>
      <c r="D590" s="81"/>
      <c r="E590" s="80"/>
      <c r="F590" s="84"/>
    </row>
    <row r="591" spans="2:6" s="72" customFormat="1" x14ac:dyDescent="0.2">
      <c r="B591" s="80"/>
      <c r="C591" s="80"/>
      <c r="D591" s="81"/>
      <c r="E591" s="80"/>
      <c r="F591" s="84"/>
    </row>
    <row r="592" spans="2:6" s="72" customFormat="1" x14ac:dyDescent="0.2">
      <c r="B592" s="80"/>
      <c r="C592" s="80"/>
      <c r="D592" s="81"/>
      <c r="E592" s="80"/>
      <c r="F592" s="84"/>
    </row>
    <row r="593" spans="2:6" s="72" customFormat="1" x14ac:dyDescent="0.2">
      <c r="B593" s="80"/>
      <c r="C593" s="80"/>
      <c r="D593" s="81"/>
      <c r="E593" s="80"/>
      <c r="F593" s="84"/>
    </row>
    <row r="594" spans="2:6" s="72" customFormat="1" x14ac:dyDescent="0.2">
      <c r="B594" s="80"/>
      <c r="C594" s="80"/>
      <c r="D594" s="81"/>
      <c r="E594" s="80"/>
      <c r="F594" s="84"/>
    </row>
    <row r="595" spans="2:6" s="72" customFormat="1" x14ac:dyDescent="0.2">
      <c r="B595" s="80"/>
      <c r="C595" s="80"/>
      <c r="D595" s="81"/>
      <c r="E595" s="80"/>
      <c r="F595" s="84"/>
    </row>
    <row r="596" spans="2:6" s="72" customFormat="1" x14ac:dyDescent="0.2">
      <c r="B596" s="80"/>
      <c r="C596" s="80"/>
      <c r="D596" s="81"/>
      <c r="E596" s="80"/>
      <c r="F596" s="84"/>
    </row>
    <row r="597" spans="2:6" s="72" customFormat="1" x14ac:dyDescent="0.2">
      <c r="B597" s="80"/>
      <c r="C597" s="80"/>
      <c r="D597" s="81"/>
      <c r="E597" s="80"/>
      <c r="F597" s="84"/>
    </row>
    <row r="598" spans="2:6" s="72" customFormat="1" x14ac:dyDescent="0.2">
      <c r="B598" s="80"/>
      <c r="C598" s="80"/>
      <c r="D598" s="81"/>
      <c r="E598" s="80"/>
      <c r="F598" s="84"/>
    </row>
    <row r="599" spans="2:6" s="72" customFormat="1" x14ac:dyDescent="0.2">
      <c r="B599" s="80"/>
      <c r="C599" s="80"/>
      <c r="D599" s="81"/>
      <c r="E599" s="80"/>
      <c r="F599" s="84"/>
    </row>
    <row r="600" spans="2:6" s="72" customFormat="1" x14ac:dyDescent="0.2">
      <c r="B600" s="80"/>
      <c r="C600" s="80"/>
      <c r="D600" s="81"/>
      <c r="E600" s="80"/>
      <c r="F600" s="84"/>
    </row>
    <row r="601" spans="2:6" s="72" customFormat="1" x14ac:dyDescent="0.2">
      <c r="B601" s="80"/>
      <c r="C601" s="80"/>
      <c r="D601" s="81"/>
      <c r="E601" s="80"/>
      <c r="F601" s="84"/>
    </row>
    <row r="602" spans="2:6" s="72" customFormat="1" x14ac:dyDescent="0.2">
      <c r="B602" s="80"/>
      <c r="C602" s="80"/>
      <c r="D602" s="81"/>
      <c r="E602" s="80"/>
      <c r="F602" s="84"/>
    </row>
    <row r="603" spans="2:6" s="72" customFormat="1" x14ac:dyDescent="0.2">
      <c r="B603" s="80"/>
      <c r="C603" s="80"/>
      <c r="D603" s="81"/>
      <c r="E603" s="80"/>
      <c r="F603" s="84"/>
    </row>
    <row r="604" spans="2:6" s="72" customFormat="1" x14ac:dyDescent="0.2">
      <c r="B604" s="80"/>
      <c r="C604" s="80"/>
      <c r="D604" s="81"/>
      <c r="E604" s="80"/>
      <c r="F604" s="84"/>
    </row>
    <row r="605" spans="2:6" s="72" customFormat="1" x14ac:dyDescent="0.2">
      <c r="B605" s="80"/>
      <c r="C605" s="80"/>
      <c r="D605" s="81"/>
      <c r="E605" s="80"/>
      <c r="F605" s="84"/>
    </row>
    <row r="606" spans="2:6" s="72" customFormat="1" x14ac:dyDescent="0.2">
      <c r="B606" s="80"/>
      <c r="C606" s="80"/>
      <c r="D606" s="81"/>
      <c r="E606" s="80"/>
      <c r="F606" s="84"/>
    </row>
    <row r="607" spans="2:6" s="72" customFormat="1" x14ac:dyDescent="0.2">
      <c r="B607" s="80"/>
      <c r="C607" s="80"/>
      <c r="D607" s="81"/>
      <c r="E607" s="80"/>
      <c r="F607" s="84"/>
    </row>
    <row r="608" spans="2:6" s="72" customFormat="1" x14ac:dyDescent="0.2">
      <c r="B608" s="80"/>
      <c r="C608" s="80"/>
      <c r="D608" s="81"/>
      <c r="E608" s="80"/>
      <c r="F608" s="84"/>
    </row>
    <row r="609" spans="2:6" s="72" customFormat="1" x14ac:dyDescent="0.2">
      <c r="B609" s="80"/>
      <c r="C609" s="80"/>
      <c r="D609" s="81"/>
      <c r="E609" s="80"/>
      <c r="F609" s="84"/>
    </row>
    <row r="610" spans="2:6" s="72" customFormat="1" x14ac:dyDescent="0.2">
      <c r="B610" s="80"/>
      <c r="C610" s="80"/>
      <c r="D610" s="81"/>
      <c r="E610" s="80"/>
      <c r="F610" s="84"/>
    </row>
    <row r="611" spans="2:6" s="72" customFormat="1" x14ac:dyDescent="0.2">
      <c r="B611" s="80"/>
      <c r="C611" s="80"/>
      <c r="D611" s="81"/>
      <c r="E611" s="80"/>
      <c r="F611" s="84"/>
    </row>
    <row r="612" spans="2:6" s="72" customFormat="1" x14ac:dyDescent="0.2">
      <c r="B612" s="80"/>
      <c r="C612" s="80"/>
      <c r="D612" s="81"/>
      <c r="E612" s="80"/>
      <c r="F612" s="84"/>
    </row>
    <row r="613" spans="2:6" s="72" customFormat="1" x14ac:dyDescent="0.2">
      <c r="B613" s="80"/>
      <c r="C613" s="80"/>
      <c r="D613" s="81"/>
      <c r="E613" s="80"/>
      <c r="F613" s="84"/>
    </row>
    <row r="614" spans="2:6" s="72" customFormat="1" x14ac:dyDescent="0.2">
      <c r="B614" s="80"/>
      <c r="C614" s="80"/>
      <c r="D614" s="81"/>
      <c r="E614" s="80"/>
      <c r="F614" s="84"/>
    </row>
    <row r="615" spans="2:6" s="72" customFormat="1" x14ac:dyDescent="0.2">
      <c r="B615" s="80"/>
      <c r="C615" s="80"/>
      <c r="D615" s="81"/>
      <c r="E615" s="80"/>
      <c r="F615" s="84"/>
    </row>
    <row r="616" spans="2:6" s="72" customFormat="1" x14ac:dyDescent="0.2">
      <c r="B616" s="80"/>
      <c r="C616" s="80"/>
      <c r="D616" s="81"/>
      <c r="E616" s="80"/>
      <c r="F616" s="84"/>
    </row>
    <row r="617" spans="2:6" s="72" customFormat="1" x14ac:dyDescent="0.2">
      <c r="B617" s="80"/>
      <c r="C617" s="80"/>
      <c r="D617" s="81"/>
      <c r="E617" s="80"/>
      <c r="F617" s="84"/>
    </row>
    <row r="618" spans="2:6" s="72" customFormat="1" x14ac:dyDescent="0.2">
      <c r="B618" s="80"/>
      <c r="C618" s="80"/>
      <c r="D618" s="81"/>
      <c r="E618" s="80"/>
      <c r="F618" s="84"/>
    </row>
    <row r="619" spans="2:6" s="72" customFormat="1" x14ac:dyDescent="0.2">
      <c r="B619" s="80"/>
      <c r="C619" s="80"/>
      <c r="D619" s="81"/>
      <c r="E619" s="80"/>
      <c r="F619" s="84"/>
    </row>
    <row r="620" spans="2:6" s="72" customFormat="1" x14ac:dyDescent="0.2">
      <c r="B620" s="80"/>
      <c r="C620" s="80"/>
      <c r="D620" s="81"/>
      <c r="E620" s="80"/>
      <c r="F620" s="84"/>
    </row>
    <row r="621" spans="2:6" s="72" customFormat="1" x14ac:dyDescent="0.2">
      <c r="B621" s="80"/>
      <c r="C621" s="80"/>
      <c r="D621" s="81"/>
      <c r="E621" s="80"/>
      <c r="F621" s="84"/>
    </row>
    <row r="622" spans="2:6" s="72" customFormat="1" x14ac:dyDescent="0.2">
      <c r="B622" s="80"/>
      <c r="C622" s="80"/>
      <c r="D622" s="81"/>
      <c r="E622" s="80"/>
      <c r="F622" s="84"/>
    </row>
    <row r="623" spans="2:6" s="72" customFormat="1" x14ac:dyDescent="0.2">
      <c r="B623" s="80"/>
      <c r="C623" s="80"/>
      <c r="D623" s="81"/>
      <c r="E623" s="80"/>
      <c r="F623" s="84"/>
    </row>
    <row r="624" spans="2:6" s="72" customFormat="1" x14ac:dyDescent="0.2">
      <c r="B624" s="80"/>
      <c r="C624" s="80"/>
      <c r="D624" s="81"/>
      <c r="E624" s="80"/>
      <c r="F624" s="84"/>
    </row>
    <row r="625" spans="2:6" s="72" customFormat="1" x14ac:dyDescent="0.2">
      <c r="B625" s="80"/>
      <c r="C625" s="80"/>
      <c r="D625" s="81"/>
      <c r="E625" s="80"/>
      <c r="F625" s="84"/>
    </row>
    <row r="626" spans="2:6" s="72" customFormat="1" x14ac:dyDescent="0.2">
      <c r="B626" s="80"/>
      <c r="C626" s="80"/>
      <c r="D626" s="81"/>
      <c r="E626" s="80"/>
      <c r="F626" s="84"/>
    </row>
    <row r="627" spans="2:6" s="72" customFormat="1" x14ac:dyDescent="0.2">
      <c r="B627" s="80"/>
      <c r="C627" s="80"/>
      <c r="D627" s="81"/>
      <c r="E627" s="80"/>
      <c r="F627" s="84"/>
    </row>
    <row r="628" spans="2:6" s="72" customFormat="1" x14ac:dyDescent="0.2">
      <c r="B628" s="80"/>
      <c r="C628" s="80"/>
      <c r="D628" s="81"/>
      <c r="E628" s="80"/>
      <c r="F628" s="84"/>
    </row>
    <row r="629" spans="2:6" s="72" customFormat="1" x14ac:dyDescent="0.2">
      <c r="B629" s="80"/>
      <c r="C629" s="80"/>
      <c r="D629" s="81"/>
      <c r="E629" s="80"/>
      <c r="F629" s="84"/>
    </row>
    <row r="630" spans="2:6" s="72" customFormat="1" x14ac:dyDescent="0.2">
      <c r="B630" s="80"/>
      <c r="C630" s="80"/>
      <c r="D630" s="81"/>
      <c r="E630" s="80"/>
      <c r="F630" s="84"/>
    </row>
    <row r="631" spans="2:6" s="72" customFormat="1" x14ac:dyDescent="0.2">
      <c r="B631" s="80"/>
      <c r="C631" s="80"/>
      <c r="D631" s="81"/>
      <c r="E631" s="80"/>
      <c r="F631" s="84"/>
    </row>
    <row r="632" spans="2:6" s="72" customFormat="1" x14ac:dyDescent="0.2">
      <c r="B632" s="80"/>
      <c r="C632" s="80"/>
      <c r="D632" s="81"/>
      <c r="E632" s="80"/>
      <c r="F632" s="84"/>
    </row>
    <row r="633" spans="2:6" s="72" customFormat="1" x14ac:dyDescent="0.2">
      <c r="B633" s="80"/>
      <c r="C633" s="80"/>
      <c r="D633" s="81"/>
      <c r="E633" s="80"/>
      <c r="F633" s="84"/>
    </row>
    <row r="634" spans="2:6" s="72" customFormat="1" x14ac:dyDescent="0.2">
      <c r="B634" s="80"/>
      <c r="C634" s="80"/>
      <c r="D634" s="81"/>
      <c r="E634" s="80"/>
      <c r="F634" s="84"/>
    </row>
    <row r="635" spans="2:6" s="72" customFormat="1" x14ac:dyDescent="0.2">
      <c r="B635" s="80"/>
      <c r="C635" s="80"/>
      <c r="D635" s="81"/>
      <c r="E635" s="80"/>
      <c r="F635" s="84"/>
    </row>
    <row r="636" spans="2:6" s="72" customFormat="1" x14ac:dyDescent="0.2">
      <c r="B636" s="80"/>
      <c r="C636" s="80"/>
      <c r="D636" s="81"/>
      <c r="E636" s="80"/>
      <c r="F636" s="84"/>
    </row>
    <row r="637" spans="2:6" s="72" customFormat="1" x14ac:dyDescent="0.2">
      <c r="B637" s="80"/>
      <c r="C637" s="80"/>
      <c r="D637" s="81"/>
      <c r="E637" s="80"/>
      <c r="F637" s="84"/>
    </row>
    <row r="638" spans="2:6" s="72" customFormat="1" x14ac:dyDescent="0.2">
      <c r="B638" s="80"/>
      <c r="C638" s="80"/>
      <c r="D638" s="81"/>
      <c r="E638" s="80"/>
      <c r="F638" s="84"/>
    </row>
    <row r="639" spans="2:6" s="72" customFormat="1" x14ac:dyDescent="0.2">
      <c r="B639" s="80"/>
      <c r="C639" s="80"/>
      <c r="D639" s="81"/>
      <c r="E639" s="80"/>
      <c r="F639" s="84"/>
    </row>
    <row r="640" spans="2:6" s="72" customFormat="1" x14ac:dyDescent="0.2">
      <c r="B640" s="80"/>
      <c r="C640" s="80"/>
      <c r="D640" s="81"/>
      <c r="E640" s="80"/>
      <c r="F640" s="84"/>
    </row>
    <row r="641" spans="2:6" s="72" customFormat="1" x14ac:dyDescent="0.2">
      <c r="B641" s="80"/>
      <c r="C641" s="80"/>
      <c r="D641" s="81"/>
      <c r="E641" s="80"/>
      <c r="F641" s="84"/>
    </row>
    <row r="642" spans="2:6" s="72" customFormat="1" x14ac:dyDescent="0.2">
      <c r="B642" s="80"/>
      <c r="C642" s="80"/>
      <c r="D642" s="81"/>
      <c r="E642" s="80"/>
      <c r="F642" s="84"/>
    </row>
    <row r="643" spans="2:6" s="72" customFormat="1" x14ac:dyDescent="0.2">
      <c r="B643" s="80"/>
      <c r="C643" s="80"/>
      <c r="D643" s="81"/>
      <c r="E643" s="80"/>
      <c r="F643" s="84"/>
    </row>
    <row r="644" spans="2:6" s="72" customFormat="1" x14ac:dyDescent="0.2">
      <c r="B644" s="80"/>
      <c r="C644" s="80"/>
      <c r="D644" s="81"/>
      <c r="E644" s="80"/>
      <c r="F644" s="84"/>
    </row>
    <row r="645" spans="2:6" s="72" customFormat="1" x14ac:dyDescent="0.2">
      <c r="B645" s="80"/>
      <c r="C645" s="80"/>
      <c r="D645" s="81"/>
      <c r="E645" s="80"/>
      <c r="F645" s="84"/>
    </row>
    <row r="646" spans="2:6" s="72" customFormat="1" x14ac:dyDescent="0.2">
      <c r="B646" s="80"/>
      <c r="C646" s="80"/>
      <c r="D646" s="81"/>
      <c r="E646" s="80"/>
      <c r="F646" s="84"/>
    </row>
    <row r="647" spans="2:6" s="72" customFormat="1" x14ac:dyDescent="0.2">
      <c r="B647" s="80"/>
      <c r="C647" s="80"/>
      <c r="D647" s="81"/>
      <c r="E647" s="80"/>
      <c r="F647" s="84"/>
    </row>
    <row r="648" spans="2:6" s="72" customFormat="1" x14ac:dyDescent="0.2">
      <c r="B648" s="80"/>
      <c r="C648" s="80"/>
      <c r="D648" s="81"/>
      <c r="E648" s="80"/>
      <c r="F648" s="84"/>
    </row>
    <row r="649" spans="2:6" s="72" customFormat="1" x14ac:dyDescent="0.2">
      <c r="B649" s="80"/>
      <c r="C649" s="80"/>
      <c r="D649" s="81"/>
      <c r="E649" s="80"/>
      <c r="F649" s="84"/>
    </row>
    <row r="650" spans="2:6" s="72" customFormat="1" x14ac:dyDescent="0.2">
      <c r="B650" s="80"/>
      <c r="C650" s="80"/>
      <c r="D650" s="81"/>
      <c r="E650" s="80"/>
      <c r="F650" s="84"/>
    </row>
    <row r="651" spans="2:6" s="72" customFormat="1" x14ac:dyDescent="0.2">
      <c r="B651" s="80"/>
      <c r="C651" s="80"/>
      <c r="D651" s="81"/>
      <c r="E651" s="80"/>
      <c r="F651" s="84"/>
    </row>
    <row r="652" spans="2:6" s="72" customFormat="1" x14ac:dyDescent="0.2">
      <c r="B652" s="80"/>
      <c r="C652" s="80"/>
      <c r="D652" s="81"/>
      <c r="E652" s="80"/>
      <c r="F652" s="84"/>
    </row>
    <row r="653" spans="2:6" s="72" customFormat="1" x14ac:dyDescent="0.2">
      <c r="B653" s="80"/>
      <c r="C653" s="80"/>
      <c r="D653" s="81"/>
      <c r="E653" s="80"/>
      <c r="F653" s="84"/>
    </row>
    <row r="654" spans="2:6" s="72" customFormat="1" x14ac:dyDescent="0.2">
      <c r="B654" s="80"/>
      <c r="C654" s="80"/>
      <c r="D654" s="81"/>
      <c r="E654" s="80"/>
      <c r="F654" s="84"/>
    </row>
    <row r="655" spans="2:6" s="72" customFormat="1" x14ac:dyDescent="0.2">
      <c r="B655" s="80"/>
      <c r="C655" s="80"/>
      <c r="D655" s="81"/>
      <c r="E655" s="80"/>
      <c r="F655" s="84"/>
    </row>
    <row r="656" spans="2:6" s="72" customFormat="1" x14ac:dyDescent="0.2">
      <c r="B656" s="80"/>
      <c r="C656" s="80"/>
      <c r="D656" s="81"/>
      <c r="E656" s="80"/>
      <c r="F656" s="84"/>
    </row>
    <row r="657" spans="2:6" s="72" customFormat="1" x14ac:dyDescent="0.2">
      <c r="B657" s="80"/>
      <c r="C657" s="80"/>
      <c r="D657" s="81"/>
      <c r="E657" s="80"/>
      <c r="F657" s="84"/>
    </row>
    <row r="658" spans="2:6" s="72" customFormat="1" x14ac:dyDescent="0.2">
      <c r="B658" s="80"/>
      <c r="C658" s="80"/>
      <c r="D658" s="81"/>
      <c r="E658" s="80"/>
      <c r="F658" s="84"/>
    </row>
    <row r="659" spans="2:6" s="72" customFormat="1" x14ac:dyDescent="0.2">
      <c r="B659" s="80"/>
      <c r="C659" s="80"/>
      <c r="D659" s="81"/>
      <c r="E659" s="80"/>
      <c r="F659" s="84"/>
    </row>
    <row r="660" spans="2:6" s="72" customFormat="1" x14ac:dyDescent="0.2">
      <c r="B660" s="80"/>
      <c r="C660" s="80"/>
      <c r="D660" s="81"/>
      <c r="E660" s="80"/>
      <c r="F660" s="84"/>
    </row>
    <row r="661" spans="2:6" s="72" customFormat="1" x14ac:dyDescent="0.2">
      <c r="B661" s="80"/>
      <c r="C661" s="80"/>
      <c r="D661" s="81"/>
      <c r="E661" s="80"/>
      <c r="F661" s="84"/>
    </row>
    <row r="662" spans="2:6" s="72" customFormat="1" x14ac:dyDescent="0.2">
      <c r="B662" s="80"/>
      <c r="C662" s="80"/>
      <c r="D662" s="81"/>
      <c r="E662" s="80"/>
      <c r="F662" s="84"/>
    </row>
    <row r="663" spans="2:6" s="72" customFormat="1" x14ac:dyDescent="0.2">
      <c r="B663" s="80"/>
      <c r="C663" s="80"/>
      <c r="D663" s="81"/>
      <c r="E663" s="80"/>
      <c r="F663" s="84"/>
    </row>
    <row r="664" spans="2:6" s="72" customFormat="1" x14ac:dyDescent="0.2">
      <c r="B664" s="80"/>
      <c r="C664" s="80"/>
      <c r="D664" s="81"/>
      <c r="E664" s="80"/>
      <c r="F664" s="84"/>
    </row>
    <row r="665" spans="2:6" s="72" customFormat="1" x14ac:dyDescent="0.2">
      <c r="B665" s="80"/>
      <c r="C665" s="80"/>
      <c r="D665" s="81"/>
      <c r="E665" s="80"/>
      <c r="F665" s="84"/>
    </row>
    <row r="666" spans="2:6" s="72" customFormat="1" x14ac:dyDescent="0.2">
      <c r="B666" s="80"/>
      <c r="C666" s="80"/>
      <c r="D666" s="81"/>
      <c r="E666" s="80"/>
      <c r="F666" s="84"/>
    </row>
    <row r="667" spans="2:6" s="72" customFormat="1" x14ac:dyDescent="0.2">
      <c r="B667" s="80"/>
      <c r="C667" s="80"/>
      <c r="D667" s="81"/>
      <c r="E667" s="80"/>
      <c r="F667" s="84"/>
    </row>
    <row r="668" spans="2:6" s="72" customFormat="1" x14ac:dyDescent="0.2">
      <c r="B668" s="80"/>
      <c r="C668" s="80"/>
      <c r="D668" s="81"/>
      <c r="E668" s="80"/>
      <c r="F668" s="84"/>
    </row>
    <row r="669" spans="2:6" s="72" customFormat="1" x14ac:dyDescent="0.2">
      <c r="B669" s="80"/>
      <c r="C669" s="80"/>
      <c r="D669" s="81"/>
      <c r="E669" s="80"/>
      <c r="F669" s="84"/>
    </row>
    <row r="670" spans="2:6" s="72" customFormat="1" x14ac:dyDescent="0.2">
      <c r="B670" s="80"/>
      <c r="C670" s="80"/>
      <c r="D670" s="81"/>
      <c r="E670" s="80"/>
      <c r="F670" s="84"/>
    </row>
    <row r="671" spans="2:6" s="72" customFormat="1" x14ac:dyDescent="0.2">
      <c r="B671" s="80"/>
      <c r="C671" s="80"/>
      <c r="D671" s="81"/>
      <c r="E671" s="80"/>
      <c r="F671" s="84"/>
    </row>
    <row r="672" spans="2:6" s="72" customFormat="1" x14ac:dyDescent="0.2">
      <c r="B672" s="80"/>
      <c r="C672" s="80"/>
      <c r="D672" s="81"/>
      <c r="E672" s="80"/>
      <c r="F672" s="84"/>
    </row>
    <row r="673" spans="2:6" s="72" customFormat="1" x14ac:dyDescent="0.2">
      <c r="B673" s="80"/>
      <c r="C673" s="80"/>
      <c r="D673" s="81"/>
      <c r="E673" s="80"/>
      <c r="F673" s="84"/>
    </row>
    <row r="674" spans="2:6" s="72" customFormat="1" x14ac:dyDescent="0.2">
      <c r="B674" s="80"/>
      <c r="C674" s="80"/>
      <c r="D674" s="81"/>
      <c r="E674" s="80"/>
      <c r="F674" s="84"/>
    </row>
    <row r="675" spans="2:6" s="72" customFormat="1" x14ac:dyDescent="0.2">
      <c r="B675" s="80"/>
      <c r="C675" s="80"/>
      <c r="D675" s="81"/>
      <c r="E675" s="80"/>
      <c r="F675" s="84"/>
    </row>
    <row r="676" spans="2:6" s="72" customFormat="1" x14ac:dyDescent="0.2">
      <c r="B676" s="80"/>
      <c r="C676" s="80"/>
      <c r="D676" s="81"/>
      <c r="E676" s="80"/>
      <c r="F676" s="84"/>
    </row>
    <row r="677" spans="2:6" s="72" customFormat="1" x14ac:dyDescent="0.2">
      <c r="B677" s="80"/>
      <c r="C677" s="80"/>
      <c r="D677" s="81"/>
      <c r="E677" s="80"/>
      <c r="F677" s="84"/>
    </row>
    <row r="678" spans="2:6" s="72" customFormat="1" x14ac:dyDescent="0.2">
      <c r="B678" s="80"/>
      <c r="C678" s="80"/>
      <c r="D678" s="81"/>
      <c r="E678" s="80"/>
      <c r="F678" s="84"/>
    </row>
    <row r="679" spans="2:6" s="72" customFormat="1" x14ac:dyDescent="0.2">
      <c r="B679" s="80"/>
      <c r="C679" s="80"/>
      <c r="D679" s="81"/>
      <c r="E679" s="80"/>
      <c r="F679" s="84"/>
    </row>
    <row r="680" spans="2:6" s="72" customFormat="1" x14ac:dyDescent="0.2">
      <c r="B680" s="80"/>
      <c r="C680" s="80"/>
      <c r="D680" s="81"/>
      <c r="E680" s="80"/>
      <c r="F680" s="84"/>
    </row>
    <row r="681" spans="2:6" s="72" customFormat="1" x14ac:dyDescent="0.2">
      <c r="B681" s="80"/>
      <c r="C681" s="80"/>
      <c r="D681" s="81"/>
      <c r="E681" s="80"/>
      <c r="F681" s="84"/>
    </row>
    <row r="682" spans="2:6" s="72" customFormat="1" x14ac:dyDescent="0.2">
      <c r="B682" s="80"/>
      <c r="C682" s="80"/>
      <c r="D682" s="81"/>
      <c r="E682" s="80"/>
      <c r="F682" s="84"/>
    </row>
    <row r="683" spans="2:6" s="72" customFormat="1" x14ac:dyDescent="0.2">
      <c r="B683" s="80"/>
      <c r="C683" s="80"/>
      <c r="D683" s="81"/>
      <c r="E683" s="80"/>
      <c r="F683" s="84"/>
    </row>
    <row r="684" spans="2:6" s="72" customFormat="1" x14ac:dyDescent="0.2">
      <c r="B684" s="80"/>
      <c r="C684" s="80"/>
      <c r="D684" s="81"/>
      <c r="E684" s="80"/>
      <c r="F684" s="84"/>
    </row>
    <row r="685" spans="2:6" s="72" customFormat="1" x14ac:dyDescent="0.2">
      <c r="B685" s="80"/>
      <c r="C685" s="80"/>
      <c r="D685" s="81"/>
      <c r="E685" s="80"/>
      <c r="F685" s="84"/>
    </row>
    <row r="686" spans="2:6" s="72" customFormat="1" x14ac:dyDescent="0.2">
      <c r="B686" s="80"/>
      <c r="C686" s="80"/>
      <c r="D686" s="81"/>
      <c r="E686" s="80"/>
      <c r="F686" s="84"/>
    </row>
    <row r="687" spans="2:6" s="72" customFormat="1" x14ac:dyDescent="0.2">
      <c r="B687" s="80"/>
      <c r="C687" s="80"/>
      <c r="D687" s="81"/>
      <c r="E687" s="80"/>
      <c r="F687" s="84"/>
    </row>
    <row r="688" spans="2:6" s="72" customFormat="1" x14ac:dyDescent="0.2">
      <c r="B688" s="80"/>
      <c r="C688" s="80"/>
      <c r="D688" s="81"/>
      <c r="E688" s="80"/>
      <c r="F688" s="84"/>
    </row>
    <row r="689" spans="2:6" s="72" customFormat="1" x14ac:dyDescent="0.2">
      <c r="B689" s="80"/>
      <c r="C689" s="80"/>
      <c r="D689" s="81"/>
      <c r="E689" s="80"/>
      <c r="F689" s="84"/>
    </row>
    <row r="690" spans="2:6" s="72" customFormat="1" x14ac:dyDescent="0.2">
      <c r="B690" s="80"/>
      <c r="C690" s="80"/>
      <c r="D690" s="81"/>
      <c r="E690" s="80"/>
      <c r="F690" s="84"/>
    </row>
    <row r="691" spans="2:6" s="72" customFormat="1" x14ac:dyDescent="0.2">
      <c r="B691" s="80"/>
      <c r="C691" s="80"/>
      <c r="D691" s="81"/>
      <c r="E691" s="80"/>
      <c r="F691" s="84"/>
    </row>
    <row r="692" spans="2:6" s="72" customFormat="1" x14ac:dyDescent="0.2">
      <c r="B692" s="80"/>
      <c r="C692" s="80"/>
      <c r="D692" s="81"/>
      <c r="E692" s="80"/>
      <c r="F692" s="84"/>
    </row>
    <row r="693" spans="2:6" s="72" customFormat="1" x14ac:dyDescent="0.2">
      <c r="B693" s="80"/>
      <c r="C693" s="80"/>
      <c r="D693" s="81"/>
      <c r="E693" s="80"/>
      <c r="F693" s="84"/>
    </row>
    <row r="694" spans="2:6" s="72" customFormat="1" x14ac:dyDescent="0.2">
      <c r="B694" s="80"/>
      <c r="C694" s="80"/>
      <c r="D694" s="81"/>
      <c r="E694" s="80"/>
      <c r="F694" s="84"/>
    </row>
    <row r="695" spans="2:6" s="72" customFormat="1" x14ac:dyDescent="0.2">
      <c r="B695" s="80"/>
      <c r="C695" s="80"/>
      <c r="D695" s="81"/>
      <c r="E695" s="80"/>
      <c r="F695" s="84"/>
    </row>
    <row r="696" spans="2:6" s="72" customFormat="1" x14ac:dyDescent="0.2">
      <c r="B696" s="80"/>
      <c r="C696" s="80"/>
      <c r="D696" s="81"/>
      <c r="E696" s="80"/>
      <c r="F696" s="84"/>
    </row>
    <row r="697" spans="2:6" s="72" customFormat="1" x14ac:dyDescent="0.2">
      <c r="B697" s="80"/>
      <c r="C697" s="80"/>
      <c r="D697" s="81"/>
      <c r="E697" s="80"/>
      <c r="F697" s="84"/>
    </row>
    <row r="698" spans="2:6" s="72" customFormat="1" x14ac:dyDescent="0.2">
      <c r="B698" s="80"/>
      <c r="C698" s="80"/>
      <c r="D698" s="81"/>
      <c r="E698" s="80"/>
      <c r="F698" s="84"/>
    </row>
    <row r="699" spans="2:6" s="72" customFormat="1" x14ac:dyDescent="0.2">
      <c r="B699" s="80"/>
      <c r="C699" s="80"/>
      <c r="D699" s="81"/>
      <c r="E699" s="80"/>
      <c r="F699" s="84"/>
    </row>
    <row r="700" spans="2:6" s="72" customFormat="1" x14ac:dyDescent="0.2">
      <c r="B700" s="80"/>
      <c r="C700" s="80"/>
      <c r="D700" s="81"/>
      <c r="E700" s="80"/>
      <c r="F700" s="84"/>
    </row>
    <row r="701" spans="2:6" s="72" customFormat="1" x14ac:dyDescent="0.2">
      <c r="B701" s="80"/>
      <c r="C701" s="80"/>
      <c r="D701" s="81"/>
      <c r="E701" s="80"/>
      <c r="F701" s="84"/>
    </row>
    <row r="702" spans="2:6" s="72" customFormat="1" x14ac:dyDescent="0.2">
      <c r="B702" s="80"/>
      <c r="C702" s="80"/>
      <c r="D702" s="81"/>
      <c r="E702" s="80"/>
      <c r="F702" s="84"/>
    </row>
    <row r="703" spans="2:6" s="72" customFormat="1" x14ac:dyDescent="0.2">
      <c r="B703" s="80"/>
      <c r="C703" s="80"/>
      <c r="D703" s="81"/>
      <c r="E703" s="80"/>
      <c r="F703" s="84"/>
    </row>
    <row r="704" spans="2:6" s="72" customFormat="1" x14ac:dyDescent="0.2">
      <c r="B704" s="80"/>
      <c r="C704" s="80"/>
      <c r="D704" s="81"/>
      <c r="E704" s="80"/>
      <c r="F704" s="84"/>
    </row>
    <row r="705" spans="2:6" s="72" customFormat="1" x14ac:dyDescent="0.2">
      <c r="B705" s="80"/>
      <c r="C705" s="80"/>
      <c r="D705" s="81"/>
      <c r="E705" s="80"/>
      <c r="F705" s="84"/>
    </row>
    <row r="706" spans="2:6" s="72" customFormat="1" x14ac:dyDescent="0.2">
      <c r="B706" s="80"/>
      <c r="C706" s="80"/>
      <c r="D706" s="81"/>
      <c r="E706" s="80"/>
      <c r="F706" s="84"/>
    </row>
    <row r="707" spans="2:6" s="72" customFormat="1" x14ac:dyDescent="0.2">
      <c r="B707" s="80"/>
      <c r="C707" s="80"/>
      <c r="D707" s="81"/>
      <c r="E707" s="80"/>
      <c r="F707" s="84"/>
    </row>
    <row r="708" spans="2:6" s="72" customFormat="1" x14ac:dyDescent="0.2">
      <c r="B708" s="80"/>
      <c r="C708" s="80"/>
      <c r="D708" s="81"/>
      <c r="E708" s="80"/>
      <c r="F708" s="84"/>
    </row>
    <row r="709" spans="2:6" s="72" customFormat="1" x14ac:dyDescent="0.2">
      <c r="B709" s="80"/>
      <c r="C709" s="80"/>
      <c r="D709" s="81"/>
      <c r="E709" s="80"/>
      <c r="F709" s="84"/>
    </row>
    <row r="710" spans="2:6" s="72" customFormat="1" x14ac:dyDescent="0.2">
      <c r="B710" s="80"/>
      <c r="C710" s="80"/>
      <c r="D710" s="81"/>
      <c r="E710" s="80"/>
      <c r="F710" s="84"/>
    </row>
    <row r="711" spans="2:6" s="72" customFormat="1" x14ac:dyDescent="0.2">
      <c r="B711" s="80"/>
      <c r="C711" s="80"/>
      <c r="D711" s="81"/>
      <c r="E711" s="80"/>
      <c r="F711" s="84"/>
    </row>
    <row r="712" spans="2:6" s="72" customFormat="1" x14ac:dyDescent="0.2">
      <c r="B712" s="80"/>
      <c r="C712" s="80"/>
      <c r="D712" s="81"/>
      <c r="E712" s="80"/>
      <c r="F712" s="84"/>
    </row>
    <row r="713" spans="2:6" s="72" customFormat="1" x14ac:dyDescent="0.2">
      <c r="B713" s="80"/>
      <c r="C713" s="80"/>
      <c r="D713" s="81"/>
      <c r="E713" s="80"/>
      <c r="F713" s="84"/>
    </row>
    <row r="714" spans="2:6" s="72" customFormat="1" x14ac:dyDescent="0.2">
      <c r="B714" s="80"/>
      <c r="C714" s="80"/>
      <c r="D714" s="81"/>
      <c r="E714" s="80"/>
      <c r="F714" s="84"/>
    </row>
    <row r="715" spans="2:6" s="72" customFormat="1" x14ac:dyDescent="0.2">
      <c r="B715" s="80"/>
      <c r="C715" s="80"/>
      <c r="D715" s="81"/>
      <c r="E715" s="80"/>
      <c r="F715" s="84"/>
    </row>
    <row r="716" spans="2:6" s="72" customFormat="1" x14ac:dyDescent="0.2">
      <c r="B716" s="80"/>
      <c r="C716" s="80"/>
      <c r="D716" s="81"/>
      <c r="E716" s="80"/>
      <c r="F716" s="84"/>
    </row>
    <row r="717" spans="2:6" s="72" customFormat="1" x14ac:dyDescent="0.2">
      <c r="B717" s="80"/>
      <c r="C717" s="80"/>
      <c r="D717" s="81"/>
      <c r="E717" s="80"/>
      <c r="F717" s="84"/>
    </row>
    <row r="718" spans="2:6" s="72" customFormat="1" x14ac:dyDescent="0.2">
      <c r="B718" s="80"/>
      <c r="C718" s="80"/>
      <c r="D718" s="81"/>
      <c r="E718" s="80"/>
      <c r="F718" s="84"/>
    </row>
    <row r="719" spans="2:6" s="72" customFormat="1" x14ac:dyDescent="0.2">
      <c r="B719" s="80"/>
      <c r="C719" s="80"/>
      <c r="D719" s="81"/>
      <c r="E719" s="80"/>
      <c r="F719" s="84"/>
    </row>
    <row r="720" spans="2:6" s="72" customFormat="1" x14ac:dyDescent="0.2">
      <c r="B720" s="80"/>
      <c r="C720" s="80"/>
      <c r="D720" s="81"/>
      <c r="E720" s="80"/>
      <c r="F720" s="84"/>
    </row>
    <row r="721" spans="2:6" s="72" customFormat="1" x14ac:dyDescent="0.2">
      <c r="B721" s="80"/>
      <c r="C721" s="80"/>
      <c r="D721" s="81"/>
      <c r="E721" s="80"/>
      <c r="F721" s="84"/>
    </row>
    <row r="722" spans="2:6" s="72" customFormat="1" x14ac:dyDescent="0.2">
      <c r="B722" s="80"/>
      <c r="C722" s="80"/>
      <c r="D722" s="81"/>
      <c r="E722" s="80"/>
      <c r="F722" s="84"/>
    </row>
    <row r="723" spans="2:6" s="72" customFormat="1" x14ac:dyDescent="0.2">
      <c r="B723" s="80"/>
      <c r="C723" s="80"/>
      <c r="D723" s="81"/>
      <c r="E723" s="80"/>
      <c r="F723" s="84"/>
    </row>
    <row r="724" spans="2:6" s="72" customFormat="1" x14ac:dyDescent="0.2">
      <c r="B724" s="80"/>
      <c r="C724" s="80"/>
      <c r="D724" s="81"/>
      <c r="E724" s="80"/>
      <c r="F724" s="84"/>
    </row>
    <row r="725" spans="2:6" s="72" customFormat="1" x14ac:dyDescent="0.2">
      <c r="B725" s="80"/>
      <c r="C725" s="80"/>
      <c r="D725" s="81"/>
      <c r="E725" s="80"/>
      <c r="F725" s="84"/>
    </row>
    <row r="726" spans="2:6" s="72" customFormat="1" x14ac:dyDescent="0.2">
      <c r="B726" s="80"/>
      <c r="C726" s="80"/>
      <c r="D726" s="81"/>
      <c r="E726" s="80"/>
      <c r="F726" s="84"/>
    </row>
    <row r="727" spans="2:6" s="72" customFormat="1" x14ac:dyDescent="0.2">
      <c r="B727" s="80"/>
      <c r="C727" s="80"/>
      <c r="D727" s="81"/>
      <c r="E727" s="80"/>
      <c r="F727" s="84"/>
    </row>
    <row r="728" spans="2:6" s="72" customFormat="1" x14ac:dyDescent="0.2">
      <c r="B728" s="80"/>
      <c r="C728" s="80"/>
      <c r="D728" s="81"/>
      <c r="E728" s="80"/>
      <c r="F728" s="84"/>
    </row>
    <row r="729" spans="2:6" s="72" customFormat="1" x14ac:dyDescent="0.2">
      <c r="B729" s="80"/>
      <c r="C729" s="80"/>
      <c r="D729" s="81"/>
      <c r="E729" s="80"/>
      <c r="F729" s="84"/>
    </row>
    <row r="730" spans="2:6" s="72" customFormat="1" x14ac:dyDescent="0.2">
      <c r="B730" s="80"/>
      <c r="C730" s="80"/>
      <c r="D730" s="81"/>
      <c r="E730" s="80"/>
      <c r="F730" s="84"/>
    </row>
    <row r="731" spans="2:6" s="72" customFormat="1" x14ac:dyDescent="0.2">
      <c r="B731" s="80"/>
      <c r="C731" s="80"/>
      <c r="D731" s="81"/>
      <c r="E731" s="80"/>
      <c r="F731" s="84"/>
    </row>
    <row r="732" spans="2:6" s="72" customFormat="1" x14ac:dyDescent="0.2">
      <c r="B732" s="80"/>
      <c r="C732" s="80"/>
      <c r="D732" s="81"/>
      <c r="E732" s="80"/>
      <c r="F732" s="84"/>
    </row>
    <row r="733" spans="2:6" s="72" customFormat="1" x14ac:dyDescent="0.2">
      <c r="B733" s="80"/>
      <c r="C733" s="80"/>
      <c r="D733" s="81"/>
      <c r="E733" s="80"/>
      <c r="F733" s="84"/>
    </row>
    <row r="734" spans="2:6" s="72" customFormat="1" x14ac:dyDescent="0.2">
      <c r="B734" s="80"/>
      <c r="C734" s="80"/>
      <c r="D734" s="81"/>
      <c r="E734" s="80"/>
      <c r="F734" s="84"/>
    </row>
    <row r="735" spans="2:6" s="72" customFormat="1" x14ac:dyDescent="0.2">
      <c r="B735" s="80"/>
      <c r="C735" s="80"/>
      <c r="D735" s="81"/>
      <c r="E735" s="80"/>
      <c r="F735" s="84"/>
    </row>
    <row r="736" spans="2:6" s="72" customFormat="1" x14ac:dyDescent="0.2">
      <c r="B736" s="80"/>
      <c r="C736" s="80"/>
      <c r="D736" s="81"/>
      <c r="E736" s="80"/>
      <c r="F736" s="84"/>
    </row>
    <row r="737" spans="2:6" s="72" customFormat="1" x14ac:dyDescent="0.2">
      <c r="B737" s="80"/>
      <c r="C737" s="80"/>
      <c r="D737" s="81"/>
      <c r="E737" s="80"/>
      <c r="F737" s="84"/>
    </row>
    <row r="738" spans="2:6" s="72" customFormat="1" x14ac:dyDescent="0.2">
      <c r="B738" s="80"/>
      <c r="C738" s="80"/>
      <c r="D738" s="81"/>
      <c r="E738" s="80"/>
      <c r="F738" s="84"/>
    </row>
    <row r="739" spans="2:6" s="72" customFormat="1" x14ac:dyDescent="0.2">
      <c r="B739" s="80"/>
      <c r="C739" s="80"/>
      <c r="D739" s="81"/>
      <c r="E739" s="80"/>
      <c r="F739" s="84"/>
    </row>
    <row r="740" spans="2:6" s="72" customFormat="1" x14ac:dyDescent="0.2">
      <c r="B740" s="80"/>
      <c r="C740" s="80"/>
      <c r="D740" s="81"/>
      <c r="E740" s="80"/>
      <c r="F740" s="84"/>
    </row>
    <row r="741" spans="2:6" s="72" customFormat="1" x14ac:dyDescent="0.2">
      <c r="B741" s="80"/>
      <c r="C741" s="80"/>
      <c r="D741" s="81"/>
      <c r="E741" s="80"/>
      <c r="F741" s="84"/>
    </row>
    <row r="742" spans="2:6" s="72" customFormat="1" x14ac:dyDescent="0.2">
      <c r="B742" s="80"/>
      <c r="C742" s="80"/>
      <c r="D742" s="81"/>
      <c r="E742" s="80"/>
      <c r="F742" s="84"/>
    </row>
    <row r="743" spans="2:6" s="72" customFormat="1" x14ac:dyDescent="0.2">
      <c r="B743" s="80"/>
      <c r="C743" s="80"/>
      <c r="D743" s="81"/>
      <c r="E743" s="80"/>
      <c r="F743" s="84"/>
    </row>
    <row r="744" spans="2:6" s="72" customFormat="1" x14ac:dyDescent="0.2">
      <c r="B744" s="80"/>
      <c r="C744" s="80"/>
      <c r="D744" s="81"/>
      <c r="E744" s="80"/>
      <c r="F744" s="84"/>
    </row>
    <row r="745" spans="2:6" s="72" customFormat="1" x14ac:dyDescent="0.2">
      <c r="B745" s="80"/>
      <c r="C745" s="80"/>
      <c r="D745" s="81"/>
      <c r="E745" s="80"/>
      <c r="F745" s="84"/>
    </row>
    <row r="746" spans="2:6" s="72" customFormat="1" x14ac:dyDescent="0.2">
      <c r="B746" s="80"/>
      <c r="C746" s="80"/>
      <c r="D746" s="81"/>
      <c r="E746" s="80"/>
      <c r="F746" s="84"/>
    </row>
    <row r="747" spans="2:6" s="72" customFormat="1" x14ac:dyDescent="0.2">
      <c r="B747" s="80"/>
      <c r="C747" s="80"/>
      <c r="D747" s="81"/>
      <c r="E747" s="80"/>
      <c r="F747" s="84"/>
    </row>
    <row r="748" spans="2:6" s="72" customFormat="1" x14ac:dyDescent="0.2">
      <c r="B748" s="80"/>
      <c r="C748" s="80"/>
      <c r="D748" s="81"/>
      <c r="E748" s="80"/>
      <c r="F748" s="84"/>
    </row>
    <row r="749" spans="2:6" s="72" customFormat="1" x14ac:dyDescent="0.2">
      <c r="B749" s="80"/>
      <c r="C749" s="80"/>
      <c r="D749" s="81"/>
      <c r="E749" s="80"/>
      <c r="F749" s="84"/>
    </row>
    <row r="750" spans="2:6" s="72" customFormat="1" x14ac:dyDescent="0.2">
      <c r="B750" s="80"/>
      <c r="C750" s="80"/>
      <c r="D750" s="81"/>
      <c r="E750" s="80"/>
      <c r="F750" s="84"/>
    </row>
    <row r="751" spans="2:6" s="72" customFormat="1" x14ac:dyDescent="0.2">
      <c r="B751" s="80"/>
      <c r="C751" s="80"/>
      <c r="D751" s="81"/>
      <c r="E751" s="80"/>
      <c r="F751" s="84"/>
    </row>
    <row r="752" spans="2:6" s="72" customFormat="1" x14ac:dyDescent="0.2">
      <c r="B752" s="80"/>
      <c r="C752" s="80"/>
      <c r="D752" s="81"/>
      <c r="E752" s="80"/>
      <c r="F752" s="84"/>
    </row>
    <row r="753" spans="2:6" s="72" customFormat="1" x14ac:dyDescent="0.2">
      <c r="B753" s="80"/>
      <c r="C753" s="80"/>
      <c r="D753" s="81"/>
      <c r="E753" s="80"/>
      <c r="F753" s="84"/>
    </row>
    <row r="754" spans="2:6" s="72" customFormat="1" x14ac:dyDescent="0.2">
      <c r="B754" s="80"/>
      <c r="C754" s="80"/>
      <c r="D754" s="81"/>
      <c r="E754" s="80"/>
      <c r="F754" s="84"/>
    </row>
    <row r="755" spans="2:6" s="72" customFormat="1" x14ac:dyDescent="0.2">
      <c r="B755" s="80"/>
      <c r="C755" s="80"/>
      <c r="D755" s="81"/>
      <c r="E755" s="80"/>
      <c r="F755" s="84"/>
    </row>
    <row r="756" spans="2:6" s="72" customFormat="1" x14ac:dyDescent="0.2">
      <c r="B756" s="80"/>
      <c r="C756" s="80"/>
      <c r="D756" s="81"/>
      <c r="E756" s="80"/>
      <c r="F756" s="84"/>
    </row>
    <row r="757" spans="2:6" s="72" customFormat="1" x14ac:dyDescent="0.2">
      <c r="B757" s="80"/>
      <c r="C757" s="80"/>
      <c r="D757" s="81"/>
      <c r="E757" s="80"/>
      <c r="F757" s="84"/>
    </row>
    <row r="758" spans="2:6" s="72" customFormat="1" x14ac:dyDescent="0.2">
      <c r="B758" s="80"/>
      <c r="C758" s="80"/>
      <c r="D758" s="81"/>
      <c r="E758" s="80"/>
      <c r="F758" s="84"/>
    </row>
    <row r="759" spans="2:6" s="72" customFormat="1" x14ac:dyDescent="0.2">
      <c r="B759" s="80"/>
      <c r="C759" s="80"/>
      <c r="D759" s="81"/>
      <c r="E759" s="80"/>
      <c r="F759" s="84"/>
    </row>
    <row r="760" spans="2:6" s="72" customFormat="1" x14ac:dyDescent="0.2">
      <c r="B760" s="80"/>
      <c r="C760" s="80"/>
      <c r="D760" s="81"/>
      <c r="E760" s="80"/>
      <c r="F760" s="84"/>
    </row>
    <row r="761" spans="2:6" s="72" customFormat="1" x14ac:dyDescent="0.2">
      <c r="B761" s="80"/>
      <c r="C761" s="80"/>
      <c r="D761" s="81"/>
      <c r="E761" s="80"/>
      <c r="F761" s="84"/>
    </row>
    <row r="762" spans="2:6" s="72" customFormat="1" x14ac:dyDescent="0.2">
      <c r="B762" s="80"/>
      <c r="C762" s="80"/>
      <c r="D762" s="81"/>
      <c r="E762" s="80"/>
      <c r="F762" s="84"/>
    </row>
    <row r="763" spans="2:6" s="72" customFormat="1" x14ac:dyDescent="0.2">
      <c r="B763" s="80"/>
      <c r="C763" s="80"/>
      <c r="D763" s="81"/>
      <c r="E763" s="80"/>
      <c r="F763" s="84"/>
    </row>
    <row r="764" spans="2:6" s="72" customFormat="1" x14ac:dyDescent="0.2">
      <c r="B764" s="80"/>
      <c r="C764" s="80"/>
      <c r="D764" s="81"/>
      <c r="E764" s="80"/>
      <c r="F764" s="84"/>
    </row>
    <row r="765" spans="2:6" s="72" customFormat="1" x14ac:dyDescent="0.2">
      <c r="B765" s="80"/>
      <c r="C765" s="80"/>
      <c r="D765" s="81"/>
      <c r="E765" s="80"/>
      <c r="F765" s="84"/>
    </row>
    <row r="766" spans="2:6" s="72" customFormat="1" x14ac:dyDescent="0.2">
      <c r="B766" s="80"/>
      <c r="C766" s="80"/>
      <c r="D766" s="81"/>
      <c r="E766" s="80"/>
      <c r="F766" s="84"/>
    </row>
    <row r="767" spans="2:6" s="72" customFormat="1" x14ac:dyDescent="0.2">
      <c r="B767" s="80"/>
      <c r="C767" s="80"/>
      <c r="D767" s="81"/>
      <c r="E767" s="80"/>
      <c r="F767" s="84"/>
    </row>
    <row r="768" spans="2:6" s="72" customFormat="1" x14ac:dyDescent="0.2">
      <c r="B768" s="80"/>
      <c r="C768" s="80"/>
      <c r="D768" s="81"/>
      <c r="E768" s="80"/>
      <c r="F768" s="84"/>
    </row>
    <row r="769" spans="2:6" s="72" customFormat="1" x14ac:dyDescent="0.2">
      <c r="B769" s="80"/>
      <c r="C769" s="80"/>
      <c r="D769" s="81"/>
      <c r="E769" s="80"/>
      <c r="F769" s="84"/>
    </row>
    <row r="770" spans="2:6" s="72" customFormat="1" x14ac:dyDescent="0.2">
      <c r="B770" s="80"/>
      <c r="C770" s="80"/>
      <c r="D770" s="81"/>
      <c r="E770" s="80"/>
      <c r="F770" s="84"/>
    </row>
    <row r="771" spans="2:6" s="72" customFormat="1" x14ac:dyDescent="0.2">
      <c r="B771" s="80"/>
      <c r="C771" s="80"/>
      <c r="D771" s="81"/>
      <c r="E771" s="80"/>
      <c r="F771" s="84"/>
    </row>
    <row r="772" spans="2:6" s="72" customFormat="1" x14ac:dyDescent="0.2">
      <c r="B772" s="80"/>
      <c r="C772" s="80"/>
      <c r="D772" s="81"/>
      <c r="E772" s="80"/>
      <c r="F772" s="84"/>
    </row>
    <row r="773" spans="2:6" s="72" customFormat="1" x14ac:dyDescent="0.2">
      <c r="B773" s="80"/>
      <c r="C773" s="80"/>
      <c r="D773" s="81"/>
      <c r="E773" s="80"/>
      <c r="F773" s="84"/>
    </row>
    <row r="774" spans="2:6" s="72" customFormat="1" x14ac:dyDescent="0.2">
      <c r="B774" s="80"/>
      <c r="C774" s="80"/>
      <c r="D774" s="81"/>
      <c r="E774" s="80"/>
      <c r="F774" s="84"/>
    </row>
    <row r="775" spans="2:6" s="72" customFormat="1" x14ac:dyDescent="0.2">
      <c r="B775" s="80"/>
      <c r="C775" s="80"/>
      <c r="D775" s="81"/>
      <c r="E775" s="80"/>
      <c r="F775" s="84"/>
    </row>
    <row r="776" spans="2:6" s="72" customFormat="1" x14ac:dyDescent="0.2">
      <c r="B776" s="80"/>
      <c r="C776" s="80"/>
      <c r="D776" s="81"/>
      <c r="E776" s="80"/>
      <c r="F776" s="84"/>
    </row>
    <row r="777" spans="2:6" s="72" customFormat="1" x14ac:dyDescent="0.2">
      <c r="B777" s="80"/>
      <c r="C777" s="80"/>
      <c r="D777" s="81"/>
      <c r="E777" s="80"/>
      <c r="F777" s="84"/>
    </row>
    <row r="778" spans="2:6" s="72" customFormat="1" x14ac:dyDescent="0.2">
      <c r="B778" s="80"/>
      <c r="C778" s="80"/>
      <c r="D778" s="81"/>
      <c r="E778" s="80"/>
      <c r="F778" s="84"/>
    </row>
  </sheetData>
  <sheetProtection password="A60F" sheet="1" objects="1" scenarios="1"/>
  <mergeCells count="76">
    <mergeCell ref="B7:E7"/>
    <mergeCell ref="B8:B10"/>
    <mergeCell ref="C8:C9"/>
    <mergeCell ref="B1:H3"/>
    <mergeCell ref="B11:E11"/>
    <mergeCell ref="B4:H4"/>
    <mergeCell ref="B12:B18"/>
    <mergeCell ref="C13:C18"/>
    <mergeCell ref="B19:E19"/>
    <mergeCell ref="B20:B21"/>
    <mergeCell ref="C20:C21"/>
    <mergeCell ref="A48:A50"/>
    <mergeCell ref="B48:B50"/>
    <mergeCell ref="C49:C50"/>
    <mergeCell ref="B22:E22"/>
    <mergeCell ref="B23:B28"/>
    <mergeCell ref="A25:A28"/>
    <mergeCell ref="A29:A30"/>
    <mergeCell ref="B29:B30"/>
    <mergeCell ref="A31:A33"/>
    <mergeCell ref="B31:B35"/>
    <mergeCell ref="B36:B37"/>
    <mergeCell ref="B38:E38"/>
    <mergeCell ref="B39:B47"/>
    <mergeCell ref="A40:A41"/>
    <mergeCell ref="C45:C47"/>
    <mergeCell ref="B80:B87"/>
    <mergeCell ref="C81:C84"/>
    <mergeCell ref="B51:B53"/>
    <mergeCell ref="C51:C53"/>
    <mergeCell ref="B54:E54"/>
    <mergeCell ref="B55:B59"/>
    <mergeCell ref="C55:C58"/>
    <mergeCell ref="B60:E60"/>
    <mergeCell ref="B61:B65"/>
    <mergeCell ref="C61:C64"/>
    <mergeCell ref="B66:E66"/>
    <mergeCell ref="B67:B79"/>
    <mergeCell ref="C67:C72"/>
    <mergeCell ref="C122:C127"/>
    <mergeCell ref="C128:C129"/>
    <mergeCell ref="B88:E88"/>
    <mergeCell ref="B89:B91"/>
    <mergeCell ref="C89:C90"/>
    <mergeCell ref="B92:E92"/>
    <mergeCell ref="B93:B105"/>
    <mergeCell ref="C93:C103"/>
    <mergeCell ref="C104:C105"/>
    <mergeCell ref="B106:E106"/>
    <mergeCell ref="B107:B129"/>
    <mergeCell ref="C109:C115"/>
    <mergeCell ref="C116:C121"/>
    <mergeCell ref="C133:C140"/>
    <mergeCell ref="C141:C154"/>
    <mergeCell ref="C155:C157"/>
    <mergeCell ref="C173:C175"/>
    <mergeCell ref="B182:E182"/>
    <mergeCell ref="B158:E158"/>
    <mergeCell ref="B159:B160"/>
    <mergeCell ref="B161:B162"/>
    <mergeCell ref="B164:C164"/>
    <mergeCell ref="B165:F165"/>
    <mergeCell ref="B167:B174"/>
    <mergeCell ref="C167:C171"/>
    <mergeCell ref="B166:E166"/>
    <mergeCell ref="B176:E176"/>
    <mergeCell ref="B133:B157"/>
    <mergeCell ref="B191:F191"/>
    <mergeCell ref="B192:F192"/>
    <mergeCell ref="B194:C194"/>
    <mergeCell ref="B195:C195"/>
    <mergeCell ref="A177:A181"/>
    <mergeCell ref="B177:B178"/>
    <mergeCell ref="B179:B180"/>
    <mergeCell ref="B185:C185"/>
    <mergeCell ref="B184:C184"/>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M51"/>
  <sheetViews>
    <sheetView showGridLines="0" zoomScale="80" zoomScaleNormal="80" workbookViewId="0">
      <selection activeCell="G18" sqref="G18"/>
    </sheetView>
  </sheetViews>
  <sheetFormatPr baseColWidth="10" defaultRowHeight="12.75" x14ac:dyDescent="0.2"/>
  <cols>
    <col min="1" max="1" width="13.28515625" style="1" customWidth="1"/>
    <col min="2" max="2" width="32.140625" style="18" customWidth="1"/>
    <col min="3" max="3" width="23" style="19" customWidth="1"/>
    <col min="4" max="4" width="10.42578125" style="19" customWidth="1"/>
    <col min="5" max="5" width="25.42578125" style="19" customWidth="1"/>
    <col min="6" max="6" width="10.42578125" style="19" customWidth="1"/>
    <col min="7" max="7" width="24.7109375" style="19" customWidth="1"/>
    <col min="8" max="8" width="28.140625" style="19" customWidth="1"/>
    <col min="9" max="9" width="24.7109375" style="19" customWidth="1"/>
    <col min="10" max="10" width="10.28515625" style="19" customWidth="1"/>
    <col min="11" max="11" width="24.85546875" style="19" customWidth="1"/>
    <col min="12" max="12" width="19.28515625" style="1" customWidth="1"/>
    <col min="13" max="254" width="11.42578125" style="1"/>
    <col min="255" max="255" width="13.28515625" style="1" customWidth="1"/>
    <col min="256" max="256" width="32.140625" style="1" customWidth="1"/>
    <col min="257" max="257" width="20.7109375" style="1" customWidth="1"/>
    <col min="258" max="258" width="10.42578125" style="1" customWidth="1"/>
    <col min="259" max="259" width="18.5703125" style="1" customWidth="1"/>
    <col min="260" max="260" width="11.7109375" style="1" customWidth="1"/>
    <col min="261" max="261" width="19.28515625" style="1" customWidth="1"/>
    <col min="262" max="262" width="10.28515625" style="1" customWidth="1"/>
    <col min="263" max="263" width="19.42578125" style="1" customWidth="1"/>
    <col min="264" max="264" width="10.28515625" style="1" customWidth="1"/>
    <col min="265" max="265" width="19.5703125" style="1" customWidth="1"/>
    <col min="266" max="266" width="10.42578125" style="1" customWidth="1"/>
    <col min="267" max="267" width="21.140625" style="1" customWidth="1"/>
    <col min="268" max="268" width="11.7109375" style="1" customWidth="1"/>
    <col min="269" max="510" width="11.42578125" style="1"/>
    <col min="511" max="511" width="13.28515625" style="1" customWidth="1"/>
    <col min="512" max="512" width="32.140625" style="1" customWidth="1"/>
    <col min="513" max="513" width="20.7109375" style="1" customWidth="1"/>
    <col min="514" max="514" width="10.42578125" style="1" customWidth="1"/>
    <col min="515" max="515" width="18.5703125" style="1" customWidth="1"/>
    <col min="516" max="516" width="11.7109375" style="1" customWidth="1"/>
    <col min="517" max="517" width="19.28515625" style="1" customWidth="1"/>
    <col min="518" max="518" width="10.28515625" style="1" customWidth="1"/>
    <col min="519" max="519" width="19.42578125" style="1" customWidth="1"/>
    <col min="520" max="520" width="10.28515625" style="1" customWidth="1"/>
    <col min="521" max="521" width="19.5703125" style="1" customWidth="1"/>
    <col min="522" max="522" width="10.42578125" style="1" customWidth="1"/>
    <col min="523" max="523" width="21.140625" style="1" customWidth="1"/>
    <col min="524" max="524" width="11.7109375" style="1" customWidth="1"/>
    <col min="525" max="766" width="11.42578125" style="1"/>
    <col min="767" max="767" width="13.28515625" style="1" customWidth="1"/>
    <col min="768" max="768" width="32.140625" style="1" customWidth="1"/>
    <col min="769" max="769" width="20.7109375" style="1" customWidth="1"/>
    <col min="770" max="770" width="10.42578125" style="1" customWidth="1"/>
    <col min="771" max="771" width="18.5703125" style="1" customWidth="1"/>
    <col min="772" max="772" width="11.7109375" style="1" customWidth="1"/>
    <col min="773" max="773" width="19.28515625" style="1" customWidth="1"/>
    <col min="774" max="774" width="10.28515625" style="1" customWidth="1"/>
    <col min="775" max="775" width="19.42578125" style="1" customWidth="1"/>
    <col min="776" max="776" width="10.28515625" style="1" customWidth="1"/>
    <col min="777" max="777" width="19.5703125" style="1" customWidth="1"/>
    <col min="778" max="778" width="10.42578125" style="1" customWidth="1"/>
    <col min="779" max="779" width="21.140625" style="1" customWidth="1"/>
    <col min="780" max="780" width="11.7109375" style="1" customWidth="1"/>
    <col min="781" max="1022" width="11.42578125" style="1"/>
    <col min="1023" max="1023" width="13.28515625" style="1" customWidth="1"/>
    <col min="1024" max="1024" width="32.140625" style="1" customWidth="1"/>
    <col min="1025" max="1025" width="20.7109375" style="1" customWidth="1"/>
    <col min="1026" max="1026" width="10.42578125" style="1" customWidth="1"/>
    <col min="1027" max="1027" width="18.5703125" style="1" customWidth="1"/>
    <col min="1028" max="1028" width="11.7109375" style="1" customWidth="1"/>
    <col min="1029" max="1029" width="19.28515625" style="1" customWidth="1"/>
    <col min="1030" max="1030" width="10.28515625" style="1" customWidth="1"/>
    <col min="1031" max="1031" width="19.42578125" style="1" customWidth="1"/>
    <col min="1032" max="1032" width="10.28515625" style="1" customWidth="1"/>
    <col min="1033" max="1033" width="19.5703125" style="1" customWidth="1"/>
    <col min="1034" max="1034" width="10.42578125" style="1" customWidth="1"/>
    <col min="1035" max="1035" width="21.140625" style="1" customWidth="1"/>
    <col min="1036" max="1036" width="11.7109375" style="1" customWidth="1"/>
    <col min="1037" max="1278" width="11.42578125" style="1"/>
    <col min="1279" max="1279" width="13.28515625" style="1" customWidth="1"/>
    <col min="1280" max="1280" width="32.140625" style="1" customWidth="1"/>
    <col min="1281" max="1281" width="20.7109375" style="1" customWidth="1"/>
    <col min="1282" max="1282" width="10.42578125" style="1" customWidth="1"/>
    <col min="1283" max="1283" width="18.5703125" style="1" customWidth="1"/>
    <col min="1284" max="1284" width="11.7109375" style="1" customWidth="1"/>
    <col min="1285" max="1285" width="19.28515625" style="1" customWidth="1"/>
    <col min="1286" max="1286" width="10.28515625" style="1" customWidth="1"/>
    <col min="1287" max="1287" width="19.42578125" style="1" customWidth="1"/>
    <col min="1288" max="1288" width="10.28515625" style="1" customWidth="1"/>
    <col min="1289" max="1289" width="19.5703125" style="1" customWidth="1"/>
    <col min="1290" max="1290" width="10.42578125" style="1" customWidth="1"/>
    <col min="1291" max="1291" width="21.140625" style="1" customWidth="1"/>
    <col min="1292" max="1292" width="11.7109375" style="1" customWidth="1"/>
    <col min="1293" max="1534" width="11.42578125" style="1"/>
    <col min="1535" max="1535" width="13.28515625" style="1" customWidth="1"/>
    <col min="1536" max="1536" width="32.140625" style="1" customWidth="1"/>
    <col min="1537" max="1537" width="20.7109375" style="1" customWidth="1"/>
    <col min="1538" max="1538" width="10.42578125" style="1" customWidth="1"/>
    <col min="1539" max="1539" width="18.5703125" style="1" customWidth="1"/>
    <col min="1540" max="1540" width="11.7109375" style="1" customWidth="1"/>
    <col min="1541" max="1541" width="19.28515625" style="1" customWidth="1"/>
    <col min="1542" max="1542" width="10.28515625" style="1" customWidth="1"/>
    <col min="1543" max="1543" width="19.42578125" style="1" customWidth="1"/>
    <col min="1544" max="1544" width="10.28515625" style="1" customWidth="1"/>
    <col min="1545" max="1545" width="19.5703125" style="1" customWidth="1"/>
    <col min="1546" max="1546" width="10.42578125" style="1" customWidth="1"/>
    <col min="1547" max="1547" width="21.140625" style="1" customWidth="1"/>
    <col min="1548" max="1548" width="11.7109375" style="1" customWidth="1"/>
    <col min="1549" max="1790" width="11.42578125" style="1"/>
    <col min="1791" max="1791" width="13.28515625" style="1" customWidth="1"/>
    <col min="1792" max="1792" width="32.140625" style="1" customWidth="1"/>
    <col min="1793" max="1793" width="20.7109375" style="1" customWidth="1"/>
    <col min="1794" max="1794" width="10.42578125" style="1" customWidth="1"/>
    <col min="1795" max="1795" width="18.5703125" style="1" customWidth="1"/>
    <col min="1796" max="1796" width="11.7109375" style="1" customWidth="1"/>
    <col min="1797" max="1797" width="19.28515625" style="1" customWidth="1"/>
    <col min="1798" max="1798" width="10.28515625" style="1" customWidth="1"/>
    <col min="1799" max="1799" width="19.42578125" style="1" customWidth="1"/>
    <col min="1800" max="1800" width="10.28515625" style="1" customWidth="1"/>
    <col min="1801" max="1801" width="19.5703125" style="1" customWidth="1"/>
    <col min="1802" max="1802" width="10.42578125" style="1" customWidth="1"/>
    <col min="1803" max="1803" width="21.140625" style="1" customWidth="1"/>
    <col min="1804" max="1804" width="11.7109375" style="1" customWidth="1"/>
    <col min="1805" max="2046" width="11.42578125" style="1"/>
    <col min="2047" max="2047" width="13.28515625" style="1" customWidth="1"/>
    <col min="2048" max="2048" width="32.140625" style="1" customWidth="1"/>
    <col min="2049" max="2049" width="20.7109375" style="1" customWidth="1"/>
    <col min="2050" max="2050" width="10.42578125" style="1" customWidth="1"/>
    <col min="2051" max="2051" width="18.5703125" style="1" customWidth="1"/>
    <col min="2052" max="2052" width="11.7109375" style="1" customWidth="1"/>
    <col min="2053" max="2053" width="19.28515625" style="1" customWidth="1"/>
    <col min="2054" max="2054" width="10.28515625" style="1" customWidth="1"/>
    <col min="2055" max="2055" width="19.42578125" style="1" customWidth="1"/>
    <col min="2056" max="2056" width="10.28515625" style="1" customWidth="1"/>
    <col min="2057" max="2057" width="19.5703125" style="1" customWidth="1"/>
    <col min="2058" max="2058" width="10.42578125" style="1" customWidth="1"/>
    <col min="2059" max="2059" width="21.140625" style="1" customWidth="1"/>
    <col min="2060" max="2060" width="11.7109375" style="1" customWidth="1"/>
    <col min="2061" max="2302" width="11.42578125" style="1"/>
    <col min="2303" max="2303" width="13.28515625" style="1" customWidth="1"/>
    <col min="2304" max="2304" width="32.140625" style="1" customWidth="1"/>
    <col min="2305" max="2305" width="20.7109375" style="1" customWidth="1"/>
    <col min="2306" max="2306" width="10.42578125" style="1" customWidth="1"/>
    <col min="2307" max="2307" width="18.5703125" style="1" customWidth="1"/>
    <col min="2308" max="2308" width="11.7109375" style="1" customWidth="1"/>
    <col min="2309" max="2309" width="19.28515625" style="1" customWidth="1"/>
    <col min="2310" max="2310" width="10.28515625" style="1" customWidth="1"/>
    <col min="2311" max="2311" width="19.42578125" style="1" customWidth="1"/>
    <col min="2312" max="2312" width="10.28515625" style="1" customWidth="1"/>
    <col min="2313" max="2313" width="19.5703125" style="1" customWidth="1"/>
    <col min="2314" max="2314" width="10.42578125" style="1" customWidth="1"/>
    <col min="2315" max="2315" width="21.140625" style="1" customWidth="1"/>
    <col min="2316" max="2316" width="11.7109375" style="1" customWidth="1"/>
    <col min="2317" max="2558" width="11.42578125" style="1"/>
    <col min="2559" max="2559" width="13.28515625" style="1" customWidth="1"/>
    <col min="2560" max="2560" width="32.140625" style="1" customWidth="1"/>
    <col min="2561" max="2561" width="20.7109375" style="1" customWidth="1"/>
    <col min="2562" max="2562" width="10.42578125" style="1" customWidth="1"/>
    <col min="2563" max="2563" width="18.5703125" style="1" customWidth="1"/>
    <col min="2564" max="2564" width="11.7109375" style="1" customWidth="1"/>
    <col min="2565" max="2565" width="19.28515625" style="1" customWidth="1"/>
    <col min="2566" max="2566" width="10.28515625" style="1" customWidth="1"/>
    <col min="2567" max="2567" width="19.42578125" style="1" customWidth="1"/>
    <col min="2568" max="2568" width="10.28515625" style="1" customWidth="1"/>
    <col min="2569" max="2569" width="19.5703125" style="1" customWidth="1"/>
    <col min="2570" max="2570" width="10.42578125" style="1" customWidth="1"/>
    <col min="2571" max="2571" width="21.140625" style="1" customWidth="1"/>
    <col min="2572" max="2572" width="11.7109375" style="1" customWidth="1"/>
    <col min="2573" max="2814" width="11.42578125" style="1"/>
    <col min="2815" max="2815" width="13.28515625" style="1" customWidth="1"/>
    <col min="2816" max="2816" width="32.140625" style="1" customWidth="1"/>
    <col min="2817" max="2817" width="20.7109375" style="1" customWidth="1"/>
    <col min="2818" max="2818" width="10.42578125" style="1" customWidth="1"/>
    <col min="2819" max="2819" width="18.5703125" style="1" customWidth="1"/>
    <col min="2820" max="2820" width="11.7109375" style="1" customWidth="1"/>
    <col min="2821" max="2821" width="19.28515625" style="1" customWidth="1"/>
    <col min="2822" max="2822" width="10.28515625" style="1" customWidth="1"/>
    <col min="2823" max="2823" width="19.42578125" style="1" customWidth="1"/>
    <col min="2824" max="2824" width="10.28515625" style="1" customWidth="1"/>
    <col min="2825" max="2825" width="19.5703125" style="1" customWidth="1"/>
    <col min="2826" max="2826" width="10.42578125" style="1" customWidth="1"/>
    <col min="2827" max="2827" width="21.140625" style="1" customWidth="1"/>
    <col min="2828" max="2828" width="11.7109375" style="1" customWidth="1"/>
    <col min="2829" max="3070" width="11.42578125" style="1"/>
    <col min="3071" max="3071" width="13.28515625" style="1" customWidth="1"/>
    <col min="3072" max="3072" width="32.140625" style="1" customWidth="1"/>
    <col min="3073" max="3073" width="20.7109375" style="1" customWidth="1"/>
    <col min="3074" max="3074" width="10.42578125" style="1" customWidth="1"/>
    <col min="3075" max="3075" width="18.5703125" style="1" customWidth="1"/>
    <col min="3076" max="3076" width="11.7109375" style="1" customWidth="1"/>
    <col min="3077" max="3077" width="19.28515625" style="1" customWidth="1"/>
    <col min="3078" max="3078" width="10.28515625" style="1" customWidth="1"/>
    <col min="3079" max="3079" width="19.42578125" style="1" customWidth="1"/>
    <col min="3080" max="3080" width="10.28515625" style="1" customWidth="1"/>
    <col min="3081" max="3081" width="19.5703125" style="1" customWidth="1"/>
    <col min="3082" max="3082" width="10.42578125" style="1" customWidth="1"/>
    <col min="3083" max="3083" width="21.140625" style="1" customWidth="1"/>
    <col min="3084" max="3084" width="11.7109375" style="1" customWidth="1"/>
    <col min="3085" max="3326" width="11.42578125" style="1"/>
    <col min="3327" max="3327" width="13.28515625" style="1" customWidth="1"/>
    <col min="3328" max="3328" width="32.140625" style="1" customWidth="1"/>
    <col min="3329" max="3329" width="20.7109375" style="1" customWidth="1"/>
    <col min="3330" max="3330" width="10.42578125" style="1" customWidth="1"/>
    <col min="3331" max="3331" width="18.5703125" style="1" customWidth="1"/>
    <col min="3332" max="3332" width="11.7109375" style="1" customWidth="1"/>
    <col min="3333" max="3333" width="19.28515625" style="1" customWidth="1"/>
    <col min="3334" max="3334" width="10.28515625" style="1" customWidth="1"/>
    <col min="3335" max="3335" width="19.42578125" style="1" customWidth="1"/>
    <col min="3336" max="3336" width="10.28515625" style="1" customWidth="1"/>
    <col min="3337" max="3337" width="19.5703125" style="1" customWidth="1"/>
    <col min="3338" max="3338" width="10.42578125" style="1" customWidth="1"/>
    <col min="3339" max="3339" width="21.140625" style="1" customWidth="1"/>
    <col min="3340" max="3340" width="11.7109375" style="1" customWidth="1"/>
    <col min="3341" max="3582" width="11.42578125" style="1"/>
    <col min="3583" max="3583" width="13.28515625" style="1" customWidth="1"/>
    <col min="3584" max="3584" width="32.140625" style="1" customWidth="1"/>
    <col min="3585" max="3585" width="20.7109375" style="1" customWidth="1"/>
    <col min="3586" max="3586" width="10.42578125" style="1" customWidth="1"/>
    <col min="3587" max="3587" width="18.5703125" style="1" customWidth="1"/>
    <col min="3588" max="3588" width="11.7109375" style="1" customWidth="1"/>
    <col min="3589" max="3589" width="19.28515625" style="1" customWidth="1"/>
    <col min="3590" max="3590" width="10.28515625" style="1" customWidth="1"/>
    <col min="3591" max="3591" width="19.42578125" style="1" customWidth="1"/>
    <col min="3592" max="3592" width="10.28515625" style="1" customWidth="1"/>
    <col min="3593" max="3593" width="19.5703125" style="1" customWidth="1"/>
    <col min="3594" max="3594" width="10.42578125" style="1" customWidth="1"/>
    <col min="3595" max="3595" width="21.140625" style="1" customWidth="1"/>
    <col min="3596" max="3596" width="11.7109375" style="1" customWidth="1"/>
    <col min="3597" max="3838" width="11.42578125" style="1"/>
    <col min="3839" max="3839" width="13.28515625" style="1" customWidth="1"/>
    <col min="3840" max="3840" width="32.140625" style="1" customWidth="1"/>
    <col min="3841" max="3841" width="20.7109375" style="1" customWidth="1"/>
    <col min="3842" max="3842" width="10.42578125" style="1" customWidth="1"/>
    <col min="3843" max="3843" width="18.5703125" style="1" customWidth="1"/>
    <col min="3844" max="3844" width="11.7109375" style="1" customWidth="1"/>
    <col min="3845" max="3845" width="19.28515625" style="1" customWidth="1"/>
    <col min="3846" max="3846" width="10.28515625" style="1" customWidth="1"/>
    <col min="3847" max="3847" width="19.42578125" style="1" customWidth="1"/>
    <col min="3848" max="3848" width="10.28515625" style="1" customWidth="1"/>
    <col min="3849" max="3849" width="19.5703125" style="1" customWidth="1"/>
    <col min="3850" max="3850" width="10.42578125" style="1" customWidth="1"/>
    <col min="3851" max="3851" width="21.140625" style="1" customWidth="1"/>
    <col min="3852" max="3852" width="11.7109375" style="1" customWidth="1"/>
    <col min="3853" max="4094" width="11.42578125" style="1"/>
    <col min="4095" max="4095" width="13.28515625" style="1" customWidth="1"/>
    <col min="4096" max="4096" width="32.140625" style="1" customWidth="1"/>
    <col min="4097" max="4097" width="20.7109375" style="1" customWidth="1"/>
    <col min="4098" max="4098" width="10.42578125" style="1" customWidth="1"/>
    <col min="4099" max="4099" width="18.5703125" style="1" customWidth="1"/>
    <col min="4100" max="4100" width="11.7109375" style="1" customWidth="1"/>
    <col min="4101" max="4101" width="19.28515625" style="1" customWidth="1"/>
    <col min="4102" max="4102" width="10.28515625" style="1" customWidth="1"/>
    <col min="4103" max="4103" width="19.42578125" style="1" customWidth="1"/>
    <col min="4104" max="4104" width="10.28515625" style="1" customWidth="1"/>
    <col min="4105" max="4105" width="19.5703125" style="1" customWidth="1"/>
    <col min="4106" max="4106" width="10.42578125" style="1" customWidth="1"/>
    <col min="4107" max="4107" width="21.140625" style="1" customWidth="1"/>
    <col min="4108" max="4108" width="11.7109375" style="1" customWidth="1"/>
    <col min="4109" max="4350" width="11.42578125" style="1"/>
    <col min="4351" max="4351" width="13.28515625" style="1" customWidth="1"/>
    <col min="4352" max="4352" width="32.140625" style="1" customWidth="1"/>
    <col min="4353" max="4353" width="20.7109375" style="1" customWidth="1"/>
    <col min="4354" max="4354" width="10.42578125" style="1" customWidth="1"/>
    <col min="4355" max="4355" width="18.5703125" style="1" customWidth="1"/>
    <col min="4356" max="4356" width="11.7109375" style="1" customWidth="1"/>
    <col min="4357" max="4357" width="19.28515625" style="1" customWidth="1"/>
    <col min="4358" max="4358" width="10.28515625" style="1" customWidth="1"/>
    <col min="4359" max="4359" width="19.42578125" style="1" customWidth="1"/>
    <col min="4360" max="4360" width="10.28515625" style="1" customWidth="1"/>
    <col min="4361" max="4361" width="19.5703125" style="1" customWidth="1"/>
    <col min="4362" max="4362" width="10.42578125" style="1" customWidth="1"/>
    <col min="4363" max="4363" width="21.140625" style="1" customWidth="1"/>
    <col min="4364" max="4364" width="11.7109375" style="1" customWidth="1"/>
    <col min="4365" max="4606" width="11.42578125" style="1"/>
    <col min="4607" max="4607" width="13.28515625" style="1" customWidth="1"/>
    <col min="4608" max="4608" width="32.140625" style="1" customWidth="1"/>
    <col min="4609" max="4609" width="20.7109375" style="1" customWidth="1"/>
    <col min="4610" max="4610" width="10.42578125" style="1" customWidth="1"/>
    <col min="4611" max="4611" width="18.5703125" style="1" customWidth="1"/>
    <col min="4612" max="4612" width="11.7109375" style="1" customWidth="1"/>
    <col min="4613" max="4613" width="19.28515625" style="1" customWidth="1"/>
    <col min="4614" max="4614" width="10.28515625" style="1" customWidth="1"/>
    <col min="4615" max="4615" width="19.42578125" style="1" customWidth="1"/>
    <col min="4616" max="4616" width="10.28515625" style="1" customWidth="1"/>
    <col min="4617" max="4617" width="19.5703125" style="1" customWidth="1"/>
    <col min="4618" max="4618" width="10.42578125" style="1" customWidth="1"/>
    <col min="4619" max="4619" width="21.140625" style="1" customWidth="1"/>
    <col min="4620" max="4620" width="11.7109375" style="1" customWidth="1"/>
    <col min="4621" max="4862" width="11.42578125" style="1"/>
    <col min="4863" max="4863" width="13.28515625" style="1" customWidth="1"/>
    <col min="4864" max="4864" width="32.140625" style="1" customWidth="1"/>
    <col min="4865" max="4865" width="20.7109375" style="1" customWidth="1"/>
    <col min="4866" max="4866" width="10.42578125" style="1" customWidth="1"/>
    <col min="4867" max="4867" width="18.5703125" style="1" customWidth="1"/>
    <col min="4868" max="4868" width="11.7109375" style="1" customWidth="1"/>
    <col min="4869" max="4869" width="19.28515625" style="1" customWidth="1"/>
    <col min="4870" max="4870" width="10.28515625" style="1" customWidth="1"/>
    <col min="4871" max="4871" width="19.42578125" style="1" customWidth="1"/>
    <col min="4872" max="4872" width="10.28515625" style="1" customWidth="1"/>
    <col min="4873" max="4873" width="19.5703125" style="1" customWidth="1"/>
    <col min="4874" max="4874" width="10.42578125" style="1" customWidth="1"/>
    <col min="4875" max="4875" width="21.140625" style="1" customWidth="1"/>
    <col min="4876" max="4876" width="11.7109375" style="1" customWidth="1"/>
    <col min="4877" max="5118" width="11.42578125" style="1"/>
    <col min="5119" max="5119" width="13.28515625" style="1" customWidth="1"/>
    <col min="5120" max="5120" width="32.140625" style="1" customWidth="1"/>
    <col min="5121" max="5121" width="20.7109375" style="1" customWidth="1"/>
    <col min="5122" max="5122" width="10.42578125" style="1" customWidth="1"/>
    <col min="5123" max="5123" width="18.5703125" style="1" customWidth="1"/>
    <col min="5124" max="5124" width="11.7109375" style="1" customWidth="1"/>
    <col min="5125" max="5125" width="19.28515625" style="1" customWidth="1"/>
    <col min="5126" max="5126" width="10.28515625" style="1" customWidth="1"/>
    <col min="5127" max="5127" width="19.42578125" style="1" customWidth="1"/>
    <col min="5128" max="5128" width="10.28515625" style="1" customWidth="1"/>
    <col min="5129" max="5129" width="19.5703125" style="1" customWidth="1"/>
    <col min="5130" max="5130" width="10.42578125" style="1" customWidth="1"/>
    <col min="5131" max="5131" width="21.140625" style="1" customWidth="1"/>
    <col min="5132" max="5132" width="11.7109375" style="1" customWidth="1"/>
    <col min="5133" max="5374" width="11.42578125" style="1"/>
    <col min="5375" max="5375" width="13.28515625" style="1" customWidth="1"/>
    <col min="5376" max="5376" width="32.140625" style="1" customWidth="1"/>
    <col min="5377" max="5377" width="20.7109375" style="1" customWidth="1"/>
    <col min="5378" max="5378" width="10.42578125" style="1" customWidth="1"/>
    <col min="5379" max="5379" width="18.5703125" style="1" customWidth="1"/>
    <col min="5380" max="5380" width="11.7109375" style="1" customWidth="1"/>
    <col min="5381" max="5381" width="19.28515625" style="1" customWidth="1"/>
    <col min="5382" max="5382" width="10.28515625" style="1" customWidth="1"/>
    <col min="5383" max="5383" width="19.42578125" style="1" customWidth="1"/>
    <col min="5384" max="5384" width="10.28515625" style="1" customWidth="1"/>
    <col min="5385" max="5385" width="19.5703125" style="1" customWidth="1"/>
    <col min="5386" max="5386" width="10.42578125" style="1" customWidth="1"/>
    <col min="5387" max="5387" width="21.140625" style="1" customWidth="1"/>
    <col min="5388" max="5388" width="11.7109375" style="1" customWidth="1"/>
    <col min="5389" max="5630" width="11.42578125" style="1"/>
    <col min="5631" max="5631" width="13.28515625" style="1" customWidth="1"/>
    <col min="5632" max="5632" width="32.140625" style="1" customWidth="1"/>
    <col min="5633" max="5633" width="20.7109375" style="1" customWidth="1"/>
    <col min="5634" max="5634" width="10.42578125" style="1" customWidth="1"/>
    <col min="5635" max="5635" width="18.5703125" style="1" customWidth="1"/>
    <col min="5636" max="5636" width="11.7109375" style="1" customWidth="1"/>
    <col min="5637" max="5637" width="19.28515625" style="1" customWidth="1"/>
    <col min="5638" max="5638" width="10.28515625" style="1" customWidth="1"/>
    <col min="5639" max="5639" width="19.42578125" style="1" customWidth="1"/>
    <col min="5640" max="5640" width="10.28515625" style="1" customWidth="1"/>
    <col min="5641" max="5641" width="19.5703125" style="1" customWidth="1"/>
    <col min="5642" max="5642" width="10.42578125" style="1" customWidth="1"/>
    <col min="5643" max="5643" width="21.140625" style="1" customWidth="1"/>
    <col min="5644" max="5644" width="11.7109375" style="1" customWidth="1"/>
    <col min="5645" max="5886" width="11.42578125" style="1"/>
    <col min="5887" max="5887" width="13.28515625" style="1" customWidth="1"/>
    <col min="5888" max="5888" width="32.140625" style="1" customWidth="1"/>
    <col min="5889" max="5889" width="20.7109375" style="1" customWidth="1"/>
    <col min="5890" max="5890" width="10.42578125" style="1" customWidth="1"/>
    <col min="5891" max="5891" width="18.5703125" style="1" customWidth="1"/>
    <col min="5892" max="5892" width="11.7109375" style="1" customWidth="1"/>
    <col min="5893" max="5893" width="19.28515625" style="1" customWidth="1"/>
    <col min="5894" max="5894" width="10.28515625" style="1" customWidth="1"/>
    <col min="5895" max="5895" width="19.42578125" style="1" customWidth="1"/>
    <col min="5896" max="5896" width="10.28515625" style="1" customWidth="1"/>
    <col min="5897" max="5897" width="19.5703125" style="1" customWidth="1"/>
    <col min="5898" max="5898" width="10.42578125" style="1" customWidth="1"/>
    <col min="5899" max="5899" width="21.140625" style="1" customWidth="1"/>
    <col min="5900" max="5900" width="11.7109375" style="1" customWidth="1"/>
    <col min="5901" max="6142" width="11.42578125" style="1"/>
    <col min="6143" max="6143" width="13.28515625" style="1" customWidth="1"/>
    <col min="6144" max="6144" width="32.140625" style="1" customWidth="1"/>
    <col min="6145" max="6145" width="20.7109375" style="1" customWidth="1"/>
    <col min="6146" max="6146" width="10.42578125" style="1" customWidth="1"/>
    <col min="6147" max="6147" width="18.5703125" style="1" customWidth="1"/>
    <col min="6148" max="6148" width="11.7109375" style="1" customWidth="1"/>
    <col min="6149" max="6149" width="19.28515625" style="1" customWidth="1"/>
    <col min="6150" max="6150" width="10.28515625" style="1" customWidth="1"/>
    <col min="6151" max="6151" width="19.42578125" style="1" customWidth="1"/>
    <col min="6152" max="6152" width="10.28515625" style="1" customWidth="1"/>
    <col min="6153" max="6153" width="19.5703125" style="1" customWidth="1"/>
    <col min="6154" max="6154" width="10.42578125" style="1" customWidth="1"/>
    <col min="6155" max="6155" width="21.140625" style="1" customWidth="1"/>
    <col min="6156" max="6156" width="11.7109375" style="1" customWidth="1"/>
    <col min="6157" max="6398" width="11.42578125" style="1"/>
    <col min="6399" max="6399" width="13.28515625" style="1" customWidth="1"/>
    <col min="6400" max="6400" width="32.140625" style="1" customWidth="1"/>
    <col min="6401" max="6401" width="20.7109375" style="1" customWidth="1"/>
    <col min="6402" max="6402" width="10.42578125" style="1" customWidth="1"/>
    <col min="6403" max="6403" width="18.5703125" style="1" customWidth="1"/>
    <col min="6404" max="6404" width="11.7109375" style="1" customWidth="1"/>
    <col min="6405" max="6405" width="19.28515625" style="1" customWidth="1"/>
    <col min="6406" max="6406" width="10.28515625" style="1" customWidth="1"/>
    <col min="6407" max="6407" width="19.42578125" style="1" customWidth="1"/>
    <col min="6408" max="6408" width="10.28515625" style="1" customWidth="1"/>
    <col min="6409" max="6409" width="19.5703125" style="1" customWidth="1"/>
    <col min="6410" max="6410" width="10.42578125" style="1" customWidth="1"/>
    <col min="6411" max="6411" width="21.140625" style="1" customWidth="1"/>
    <col min="6412" max="6412" width="11.7109375" style="1" customWidth="1"/>
    <col min="6413" max="6654" width="11.42578125" style="1"/>
    <col min="6655" max="6655" width="13.28515625" style="1" customWidth="1"/>
    <col min="6656" max="6656" width="32.140625" style="1" customWidth="1"/>
    <col min="6657" max="6657" width="20.7109375" style="1" customWidth="1"/>
    <col min="6658" max="6658" width="10.42578125" style="1" customWidth="1"/>
    <col min="6659" max="6659" width="18.5703125" style="1" customWidth="1"/>
    <col min="6660" max="6660" width="11.7109375" style="1" customWidth="1"/>
    <col min="6661" max="6661" width="19.28515625" style="1" customWidth="1"/>
    <col min="6662" max="6662" width="10.28515625" style="1" customWidth="1"/>
    <col min="6663" max="6663" width="19.42578125" style="1" customWidth="1"/>
    <col min="6664" max="6664" width="10.28515625" style="1" customWidth="1"/>
    <col min="6665" max="6665" width="19.5703125" style="1" customWidth="1"/>
    <col min="6666" max="6666" width="10.42578125" style="1" customWidth="1"/>
    <col min="6667" max="6667" width="21.140625" style="1" customWidth="1"/>
    <col min="6668" max="6668" width="11.7109375" style="1" customWidth="1"/>
    <col min="6669" max="6910" width="11.42578125" style="1"/>
    <col min="6911" max="6911" width="13.28515625" style="1" customWidth="1"/>
    <col min="6912" max="6912" width="32.140625" style="1" customWidth="1"/>
    <col min="6913" max="6913" width="20.7109375" style="1" customWidth="1"/>
    <col min="6914" max="6914" width="10.42578125" style="1" customWidth="1"/>
    <col min="6915" max="6915" width="18.5703125" style="1" customWidth="1"/>
    <col min="6916" max="6916" width="11.7109375" style="1" customWidth="1"/>
    <col min="6917" max="6917" width="19.28515625" style="1" customWidth="1"/>
    <col min="6918" max="6918" width="10.28515625" style="1" customWidth="1"/>
    <col min="6919" max="6919" width="19.42578125" style="1" customWidth="1"/>
    <col min="6920" max="6920" width="10.28515625" style="1" customWidth="1"/>
    <col min="6921" max="6921" width="19.5703125" style="1" customWidth="1"/>
    <col min="6922" max="6922" width="10.42578125" style="1" customWidth="1"/>
    <col min="6923" max="6923" width="21.140625" style="1" customWidth="1"/>
    <col min="6924" max="6924" width="11.7109375" style="1" customWidth="1"/>
    <col min="6925" max="7166" width="11.42578125" style="1"/>
    <col min="7167" max="7167" width="13.28515625" style="1" customWidth="1"/>
    <col min="7168" max="7168" width="32.140625" style="1" customWidth="1"/>
    <col min="7169" max="7169" width="20.7109375" style="1" customWidth="1"/>
    <col min="7170" max="7170" width="10.42578125" style="1" customWidth="1"/>
    <col min="7171" max="7171" width="18.5703125" style="1" customWidth="1"/>
    <col min="7172" max="7172" width="11.7109375" style="1" customWidth="1"/>
    <col min="7173" max="7173" width="19.28515625" style="1" customWidth="1"/>
    <col min="7174" max="7174" width="10.28515625" style="1" customWidth="1"/>
    <col min="7175" max="7175" width="19.42578125" style="1" customWidth="1"/>
    <col min="7176" max="7176" width="10.28515625" style="1" customWidth="1"/>
    <col min="7177" max="7177" width="19.5703125" style="1" customWidth="1"/>
    <col min="7178" max="7178" width="10.42578125" style="1" customWidth="1"/>
    <col min="7179" max="7179" width="21.140625" style="1" customWidth="1"/>
    <col min="7180" max="7180" width="11.7109375" style="1" customWidth="1"/>
    <col min="7181" max="7422" width="11.42578125" style="1"/>
    <col min="7423" max="7423" width="13.28515625" style="1" customWidth="1"/>
    <col min="7424" max="7424" width="32.140625" style="1" customWidth="1"/>
    <col min="7425" max="7425" width="20.7109375" style="1" customWidth="1"/>
    <col min="7426" max="7426" width="10.42578125" style="1" customWidth="1"/>
    <col min="7427" max="7427" width="18.5703125" style="1" customWidth="1"/>
    <col min="7428" max="7428" width="11.7109375" style="1" customWidth="1"/>
    <col min="7429" max="7429" width="19.28515625" style="1" customWidth="1"/>
    <col min="7430" max="7430" width="10.28515625" style="1" customWidth="1"/>
    <col min="7431" max="7431" width="19.42578125" style="1" customWidth="1"/>
    <col min="7432" max="7432" width="10.28515625" style="1" customWidth="1"/>
    <col min="7433" max="7433" width="19.5703125" style="1" customWidth="1"/>
    <col min="7434" max="7434" width="10.42578125" style="1" customWidth="1"/>
    <col min="7435" max="7435" width="21.140625" style="1" customWidth="1"/>
    <col min="7436" max="7436" width="11.7109375" style="1" customWidth="1"/>
    <col min="7437" max="7678" width="11.42578125" style="1"/>
    <col min="7679" max="7679" width="13.28515625" style="1" customWidth="1"/>
    <col min="7680" max="7680" width="32.140625" style="1" customWidth="1"/>
    <col min="7681" max="7681" width="20.7109375" style="1" customWidth="1"/>
    <col min="7682" max="7682" width="10.42578125" style="1" customWidth="1"/>
    <col min="7683" max="7683" width="18.5703125" style="1" customWidth="1"/>
    <col min="7684" max="7684" width="11.7109375" style="1" customWidth="1"/>
    <col min="7685" max="7685" width="19.28515625" style="1" customWidth="1"/>
    <col min="7686" max="7686" width="10.28515625" style="1" customWidth="1"/>
    <col min="7687" max="7687" width="19.42578125" style="1" customWidth="1"/>
    <col min="7688" max="7688" width="10.28515625" style="1" customWidth="1"/>
    <col min="7689" max="7689" width="19.5703125" style="1" customWidth="1"/>
    <col min="7690" max="7690" width="10.42578125" style="1" customWidth="1"/>
    <col min="7691" max="7691" width="21.140625" style="1" customWidth="1"/>
    <col min="7692" max="7692" width="11.7109375" style="1" customWidth="1"/>
    <col min="7693" max="7934" width="11.42578125" style="1"/>
    <col min="7935" max="7935" width="13.28515625" style="1" customWidth="1"/>
    <col min="7936" max="7936" width="32.140625" style="1" customWidth="1"/>
    <col min="7937" max="7937" width="20.7109375" style="1" customWidth="1"/>
    <col min="7938" max="7938" width="10.42578125" style="1" customWidth="1"/>
    <col min="7939" max="7939" width="18.5703125" style="1" customWidth="1"/>
    <col min="7940" max="7940" width="11.7109375" style="1" customWidth="1"/>
    <col min="7941" max="7941" width="19.28515625" style="1" customWidth="1"/>
    <col min="7942" max="7942" width="10.28515625" style="1" customWidth="1"/>
    <col min="7943" max="7943" width="19.42578125" style="1" customWidth="1"/>
    <col min="7944" max="7944" width="10.28515625" style="1" customWidth="1"/>
    <col min="7945" max="7945" width="19.5703125" style="1" customWidth="1"/>
    <col min="7946" max="7946" width="10.42578125" style="1" customWidth="1"/>
    <col min="7947" max="7947" width="21.140625" style="1" customWidth="1"/>
    <col min="7948" max="7948" width="11.7109375" style="1" customWidth="1"/>
    <col min="7949" max="8190" width="11.42578125" style="1"/>
    <col min="8191" max="8191" width="13.28515625" style="1" customWidth="1"/>
    <col min="8192" max="8192" width="32.140625" style="1" customWidth="1"/>
    <col min="8193" max="8193" width="20.7109375" style="1" customWidth="1"/>
    <col min="8194" max="8194" width="10.42578125" style="1" customWidth="1"/>
    <col min="8195" max="8195" width="18.5703125" style="1" customWidth="1"/>
    <col min="8196" max="8196" width="11.7109375" style="1" customWidth="1"/>
    <col min="8197" max="8197" width="19.28515625" style="1" customWidth="1"/>
    <col min="8198" max="8198" width="10.28515625" style="1" customWidth="1"/>
    <col min="8199" max="8199" width="19.42578125" style="1" customWidth="1"/>
    <col min="8200" max="8200" width="10.28515625" style="1" customWidth="1"/>
    <col min="8201" max="8201" width="19.5703125" style="1" customWidth="1"/>
    <col min="8202" max="8202" width="10.42578125" style="1" customWidth="1"/>
    <col min="8203" max="8203" width="21.140625" style="1" customWidth="1"/>
    <col min="8204" max="8204" width="11.7109375" style="1" customWidth="1"/>
    <col min="8205" max="8446" width="11.42578125" style="1"/>
    <col min="8447" max="8447" width="13.28515625" style="1" customWidth="1"/>
    <col min="8448" max="8448" width="32.140625" style="1" customWidth="1"/>
    <col min="8449" max="8449" width="20.7109375" style="1" customWidth="1"/>
    <col min="8450" max="8450" width="10.42578125" style="1" customWidth="1"/>
    <col min="8451" max="8451" width="18.5703125" style="1" customWidth="1"/>
    <col min="8452" max="8452" width="11.7109375" style="1" customWidth="1"/>
    <col min="8453" max="8453" width="19.28515625" style="1" customWidth="1"/>
    <col min="8454" max="8454" width="10.28515625" style="1" customWidth="1"/>
    <col min="8455" max="8455" width="19.42578125" style="1" customWidth="1"/>
    <col min="8456" max="8456" width="10.28515625" style="1" customWidth="1"/>
    <col min="8457" max="8457" width="19.5703125" style="1" customWidth="1"/>
    <col min="8458" max="8458" width="10.42578125" style="1" customWidth="1"/>
    <col min="8459" max="8459" width="21.140625" style="1" customWidth="1"/>
    <col min="8460" max="8460" width="11.7109375" style="1" customWidth="1"/>
    <col min="8461" max="8702" width="11.42578125" style="1"/>
    <col min="8703" max="8703" width="13.28515625" style="1" customWidth="1"/>
    <col min="8704" max="8704" width="32.140625" style="1" customWidth="1"/>
    <col min="8705" max="8705" width="20.7109375" style="1" customWidth="1"/>
    <col min="8706" max="8706" width="10.42578125" style="1" customWidth="1"/>
    <col min="8707" max="8707" width="18.5703125" style="1" customWidth="1"/>
    <col min="8708" max="8708" width="11.7109375" style="1" customWidth="1"/>
    <col min="8709" max="8709" width="19.28515625" style="1" customWidth="1"/>
    <col min="8710" max="8710" width="10.28515625" style="1" customWidth="1"/>
    <col min="8711" max="8711" width="19.42578125" style="1" customWidth="1"/>
    <col min="8712" max="8712" width="10.28515625" style="1" customWidth="1"/>
    <col min="8713" max="8713" width="19.5703125" style="1" customWidth="1"/>
    <col min="8714" max="8714" width="10.42578125" style="1" customWidth="1"/>
    <col min="8715" max="8715" width="21.140625" style="1" customWidth="1"/>
    <col min="8716" max="8716" width="11.7109375" style="1" customWidth="1"/>
    <col min="8717" max="8958" width="11.42578125" style="1"/>
    <col min="8959" max="8959" width="13.28515625" style="1" customWidth="1"/>
    <col min="8960" max="8960" width="32.140625" style="1" customWidth="1"/>
    <col min="8961" max="8961" width="20.7109375" style="1" customWidth="1"/>
    <col min="8962" max="8962" width="10.42578125" style="1" customWidth="1"/>
    <col min="8963" max="8963" width="18.5703125" style="1" customWidth="1"/>
    <col min="8964" max="8964" width="11.7109375" style="1" customWidth="1"/>
    <col min="8965" max="8965" width="19.28515625" style="1" customWidth="1"/>
    <col min="8966" max="8966" width="10.28515625" style="1" customWidth="1"/>
    <col min="8967" max="8967" width="19.42578125" style="1" customWidth="1"/>
    <col min="8968" max="8968" width="10.28515625" style="1" customWidth="1"/>
    <col min="8969" max="8969" width="19.5703125" style="1" customWidth="1"/>
    <col min="8970" max="8970" width="10.42578125" style="1" customWidth="1"/>
    <col min="8971" max="8971" width="21.140625" style="1" customWidth="1"/>
    <col min="8972" max="8972" width="11.7109375" style="1" customWidth="1"/>
    <col min="8973" max="9214" width="11.42578125" style="1"/>
    <col min="9215" max="9215" width="13.28515625" style="1" customWidth="1"/>
    <col min="9216" max="9216" width="32.140625" style="1" customWidth="1"/>
    <col min="9217" max="9217" width="20.7109375" style="1" customWidth="1"/>
    <col min="9218" max="9218" width="10.42578125" style="1" customWidth="1"/>
    <col min="9219" max="9219" width="18.5703125" style="1" customWidth="1"/>
    <col min="9220" max="9220" width="11.7109375" style="1" customWidth="1"/>
    <col min="9221" max="9221" width="19.28515625" style="1" customWidth="1"/>
    <col min="9222" max="9222" width="10.28515625" style="1" customWidth="1"/>
    <col min="9223" max="9223" width="19.42578125" style="1" customWidth="1"/>
    <col min="9224" max="9224" width="10.28515625" style="1" customWidth="1"/>
    <col min="9225" max="9225" width="19.5703125" style="1" customWidth="1"/>
    <col min="9226" max="9226" width="10.42578125" style="1" customWidth="1"/>
    <col min="9227" max="9227" width="21.140625" style="1" customWidth="1"/>
    <col min="9228" max="9228" width="11.7109375" style="1" customWidth="1"/>
    <col min="9229" max="9470" width="11.42578125" style="1"/>
    <col min="9471" max="9471" width="13.28515625" style="1" customWidth="1"/>
    <col min="9472" max="9472" width="32.140625" style="1" customWidth="1"/>
    <col min="9473" max="9473" width="20.7109375" style="1" customWidth="1"/>
    <col min="9474" max="9474" width="10.42578125" style="1" customWidth="1"/>
    <col min="9475" max="9475" width="18.5703125" style="1" customWidth="1"/>
    <col min="9476" max="9476" width="11.7109375" style="1" customWidth="1"/>
    <col min="9477" max="9477" width="19.28515625" style="1" customWidth="1"/>
    <col min="9478" max="9478" width="10.28515625" style="1" customWidth="1"/>
    <col min="9479" max="9479" width="19.42578125" style="1" customWidth="1"/>
    <col min="9480" max="9480" width="10.28515625" style="1" customWidth="1"/>
    <col min="9481" max="9481" width="19.5703125" style="1" customWidth="1"/>
    <col min="9482" max="9482" width="10.42578125" style="1" customWidth="1"/>
    <col min="9483" max="9483" width="21.140625" style="1" customWidth="1"/>
    <col min="9484" max="9484" width="11.7109375" style="1" customWidth="1"/>
    <col min="9485" max="9726" width="11.42578125" style="1"/>
    <col min="9727" max="9727" width="13.28515625" style="1" customWidth="1"/>
    <col min="9728" max="9728" width="32.140625" style="1" customWidth="1"/>
    <col min="9729" max="9729" width="20.7109375" style="1" customWidth="1"/>
    <col min="9730" max="9730" width="10.42578125" style="1" customWidth="1"/>
    <col min="9731" max="9731" width="18.5703125" style="1" customWidth="1"/>
    <col min="9732" max="9732" width="11.7109375" style="1" customWidth="1"/>
    <col min="9733" max="9733" width="19.28515625" style="1" customWidth="1"/>
    <col min="9734" max="9734" width="10.28515625" style="1" customWidth="1"/>
    <col min="9735" max="9735" width="19.42578125" style="1" customWidth="1"/>
    <col min="9736" max="9736" width="10.28515625" style="1" customWidth="1"/>
    <col min="9737" max="9737" width="19.5703125" style="1" customWidth="1"/>
    <col min="9738" max="9738" width="10.42578125" style="1" customWidth="1"/>
    <col min="9739" max="9739" width="21.140625" style="1" customWidth="1"/>
    <col min="9740" max="9740" width="11.7109375" style="1" customWidth="1"/>
    <col min="9741" max="9982" width="11.42578125" style="1"/>
    <col min="9983" max="9983" width="13.28515625" style="1" customWidth="1"/>
    <col min="9984" max="9984" width="32.140625" style="1" customWidth="1"/>
    <col min="9985" max="9985" width="20.7109375" style="1" customWidth="1"/>
    <col min="9986" max="9986" width="10.42578125" style="1" customWidth="1"/>
    <col min="9987" max="9987" width="18.5703125" style="1" customWidth="1"/>
    <col min="9988" max="9988" width="11.7109375" style="1" customWidth="1"/>
    <col min="9989" max="9989" width="19.28515625" style="1" customWidth="1"/>
    <col min="9990" max="9990" width="10.28515625" style="1" customWidth="1"/>
    <col min="9991" max="9991" width="19.42578125" style="1" customWidth="1"/>
    <col min="9992" max="9992" width="10.28515625" style="1" customWidth="1"/>
    <col min="9993" max="9993" width="19.5703125" style="1" customWidth="1"/>
    <col min="9994" max="9994" width="10.42578125" style="1" customWidth="1"/>
    <col min="9995" max="9995" width="21.140625" style="1" customWidth="1"/>
    <col min="9996" max="9996" width="11.7109375" style="1" customWidth="1"/>
    <col min="9997" max="10238" width="11.42578125" style="1"/>
    <col min="10239" max="10239" width="13.28515625" style="1" customWidth="1"/>
    <col min="10240" max="10240" width="32.140625" style="1" customWidth="1"/>
    <col min="10241" max="10241" width="20.7109375" style="1" customWidth="1"/>
    <col min="10242" max="10242" width="10.42578125" style="1" customWidth="1"/>
    <col min="10243" max="10243" width="18.5703125" style="1" customWidth="1"/>
    <col min="10244" max="10244" width="11.7109375" style="1" customWidth="1"/>
    <col min="10245" max="10245" width="19.28515625" style="1" customWidth="1"/>
    <col min="10246" max="10246" width="10.28515625" style="1" customWidth="1"/>
    <col min="10247" max="10247" width="19.42578125" style="1" customWidth="1"/>
    <col min="10248" max="10248" width="10.28515625" style="1" customWidth="1"/>
    <col min="10249" max="10249" width="19.5703125" style="1" customWidth="1"/>
    <col min="10250" max="10250" width="10.42578125" style="1" customWidth="1"/>
    <col min="10251" max="10251" width="21.140625" style="1" customWidth="1"/>
    <col min="10252" max="10252" width="11.7109375" style="1" customWidth="1"/>
    <col min="10253" max="10494" width="11.42578125" style="1"/>
    <col min="10495" max="10495" width="13.28515625" style="1" customWidth="1"/>
    <col min="10496" max="10496" width="32.140625" style="1" customWidth="1"/>
    <col min="10497" max="10497" width="20.7109375" style="1" customWidth="1"/>
    <col min="10498" max="10498" width="10.42578125" style="1" customWidth="1"/>
    <col min="10499" max="10499" width="18.5703125" style="1" customWidth="1"/>
    <col min="10500" max="10500" width="11.7109375" style="1" customWidth="1"/>
    <col min="10501" max="10501" width="19.28515625" style="1" customWidth="1"/>
    <col min="10502" max="10502" width="10.28515625" style="1" customWidth="1"/>
    <col min="10503" max="10503" width="19.42578125" style="1" customWidth="1"/>
    <col min="10504" max="10504" width="10.28515625" style="1" customWidth="1"/>
    <col min="10505" max="10505" width="19.5703125" style="1" customWidth="1"/>
    <col min="10506" max="10506" width="10.42578125" style="1" customWidth="1"/>
    <col min="10507" max="10507" width="21.140625" style="1" customWidth="1"/>
    <col min="10508" max="10508" width="11.7109375" style="1" customWidth="1"/>
    <col min="10509" max="10750" width="11.42578125" style="1"/>
    <col min="10751" max="10751" width="13.28515625" style="1" customWidth="1"/>
    <col min="10752" max="10752" width="32.140625" style="1" customWidth="1"/>
    <col min="10753" max="10753" width="20.7109375" style="1" customWidth="1"/>
    <col min="10754" max="10754" width="10.42578125" style="1" customWidth="1"/>
    <col min="10755" max="10755" width="18.5703125" style="1" customWidth="1"/>
    <col min="10756" max="10756" width="11.7109375" style="1" customWidth="1"/>
    <col min="10757" max="10757" width="19.28515625" style="1" customWidth="1"/>
    <col min="10758" max="10758" width="10.28515625" style="1" customWidth="1"/>
    <col min="10759" max="10759" width="19.42578125" style="1" customWidth="1"/>
    <col min="10760" max="10760" width="10.28515625" style="1" customWidth="1"/>
    <col min="10761" max="10761" width="19.5703125" style="1" customWidth="1"/>
    <col min="10762" max="10762" width="10.42578125" style="1" customWidth="1"/>
    <col min="10763" max="10763" width="21.140625" style="1" customWidth="1"/>
    <col min="10764" max="10764" width="11.7109375" style="1" customWidth="1"/>
    <col min="10765" max="11006" width="11.42578125" style="1"/>
    <col min="11007" max="11007" width="13.28515625" style="1" customWidth="1"/>
    <col min="11008" max="11008" width="32.140625" style="1" customWidth="1"/>
    <col min="11009" max="11009" width="20.7109375" style="1" customWidth="1"/>
    <col min="11010" max="11010" width="10.42578125" style="1" customWidth="1"/>
    <col min="11011" max="11011" width="18.5703125" style="1" customWidth="1"/>
    <col min="11012" max="11012" width="11.7109375" style="1" customWidth="1"/>
    <col min="11013" max="11013" width="19.28515625" style="1" customWidth="1"/>
    <col min="11014" max="11014" width="10.28515625" style="1" customWidth="1"/>
    <col min="11015" max="11015" width="19.42578125" style="1" customWidth="1"/>
    <col min="11016" max="11016" width="10.28515625" style="1" customWidth="1"/>
    <col min="11017" max="11017" width="19.5703125" style="1" customWidth="1"/>
    <col min="11018" max="11018" width="10.42578125" style="1" customWidth="1"/>
    <col min="11019" max="11019" width="21.140625" style="1" customWidth="1"/>
    <col min="11020" max="11020" width="11.7109375" style="1" customWidth="1"/>
    <col min="11021" max="11262" width="11.42578125" style="1"/>
    <col min="11263" max="11263" width="13.28515625" style="1" customWidth="1"/>
    <col min="11264" max="11264" width="32.140625" style="1" customWidth="1"/>
    <col min="11265" max="11265" width="20.7109375" style="1" customWidth="1"/>
    <col min="11266" max="11266" width="10.42578125" style="1" customWidth="1"/>
    <col min="11267" max="11267" width="18.5703125" style="1" customWidth="1"/>
    <col min="11268" max="11268" width="11.7109375" style="1" customWidth="1"/>
    <col min="11269" max="11269" width="19.28515625" style="1" customWidth="1"/>
    <col min="11270" max="11270" width="10.28515625" style="1" customWidth="1"/>
    <col min="11271" max="11271" width="19.42578125" style="1" customWidth="1"/>
    <col min="11272" max="11272" width="10.28515625" style="1" customWidth="1"/>
    <col min="11273" max="11273" width="19.5703125" style="1" customWidth="1"/>
    <col min="11274" max="11274" width="10.42578125" style="1" customWidth="1"/>
    <col min="11275" max="11275" width="21.140625" style="1" customWidth="1"/>
    <col min="11276" max="11276" width="11.7109375" style="1" customWidth="1"/>
    <col min="11277" max="11518" width="11.42578125" style="1"/>
    <col min="11519" max="11519" width="13.28515625" style="1" customWidth="1"/>
    <col min="11520" max="11520" width="32.140625" style="1" customWidth="1"/>
    <col min="11521" max="11521" width="20.7109375" style="1" customWidth="1"/>
    <col min="11522" max="11522" width="10.42578125" style="1" customWidth="1"/>
    <col min="11523" max="11523" width="18.5703125" style="1" customWidth="1"/>
    <col min="11524" max="11524" width="11.7109375" style="1" customWidth="1"/>
    <col min="11525" max="11525" width="19.28515625" style="1" customWidth="1"/>
    <col min="11526" max="11526" width="10.28515625" style="1" customWidth="1"/>
    <col min="11527" max="11527" width="19.42578125" style="1" customWidth="1"/>
    <col min="11528" max="11528" width="10.28515625" style="1" customWidth="1"/>
    <col min="11529" max="11529" width="19.5703125" style="1" customWidth="1"/>
    <col min="11530" max="11530" width="10.42578125" style="1" customWidth="1"/>
    <col min="11531" max="11531" width="21.140625" style="1" customWidth="1"/>
    <col min="11532" max="11532" width="11.7109375" style="1" customWidth="1"/>
    <col min="11533" max="11774" width="11.42578125" style="1"/>
    <col min="11775" max="11775" width="13.28515625" style="1" customWidth="1"/>
    <col min="11776" max="11776" width="32.140625" style="1" customWidth="1"/>
    <col min="11777" max="11777" width="20.7109375" style="1" customWidth="1"/>
    <col min="11778" max="11778" width="10.42578125" style="1" customWidth="1"/>
    <col min="11779" max="11779" width="18.5703125" style="1" customWidth="1"/>
    <col min="11780" max="11780" width="11.7109375" style="1" customWidth="1"/>
    <col min="11781" max="11781" width="19.28515625" style="1" customWidth="1"/>
    <col min="11782" max="11782" width="10.28515625" style="1" customWidth="1"/>
    <col min="11783" max="11783" width="19.42578125" style="1" customWidth="1"/>
    <col min="11784" max="11784" width="10.28515625" style="1" customWidth="1"/>
    <col min="11785" max="11785" width="19.5703125" style="1" customWidth="1"/>
    <col min="11786" max="11786" width="10.42578125" style="1" customWidth="1"/>
    <col min="11787" max="11787" width="21.140625" style="1" customWidth="1"/>
    <col min="11788" max="11788" width="11.7109375" style="1" customWidth="1"/>
    <col min="11789" max="12030" width="11.42578125" style="1"/>
    <col min="12031" max="12031" width="13.28515625" style="1" customWidth="1"/>
    <col min="12032" max="12032" width="32.140625" style="1" customWidth="1"/>
    <col min="12033" max="12033" width="20.7109375" style="1" customWidth="1"/>
    <col min="12034" max="12034" width="10.42578125" style="1" customWidth="1"/>
    <col min="12035" max="12035" width="18.5703125" style="1" customWidth="1"/>
    <col min="12036" max="12036" width="11.7109375" style="1" customWidth="1"/>
    <col min="12037" max="12037" width="19.28515625" style="1" customWidth="1"/>
    <col min="12038" max="12038" width="10.28515625" style="1" customWidth="1"/>
    <col min="12039" max="12039" width="19.42578125" style="1" customWidth="1"/>
    <col min="12040" max="12040" width="10.28515625" style="1" customWidth="1"/>
    <col min="12041" max="12041" width="19.5703125" style="1" customWidth="1"/>
    <col min="12042" max="12042" width="10.42578125" style="1" customWidth="1"/>
    <col min="12043" max="12043" width="21.140625" style="1" customWidth="1"/>
    <col min="12044" max="12044" width="11.7109375" style="1" customWidth="1"/>
    <col min="12045" max="12286" width="11.42578125" style="1"/>
    <col min="12287" max="12287" width="13.28515625" style="1" customWidth="1"/>
    <col min="12288" max="12288" width="32.140625" style="1" customWidth="1"/>
    <col min="12289" max="12289" width="20.7109375" style="1" customWidth="1"/>
    <col min="12290" max="12290" width="10.42578125" style="1" customWidth="1"/>
    <col min="12291" max="12291" width="18.5703125" style="1" customWidth="1"/>
    <col min="12292" max="12292" width="11.7109375" style="1" customWidth="1"/>
    <col min="12293" max="12293" width="19.28515625" style="1" customWidth="1"/>
    <col min="12294" max="12294" width="10.28515625" style="1" customWidth="1"/>
    <col min="12295" max="12295" width="19.42578125" style="1" customWidth="1"/>
    <col min="12296" max="12296" width="10.28515625" style="1" customWidth="1"/>
    <col min="12297" max="12297" width="19.5703125" style="1" customWidth="1"/>
    <col min="12298" max="12298" width="10.42578125" style="1" customWidth="1"/>
    <col min="12299" max="12299" width="21.140625" style="1" customWidth="1"/>
    <col min="12300" max="12300" width="11.7109375" style="1" customWidth="1"/>
    <col min="12301" max="12542" width="11.42578125" style="1"/>
    <col min="12543" max="12543" width="13.28515625" style="1" customWidth="1"/>
    <col min="12544" max="12544" width="32.140625" style="1" customWidth="1"/>
    <col min="12545" max="12545" width="20.7109375" style="1" customWidth="1"/>
    <col min="12546" max="12546" width="10.42578125" style="1" customWidth="1"/>
    <col min="12547" max="12547" width="18.5703125" style="1" customWidth="1"/>
    <col min="12548" max="12548" width="11.7109375" style="1" customWidth="1"/>
    <col min="12549" max="12549" width="19.28515625" style="1" customWidth="1"/>
    <col min="12550" max="12550" width="10.28515625" style="1" customWidth="1"/>
    <col min="12551" max="12551" width="19.42578125" style="1" customWidth="1"/>
    <col min="12552" max="12552" width="10.28515625" style="1" customWidth="1"/>
    <col min="12553" max="12553" width="19.5703125" style="1" customWidth="1"/>
    <col min="12554" max="12554" width="10.42578125" style="1" customWidth="1"/>
    <col min="12555" max="12555" width="21.140625" style="1" customWidth="1"/>
    <col min="12556" max="12556" width="11.7109375" style="1" customWidth="1"/>
    <col min="12557" max="12798" width="11.42578125" style="1"/>
    <col min="12799" max="12799" width="13.28515625" style="1" customWidth="1"/>
    <col min="12800" max="12800" width="32.140625" style="1" customWidth="1"/>
    <col min="12801" max="12801" width="20.7109375" style="1" customWidth="1"/>
    <col min="12802" max="12802" width="10.42578125" style="1" customWidth="1"/>
    <col min="12803" max="12803" width="18.5703125" style="1" customWidth="1"/>
    <col min="12804" max="12804" width="11.7109375" style="1" customWidth="1"/>
    <col min="12805" max="12805" width="19.28515625" style="1" customWidth="1"/>
    <col min="12806" max="12806" width="10.28515625" style="1" customWidth="1"/>
    <col min="12807" max="12807" width="19.42578125" style="1" customWidth="1"/>
    <col min="12808" max="12808" width="10.28515625" style="1" customWidth="1"/>
    <col min="12809" max="12809" width="19.5703125" style="1" customWidth="1"/>
    <col min="12810" max="12810" width="10.42578125" style="1" customWidth="1"/>
    <col min="12811" max="12811" width="21.140625" style="1" customWidth="1"/>
    <col min="12812" max="12812" width="11.7109375" style="1" customWidth="1"/>
    <col min="12813" max="13054" width="11.42578125" style="1"/>
    <col min="13055" max="13055" width="13.28515625" style="1" customWidth="1"/>
    <col min="13056" max="13056" width="32.140625" style="1" customWidth="1"/>
    <col min="13057" max="13057" width="20.7109375" style="1" customWidth="1"/>
    <col min="13058" max="13058" width="10.42578125" style="1" customWidth="1"/>
    <col min="13059" max="13059" width="18.5703125" style="1" customWidth="1"/>
    <col min="13060" max="13060" width="11.7109375" style="1" customWidth="1"/>
    <col min="13061" max="13061" width="19.28515625" style="1" customWidth="1"/>
    <col min="13062" max="13062" width="10.28515625" style="1" customWidth="1"/>
    <col min="13063" max="13063" width="19.42578125" style="1" customWidth="1"/>
    <col min="13064" max="13064" width="10.28515625" style="1" customWidth="1"/>
    <col min="13065" max="13065" width="19.5703125" style="1" customWidth="1"/>
    <col min="13066" max="13066" width="10.42578125" style="1" customWidth="1"/>
    <col min="13067" max="13067" width="21.140625" style="1" customWidth="1"/>
    <col min="13068" max="13068" width="11.7109375" style="1" customWidth="1"/>
    <col min="13069" max="13310" width="11.42578125" style="1"/>
    <col min="13311" max="13311" width="13.28515625" style="1" customWidth="1"/>
    <col min="13312" max="13312" width="32.140625" style="1" customWidth="1"/>
    <col min="13313" max="13313" width="20.7109375" style="1" customWidth="1"/>
    <col min="13314" max="13314" width="10.42578125" style="1" customWidth="1"/>
    <col min="13315" max="13315" width="18.5703125" style="1" customWidth="1"/>
    <col min="13316" max="13316" width="11.7109375" style="1" customWidth="1"/>
    <col min="13317" max="13317" width="19.28515625" style="1" customWidth="1"/>
    <col min="13318" max="13318" width="10.28515625" style="1" customWidth="1"/>
    <col min="13319" max="13319" width="19.42578125" style="1" customWidth="1"/>
    <col min="13320" max="13320" width="10.28515625" style="1" customWidth="1"/>
    <col min="13321" max="13321" width="19.5703125" style="1" customWidth="1"/>
    <col min="13322" max="13322" width="10.42578125" style="1" customWidth="1"/>
    <col min="13323" max="13323" width="21.140625" style="1" customWidth="1"/>
    <col min="13324" max="13324" width="11.7109375" style="1" customWidth="1"/>
    <col min="13325" max="13566" width="11.42578125" style="1"/>
    <col min="13567" max="13567" width="13.28515625" style="1" customWidth="1"/>
    <col min="13568" max="13568" width="32.140625" style="1" customWidth="1"/>
    <col min="13569" max="13569" width="20.7109375" style="1" customWidth="1"/>
    <col min="13570" max="13570" width="10.42578125" style="1" customWidth="1"/>
    <col min="13571" max="13571" width="18.5703125" style="1" customWidth="1"/>
    <col min="13572" max="13572" width="11.7109375" style="1" customWidth="1"/>
    <col min="13573" max="13573" width="19.28515625" style="1" customWidth="1"/>
    <col min="13574" max="13574" width="10.28515625" style="1" customWidth="1"/>
    <col min="13575" max="13575" width="19.42578125" style="1" customWidth="1"/>
    <col min="13576" max="13576" width="10.28515625" style="1" customWidth="1"/>
    <col min="13577" max="13577" width="19.5703125" style="1" customWidth="1"/>
    <col min="13578" max="13578" width="10.42578125" style="1" customWidth="1"/>
    <col min="13579" max="13579" width="21.140625" style="1" customWidth="1"/>
    <col min="13580" max="13580" width="11.7109375" style="1" customWidth="1"/>
    <col min="13581" max="13822" width="11.42578125" style="1"/>
    <col min="13823" max="13823" width="13.28515625" style="1" customWidth="1"/>
    <col min="13824" max="13824" width="32.140625" style="1" customWidth="1"/>
    <col min="13825" max="13825" width="20.7109375" style="1" customWidth="1"/>
    <col min="13826" max="13826" width="10.42578125" style="1" customWidth="1"/>
    <col min="13827" max="13827" width="18.5703125" style="1" customWidth="1"/>
    <col min="13828" max="13828" width="11.7109375" style="1" customWidth="1"/>
    <col min="13829" max="13829" width="19.28515625" style="1" customWidth="1"/>
    <col min="13830" max="13830" width="10.28515625" style="1" customWidth="1"/>
    <col min="13831" max="13831" width="19.42578125" style="1" customWidth="1"/>
    <col min="13832" max="13832" width="10.28515625" style="1" customWidth="1"/>
    <col min="13833" max="13833" width="19.5703125" style="1" customWidth="1"/>
    <col min="13834" max="13834" width="10.42578125" style="1" customWidth="1"/>
    <col min="13835" max="13835" width="21.140625" style="1" customWidth="1"/>
    <col min="13836" max="13836" width="11.7109375" style="1" customWidth="1"/>
    <col min="13837" max="14078" width="11.42578125" style="1"/>
    <col min="14079" max="14079" width="13.28515625" style="1" customWidth="1"/>
    <col min="14080" max="14080" width="32.140625" style="1" customWidth="1"/>
    <col min="14081" max="14081" width="20.7109375" style="1" customWidth="1"/>
    <col min="14082" max="14082" width="10.42578125" style="1" customWidth="1"/>
    <col min="14083" max="14083" width="18.5703125" style="1" customWidth="1"/>
    <col min="14084" max="14084" width="11.7109375" style="1" customWidth="1"/>
    <col min="14085" max="14085" width="19.28515625" style="1" customWidth="1"/>
    <col min="14086" max="14086" width="10.28515625" style="1" customWidth="1"/>
    <col min="14087" max="14087" width="19.42578125" style="1" customWidth="1"/>
    <col min="14088" max="14088" width="10.28515625" style="1" customWidth="1"/>
    <col min="14089" max="14089" width="19.5703125" style="1" customWidth="1"/>
    <col min="14090" max="14090" width="10.42578125" style="1" customWidth="1"/>
    <col min="14091" max="14091" width="21.140625" style="1" customWidth="1"/>
    <col min="14092" max="14092" width="11.7109375" style="1" customWidth="1"/>
    <col min="14093" max="14334" width="11.42578125" style="1"/>
    <col min="14335" max="14335" width="13.28515625" style="1" customWidth="1"/>
    <col min="14336" max="14336" width="32.140625" style="1" customWidth="1"/>
    <col min="14337" max="14337" width="20.7109375" style="1" customWidth="1"/>
    <col min="14338" max="14338" width="10.42578125" style="1" customWidth="1"/>
    <col min="14339" max="14339" width="18.5703125" style="1" customWidth="1"/>
    <col min="14340" max="14340" width="11.7109375" style="1" customWidth="1"/>
    <col min="14341" max="14341" width="19.28515625" style="1" customWidth="1"/>
    <col min="14342" max="14342" width="10.28515625" style="1" customWidth="1"/>
    <col min="14343" max="14343" width="19.42578125" style="1" customWidth="1"/>
    <col min="14344" max="14344" width="10.28515625" style="1" customWidth="1"/>
    <col min="14345" max="14345" width="19.5703125" style="1" customWidth="1"/>
    <col min="14346" max="14346" width="10.42578125" style="1" customWidth="1"/>
    <col min="14347" max="14347" width="21.140625" style="1" customWidth="1"/>
    <col min="14348" max="14348" width="11.7109375" style="1" customWidth="1"/>
    <col min="14349" max="14590" width="11.42578125" style="1"/>
    <col min="14591" max="14591" width="13.28515625" style="1" customWidth="1"/>
    <col min="14592" max="14592" width="32.140625" style="1" customWidth="1"/>
    <col min="14593" max="14593" width="20.7109375" style="1" customWidth="1"/>
    <col min="14594" max="14594" width="10.42578125" style="1" customWidth="1"/>
    <col min="14595" max="14595" width="18.5703125" style="1" customWidth="1"/>
    <col min="14596" max="14596" width="11.7109375" style="1" customWidth="1"/>
    <col min="14597" max="14597" width="19.28515625" style="1" customWidth="1"/>
    <col min="14598" max="14598" width="10.28515625" style="1" customWidth="1"/>
    <col min="14599" max="14599" width="19.42578125" style="1" customWidth="1"/>
    <col min="14600" max="14600" width="10.28515625" style="1" customWidth="1"/>
    <col min="14601" max="14601" width="19.5703125" style="1" customWidth="1"/>
    <col min="14602" max="14602" width="10.42578125" style="1" customWidth="1"/>
    <col min="14603" max="14603" width="21.140625" style="1" customWidth="1"/>
    <col min="14604" max="14604" width="11.7109375" style="1" customWidth="1"/>
    <col min="14605" max="14846" width="11.42578125" style="1"/>
    <col min="14847" max="14847" width="13.28515625" style="1" customWidth="1"/>
    <col min="14848" max="14848" width="32.140625" style="1" customWidth="1"/>
    <col min="14849" max="14849" width="20.7109375" style="1" customWidth="1"/>
    <col min="14850" max="14850" width="10.42578125" style="1" customWidth="1"/>
    <col min="14851" max="14851" width="18.5703125" style="1" customWidth="1"/>
    <col min="14852" max="14852" width="11.7109375" style="1" customWidth="1"/>
    <col min="14853" max="14853" width="19.28515625" style="1" customWidth="1"/>
    <col min="14854" max="14854" width="10.28515625" style="1" customWidth="1"/>
    <col min="14855" max="14855" width="19.42578125" style="1" customWidth="1"/>
    <col min="14856" max="14856" width="10.28515625" style="1" customWidth="1"/>
    <col min="14857" max="14857" width="19.5703125" style="1" customWidth="1"/>
    <col min="14858" max="14858" width="10.42578125" style="1" customWidth="1"/>
    <col min="14859" max="14859" width="21.140625" style="1" customWidth="1"/>
    <col min="14860" max="14860" width="11.7109375" style="1" customWidth="1"/>
    <col min="14861" max="15102" width="11.42578125" style="1"/>
    <col min="15103" max="15103" width="13.28515625" style="1" customWidth="1"/>
    <col min="15104" max="15104" width="32.140625" style="1" customWidth="1"/>
    <col min="15105" max="15105" width="20.7109375" style="1" customWidth="1"/>
    <col min="15106" max="15106" width="10.42578125" style="1" customWidth="1"/>
    <col min="15107" max="15107" width="18.5703125" style="1" customWidth="1"/>
    <col min="15108" max="15108" width="11.7109375" style="1" customWidth="1"/>
    <col min="15109" max="15109" width="19.28515625" style="1" customWidth="1"/>
    <col min="15110" max="15110" width="10.28515625" style="1" customWidth="1"/>
    <col min="15111" max="15111" width="19.42578125" style="1" customWidth="1"/>
    <col min="15112" max="15112" width="10.28515625" style="1" customWidth="1"/>
    <col min="15113" max="15113" width="19.5703125" style="1" customWidth="1"/>
    <col min="15114" max="15114" width="10.42578125" style="1" customWidth="1"/>
    <col min="15115" max="15115" width="21.140625" style="1" customWidth="1"/>
    <col min="15116" max="15116" width="11.7109375" style="1" customWidth="1"/>
    <col min="15117" max="15358" width="11.42578125" style="1"/>
    <col min="15359" max="15359" width="13.28515625" style="1" customWidth="1"/>
    <col min="15360" max="15360" width="32.140625" style="1" customWidth="1"/>
    <col min="15361" max="15361" width="20.7109375" style="1" customWidth="1"/>
    <col min="15362" max="15362" width="10.42578125" style="1" customWidth="1"/>
    <col min="15363" max="15363" width="18.5703125" style="1" customWidth="1"/>
    <col min="15364" max="15364" width="11.7109375" style="1" customWidth="1"/>
    <col min="15365" max="15365" width="19.28515625" style="1" customWidth="1"/>
    <col min="15366" max="15366" width="10.28515625" style="1" customWidth="1"/>
    <col min="15367" max="15367" width="19.42578125" style="1" customWidth="1"/>
    <col min="15368" max="15368" width="10.28515625" style="1" customWidth="1"/>
    <col min="15369" max="15369" width="19.5703125" style="1" customWidth="1"/>
    <col min="15370" max="15370" width="10.42578125" style="1" customWidth="1"/>
    <col min="15371" max="15371" width="21.140625" style="1" customWidth="1"/>
    <col min="15372" max="15372" width="11.7109375" style="1" customWidth="1"/>
    <col min="15373" max="15614" width="11.42578125" style="1"/>
    <col min="15615" max="15615" width="13.28515625" style="1" customWidth="1"/>
    <col min="15616" max="15616" width="32.140625" style="1" customWidth="1"/>
    <col min="15617" max="15617" width="20.7109375" style="1" customWidth="1"/>
    <col min="15618" max="15618" width="10.42578125" style="1" customWidth="1"/>
    <col min="15619" max="15619" width="18.5703125" style="1" customWidth="1"/>
    <col min="15620" max="15620" width="11.7109375" style="1" customWidth="1"/>
    <col min="15621" max="15621" width="19.28515625" style="1" customWidth="1"/>
    <col min="15622" max="15622" width="10.28515625" style="1" customWidth="1"/>
    <col min="15623" max="15623" width="19.42578125" style="1" customWidth="1"/>
    <col min="15624" max="15624" width="10.28515625" style="1" customWidth="1"/>
    <col min="15625" max="15625" width="19.5703125" style="1" customWidth="1"/>
    <col min="15626" max="15626" width="10.42578125" style="1" customWidth="1"/>
    <col min="15627" max="15627" width="21.140625" style="1" customWidth="1"/>
    <col min="15628" max="15628" width="11.7109375" style="1" customWidth="1"/>
    <col min="15629" max="15870" width="11.42578125" style="1"/>
    <col min="15871" max="15871" width="13.28515625" style="1" customWidth="1"/>
    <col min="15872" max="15872" width="32.140625" style="1" customWidth="1"/>
    <col min="15873" max="15873" width="20.7109375" style="1" customWidth="1"/>
    <col min="15874" max="15874" width="10.42578125" style="1" customWidth="1"/>
    <col min="15875" max="15875" width="18.5703125" style="1" customWidth="1"/>
    <col min="15876" max="15876" width="11.7109375" style="1" customWidth="1"/>
    <col min="15877" max="15877" width="19.28515625" style="1" customWidth="1"/>
    <col min="15878" max="15878" width="10.28515625" style="1" customWidth="1"/>
    <col min="15879" max="15879" width="19.42578125" style="1" customWidth="1"/>
    <col min="15880" max="15880" width="10.28515625" style="1" customWidth="1"/>
    <col min="15881" max="15881" width="19.5703125" style="1" customWidth="1"/>
    <col min="15882" max="15882" width="10.42578125" style="1" customWidth="1"/>
    <col min="15883" max="15883" width="21.140625" style="1" customWidth="1"/>
    <col min="15884" max="15884" width="11.7109375" style="1" customWidth="1"/>
    <col min="15885" max="16126" width="11.42578125" style="1"/>
    <col min="16127" max="16127" width="13.28515625" style="1" customWidth="1"/>
    <col min="16128" max="16128" width="32.140625" style="1" customWidth="1"/>
    <col min="16129" max="16129" width="20.7109375" style="1" customWidth="1"/>
    <col min="16130" max="16130" width="10.42578125" style="1" customWidth="1"/>
    <col min="16131" max="16131" width="18.5703125" style="1" customWidth="1"/>
    <col min="16132" max="16132" width="11.7109375" style="1" customWidth="1"/>
    <col min="16133" max="16133" width="19.28515625" style="1" customWidth="1"/>
    <col min="16134" max="16134" width="10.28515625" style="1" customWidth="1"/>
    <col min="16135" max="16135" width="19.42578125" style="1" customWidth="1"/>
    <col min="16136" max="16136" width="10.28515625" style="1" customWidth="1"/>
    <col min="16137" max="16137" width="19.5703125" style="1" customWidth="1"/>
    <col min="16138" max="16138" width="10.42578125" style="1" customWidth="1"/>
    <col min="16139" max="16139" width="21.140625" style="1" customWidth="1"/>
    <col min="16140" max="16140" width="11.7109375" style="1" customWidth="1"/>
    <col min="16141" max="16384" width="11.42578125" style="1"/>
  </cols>
  <sheetData>
    <row r="1" spans="1:13" ht="67.5" customHeight="1" x14ac:dyDescent="0.2">
      <c r="A1" s="700" t="s">
        <v>1529</v>
      </c>
      <c r="B1" s="701"/>
      <c r="C1" s="701"/>
      <c r="D1" s="701"/>
      <c r="E1" s="701"/>
      <c r="F1" s="701"/>
      <c r="G1" s="701"/>
      <c r="H1" s="701"/>
      <c r="I1" s="701"/>
      <c r="J1" s="701"/>
      <c r="K1" s="701"/>
      <c r="L1" s="701"/>
    </row>
    <row r="2" spans="1:13" s="4" customFormat="1" ht="103.5" customHeight="1" x14ac:dyDescent="0.2">
      <c r="A2" s="2" t="s">
        <v>12</v>
      </c>
      <c r="B2" s="2" t="s">
        <v>12</v>
      </c>
      <c r="C2" s="3" t="s">
        <v>13</v>
      </c>
      <c r="D2" s="3" t="s">
        <v>14</v>
      </c>
      <c r="E2" s="3" t="s">
        <v>1544</v>
      </c>
      <c r="F2" s="3" t="s">
        <v>1545</v>
      </c>
      <c r="G2" s="3" t="s">
        <v>15</v>
      </c>
      <c r="H2" s="533" t="s">
        <v>1537</v>
      </c>
      <c r="I2" s="3" t="s">
        <v>16</v>
      </c>
      <c r="J2" s="3" t="s">
        <v>17</v>
      </c>
      <c r="K2" s="539" t="s">
        <v>18</v>
      </c>
      <c r="L2" s="3" t="s">
        <v>19</v>
      </c>
    </row>
    <row r="3" spans="1:13" s="10" customFormat="1" ht="15.75" x14ac:dyDescent="0.25">
      <c r="A3" s="5">
        <v>304</v>
      </c>
      <c r="B3" s="6" t="s">
        <v>20</v>
      </c>
      <c r="C3" s="535">
        <f>'SGTO POAI 2020'!BG7</f>
        <v>75702140</v>
      </c>
      <c r="D3" s="7">
        <v>1</v>
      </c>
      <c r="E3" s="540">
        <f>G3</f>
        <v>70471741</v>
      </c>
      <c r="F3" s="541">
        <f>E3/C3</f>
        <v>0.93090817511895962</v>
      </c>
      <c r="G3" s="535">
        <f>'SGTO POAI 2020'!BH7</f>
        <v>70471741</v>
      </c>
      <c r="H3" s="520">
        <f t="shared" ref="H3:H20" si="0">G3/C3</f>
        <v>0.93090817511895962</v>
      </c>
      <c r="I3" s="9">
        <f>'SGTO POAI 2020'!BI7</f>
        <v>70471741</v>
      </c>
      <c r="J3" s="524">
        <f>I3/G3</f>
        <v>1</v>
      </c>
      <c r="K3" s="536">
        <f t="shared" ref="K3:K15" si="1">C3-G3</f>
        <v>5230399</v>
      </c>
      <c r="L3" s="8">
        <f t="shared" ref="L3:L20" si="2">K3/C3</f>
        <v>6.9091824881040348E-2</v>
      </c>
      <c r="M3" s="527"/>
    </row>
    <row r="4" spans="1:13" s="10" customFormat="1" ht="15.75" x14ac:dyDescent="0.25">
      <c r="A4" s="5">
        <v>305</v>
      </c>
      <c r="B4" s="6" t="s">
        <v>21</v>
      </c>
      <c r="C4" s="535">
        <f>'SGTO POAI 2020'!BG14</f>
        <v>677628511</v>
      </c>
      <c r="D4" s="7">
        <v>1</v>
      </c>
      <c r="E4" s="540">
        <f t="shared" ref="E4:E19" si="3">G4</f>
        <v>598051770</v>
      </c>
      <c r="F4" s="541">
        <f t="shared" ref="F4:F19" si="4">E4/C4</f>
        <v>0.88256583111804754</v>
      </c>
      <c r="G4" s="535">
        <f>'SGTO POAI 2020'!BH14</f>
        <v>598051770</v>
      </c>
      <c r="H4" s="520">
        <f t="shared" si="0"/>
        <v>0.88256583111804754</v>
      </c>
      <c r="I4" s="9">
        <f>'SGTO POAI 2020'!BI14</f>
        <v>560903770</v>
      </c>
      <c r="J4" s="524">
        <f t="shared" ref="J4:J22" si="5">I4/G4</f>
        <v>0.93788497607824151</v>
      </c>
      <c r="K4" s="536">
        <f t="shared" si="1"/>
        <v>79576741</v>
      </c>
      <c r="L4" s="8">
        <f t="shared" si="2"/>
        <v>0.11743416888195249</v>
      </c>
      <c r="M4" s="527"/>
    </row>
    <row r="5" spans="1:13" s="10" customFormat="1" ht="15.75" x14ac:dyDescent="0.25">
      <c r="A5" s="5">
        <v>307</v>
      </c>
      <c r="B5" s="6" t="s">
        <v>22</v>
      </c>
      <c r="C5" s="535">
        <f>'SGTO POAI 2020'!BG30</f>
        <v>2272013477</v>
      </c>
      <c r="D5" s="7">
        <v>1</v>
      </c>
      <c r="E5" s="540">
        <f t="shared" si="3"/>
        <v>1509346414</v>
      </c>
      <c r="F5" s="541">
        <f t="shared" si="4"/>
        <v>0.66432106555677795</v>
      </c>
      <c r="G5" s="535">
        <f>'SGTO POAI 2020'!BH30</f>
        <v>1509346414</v>
      </c>
      <c r="H5" s="520">
        <f t="shared" si="0"/>
        <v>0.66432106555677795</v>
      </c>
      <c r="I5" s="9">
        <f>'SGTO POAI 2020'!BI30</f>
        <v>1466449400</v>
      </c>
      <c r="J5" s="524">
        <f t="shared" si="5"/>
        <v>0.97157907979102276</v>
      </c>
      <c r="K5" s="536">
        <f t="shared" si="1"/>
        <v>762667063</v>
      </c>
      <c r="L5" s="8">
        <f t="shared" si="2"/>
        <v>0.33567893444322205</v>
      </c>
      <c r="M5" s="527"/>
    </row>
    <row r="6" spans="1:13" s="10" customFormat="1" ht="15.75" x14ac:dyDescent="0.25">
      <c r="A6" s="5">
        <v>308</v>
      </c>
      <c r="B6" s="6" t="s">
        <v>23</v>
      </c>
      <c r="C6" s="536">
        <f>'SGTO POAI 2020'!BG35</f>
        <v>5840104583.4699993</v>
      </c>
      <c r="D6" s="7">
        <v>1</v>
      </c>
      <c r="E6" s="540">
        <f t="shared" si="3"/>
        <v>4065502341</v>
      </c>
      <c r="F6" s="541">
        <f t="shared" si="4"/>
        <v>0.69613519465167029</v>
      </c>
      <c r="G6" s="536">
        <f>'SGTO POAI 2020'!BH35</f>
        <v>4065502341</v>
      </c>
      <c r="H6" s="520">
        <f t="shared" si="0"/>
        <v>0.69613519465167029</v>
      </c>
      <c r="I6" s="9">
        <f>'SGTO POAI 2020'!BI35</f>
        <v>3963410508</v>
      </c>
      <c r="J6" s="524">
        <f t="shared" si="5"/>
        <v>0.97488826116998661</v>
      </c>
      <c r="K6" s="536">
        <f t="shared" si="1"/>
        <v>1774602242.4699993</v>
      </c>
      <c r="L6" s="8">
        <f t="shared" si="2"/>
        <v>0.30386480534832966</v>
      </c>
      <c r="M6" s="527"/>
    </row>
    <row r="7" spans="1:13" s="10" customFormat="1" ht="15.75" x14ac:dyDescent="0.25">
      <c r="A7" s="5">
        <v>309</v>
      </c>
      <c r="B7" s="6" t="s">
        <v>24</v>
      </c>
      <c r="C7" s="536">
        <f>'SGTO POAI 2020'!BG75</f>
        <v>3830220594.3099999</v>
      </c>
      <c r="D7" s="7">
        <v>1</v>
      </c>
      <c r="E7" s="540">
        <f t="shared" si="3"/>
        <v>999910766</v>
      </c>
      <c r="F7" s="541">
        <f t="shared" si="4"/>
        <v>0.26105827102632717</v>
      </c>
      <c r="G7" s="536">
        <f>'SGTO POAI 2020'!BH75</f>
        <v>999910766</v>
      </c>
      <c r="H7" s="520">
        <f t="shared" si="0"/>
        <v>0.26105827102632717</v>
      </c>
      <c r="I7" s="9">
        <f>'SGTO POAI 2020'!BI75</f>
        <v>999910766</v>
      </c>
      <c r="J7" s="524">
        <f t="shared" si="5"/>
        <v>1</v>
      </c>
      <c r="K7" s="536">
        <f t="shared" si="1"/>
        <v>2830309828.3099999</v>
      </c>
      <c r="L7" s="8">
        <f t="shared" si="2"/>
        <v>0.73894172897367283</v>
      </c>
      <c r="M7" s="527"/>
    </row>
    <row r="8" spans="1:13" s="10" customFormat="1" ht="15.75" x14ac:dyDescent="0.25">
      <c r="A8" s="5">
        <v>310</v>
      </c>
      <c r="B8" s="6" t="s">
        <v>25</v>
      </c>
      <c r="C8" s="535">
        <f>'SGTO POAI 2020'!BG112</f>
        <v>3035796535.3200002</v>
      </c>
      <c r="D8" s="7">
        <v>1</v>
      </c>
      <c r="E8" s="540">
        <f t="shared" si="3"/>
        <v>1587835203.8299999</v>
      </c>
      <c r="F8" s="541">
        <f t="shared" si="4"/>
        <v>0.52303742538616071</v>
      </c>
      <c r="G8" s="536">
        <f>'SGTO POAI 2020'!BH112</f>
        <v>1587835203.8299999</v>
      </c>
      <c r="H8" s="520">
        <f t="shared" si="0"/>
        <v>0.52303742538616071</v>
      </c>
      <c r="I8" s="9">
        <f>'SGTO POAI 2020'!BI112</f>
        <v>1587835203.8299999</v>
      </c>
      <c r="J8" s="524">
        <f t="shared" si="5"/>
        <v>1</v>
      </c>
      <c r="K8" s="536">
        <f t="shared" si="1"/>
        <v>1447961331.4900002</v>
      </c>
      <c r="L8" s="8">
        <f t="shared" si="2"/>
        <v>0.47696257461383923</v>
      </c>
      <c r="M8" s="527"/>
    </row>
    <row r="9" spans="1:13" s="10" customFormat="1" ht="19.5" customHeight="1" x14ac:dyDescent="0.25">
      <c r="A9" s="5">
        <v>311</v>
      </c>
      <c r="B9" s="11" t="s">
        <v>26</v>
      </c>
      <c r="C9" s="535">
        <f>'SGTO POAI 2020'!BG124</f>
        <v>2778889071.8499999</v>
      </c>
      <c r="D9" s="7">
        <v>1</v>
      </c>
      <c r="E9" s="540">
        <f t="shared" si="3"/>
        <v>1893684548</v>
      </c>
      <c r="F9" s="541">
        <f t="shared" si="4"/>
        <v>0.68145381087101486</v>
      </c>
      <c r="G9" s="536">
        <f>'SGTO POAI 2020'!BH124</f>
        <v>1893684548</v>
      </c>
      <c r="H9" s="520">
        <f t="shared" si="0"/>
        <v>0.68145381087101486</v>
      </c>
      <c r="I9" s="9">
        <f>'SGTO POAI 2020'!BI124</f>
        <v>1893684548</v>
      </c>
      <c r="J9" s="524">
        <f t="shared" si="5"/>
        <v>1</v>
      </c>
      <c r="K9" s="536">
        <f t="shared" si="1"/>
        <v>885204523.8499999</v>
      </c>
      <c r="L9" s="8">
        <f t="shared" si="2"/>
        <v>0.31854618912898508</v>
      </c>
      <c r="M9" s="527"/>
    </row>
    <row r="10" spans="1:13" s="10" customFormat="1" ht="30" x14ac:dyDescent="0.25">
      <c r="A10" s="5">
        <v>312</v>
      </c>
      <c r="B10" s="11" t="s">
        <v>27</v>
      </c>
      <c r="C10" s="535">
        <f>'SGTO POAI 2020'!BG140</f>
        <v>1704396659.97</v>
      </c>
      <c r="D10" s="7">
        <v>1</v>
      </c>
      <c r="E10" s="540">
        <f t="shared" si="3"/>
        <v>922940601</v>
      </c>
      <c r="F10" s="541">
        <f t="shared" si="4"/>
        <v>0.54150575548314273</v>
      </c>
      <c r="G10" s="536">
        <f>'SGTO POAI 2020'!BH140</f>
        <v>922940601</v>
      </c>
      <c r="H10" s="520">
        <f t="shared" si="0"/>
        <v>0.54150575548314273</v>
      </c>
      <c r="I10" s="9">
        <f>'SGTO POAI 2020'!BI140</f>
        <v>913140601</v>
      </c>
      <c r="J10" s="524">
        <f t="shared" si="5"/>
        <v>0.98938176520852827</v>
      </c>
      <c r="K10" s="536">
        <f t="shared" si="1"/>
        <v>781456058.97000003</v>
      </c>
      <c r="L10" s="8">
        <f t="shared" si="2"/>
        <v>0.45849424451685727</v>
      </c>
      <c r="M10" s="527"/>
    </row>
    <row r="11" spans="1:13" s="13" customFormat="1" ht="15.75" x14ac:dyDescent="0.25">
      <c r="A11" s="12">
        <v>313</v>
      </c>
      <c r="B11" s="6" t="s">
        <v>28</v>
      </c>
      <c r="C11" s="200">
        <f>'SGTO POAI 2020'!BG187</f>
        <v>1101267429</v>
      </c>
      <c r="D11" s="7">
        <v>1</v>
      </c>
      <c r="E11" s="540">
        <f t="shared" si="3"/>
        <v>993737924.32999992</v>
      </c>
      <c r="F11" s="541">
        <f t="shared" si="4"/>
        <v>0.90235840828631275</v>
      </c>
      <c r="G11" s="536">
        <f>'SGTO POAI 2020'!BH187</f>
        <v>993737924.32999992</v>
      </c>
      <c r="H11" s="520">
        <f t="shared" si="0"/>
        <v>0.90235840828631275</v>
      </c>
      <c r="I11" s="9">
        <f>'SGTO POAI 2020'!BI187</f>
        <v>993737924.32999992</v>
      </c>
      <c r="J11" s="524">
        <f t="shared" si="5"/>
        <v>1</v>
      </c>
      <c r="K11" s="536">
        <f t="shared" si="1"/>
        <v>107529504.67000008</v>
      </c>
      <c r="L11" s="8">
        <f t="shared" si="2"/>
        <v>9.7641591713687262E-2</v>
      </c>
      <c r="M11" s="527"/>
    </row>
    <row r="12" spans="1:13" s="13" customFormat="1" ht="15.75" x14ac:dyDescent="0.25">
      <c r="A12" s="12">
        <v>314</v>
      </c>
      <c r="B12" s="6" t="s">
        <v>29</v>
      </c>
      <c r="C12" s="537">
        <f>'SGTO POAI 2020'!BG194</f>
        <v>178324204793.70999</v>
      </c>
      <c r="D12" s="7">
        <v>1</v>
      </c>
      <c r="E12" s="540">
        <f t="shared" si="3"/>
        <v>174269380098.87</v>
      </c>
      <c r="F12" s="541">
        <f t="shared" si="4"/>
        <v>0.9772615013226571</v>
      </c>
      <c r="G12" s="536">
        <f>'SGTO POAI 2020'!BH194</f>
        <v>174269380098.87</v>
      </c>
      <c r="H12" s="520">
        <f t="shared" si="0"/>
        <v>0.9772615013226571</v>
      </c>
      <c r="I12" s="9">
        <f>'SGTO POAI 2020'!BI194</f>
        <v>173939597428.87</v>
      </c>
      <c r="J12" s="524">
        <f t="shared" si="5"/>
        <v>0.99810762699785294</v>
      </c>
      <c r="K12" s="536">
        <f t="shared" si="1"/>
        <v>4054824694.8399963</v>
      </c>
      <c r="L12" s="8">
        <f t="shared" si="2"/>
        <v>2.2738498677342886E-2</v>
      </c>
      <c r="M12" s="527"/>
    </row>
    <row r="13" spans="1:13" s="10" customFormat="1" ht="15.75" x14ac:dyDescent="0.25">
      <c r="A13" s="5">
        <v>316</v>
      </c>
      <c r="B13" s="6" t="s">
        <v>30</v>
      </c>
      <c r="C13" s="200">
        <f>'SGTO POAI 2020'!BG221</f>
        <v>5933774901.3899994</v>
      </c>
      <c r="D13" s="7">
        <v>1</v>
      </c>
      <c r="E13" s="540">
        <f t="shared" si="3"/>
        <v>4791921765</v>
      </c>
      <c r="F13" s="541">
        <f t="shared" si="4"/>
        <v>0.8075671633377064</v>
      </c>
      <c r="G13" s="536">
        <f>'SGTO POAI 2020'!BH221</f>
        <v>4791921765</v>
      </c>
      <c r="H13" s="520">
        <f t="shared" si="0"/>
        <v>0.8075671633377064</v>
      </c>
      <c r="I13" s="9">
        <f>'SGTO POAI 2020'!BI221</f>
        <v>4791921765</v>
      </c>
      <c r="J13" s="524">
        <f t="shared" si="5"/>
        <v>1</v>
      </c>
      <c r="K13" s="536">
        <f t="shared" si="1"/>
        <v>1141853136.3899994</v>
      </c>
      <c r="L13" s="8">
        <f t="shared" si="2"/>
        <v>0.19243283666229366</v>
      </c>
      <c r="M13" s="527"/>
    </row>
    <row r="14" spans="1:13" s="10" customFormat="1" ht="15.75" x14ac:dyDescent="0.25">
      <c r="A14" s="5">
        <v>318</v>
      </c>
      <c r="B14" s="6" t="s">
        <v>31</v>
      </c>
      <c r="C14" s="535">
        <f>'SGTO POAI 2020'!BG264</f>
        <v>49515588163.32</v>
      </c>
      <c r="D14" s="7">
        <v>1</v>
      </c>
      <c r="E14" s="540">
        <f t="shared" si="3"/>
        <v>42853606184.770004</v>
      </c>
      <c r="F14" s="541">
        <f t="shared" si="4"/>
        <v>0.86545687478100009</v>
      </c>
      <c r="G14" s="536">
        <f>'SGTO POAI 2020'!BH264</f>
        <v>42853606184.770004</v>
      </c>
      <c r="H14" s="520">
        <f t="shared" si="0"/>
        <v>0.86545687478100009</v>
      </c>
      <c r="I14" s="9">
        <f>'SGTO POAI 2020'!BI264</f>
        <v>42307722381.770004</v>
      </c>
      <c r="J14" s="524">
        <f t="shared" si="5"/>
        <v>0.98726166006551852</v>
      </c>
      <c r="K14" s="536">
        <f t="shared" si="1"/>
        <v>6661981978.5499954</v>
      </c>
      <c r="L14" s="8">
        <f t="shared" si="2"/>
        <v>0.13454312521899997</v>
      </c>
      <c r="M14" s="527"/>
    </row>
    <row r="15" spans="1:13" s="10" customFormat="1" ht="30" x14ac:dyDescent="0.25">
      <c r="A15" s="5">
        <v>324</v>
      </c>
      <c r="B15" s="11" t="s">
        <v>32</v>
      </c>
      <c r="C15" s="535">
        <f>'SGTO POAI 2020'!BG329</f>
        <v>632885000</v>
      </c>
      <c r="D15" s="7">
        <v>1</v>
      </c>
      <c r="E15" s="540">
        <f t="shared" si="3"/>
        <v>576746686</v>
      </c>
      <c r="F15" s="541">
        <f t="shared" si="4"/>
        <v>0.91129776499680037</v>
      </c>
      <c r="G15" s="536">
        <f>'SGTO POAI 2020'!BH329</f>
        <v>576746686</v>
      </c>
      <c r="H15" s="520">
        <f t="shared" si="0"/>
        <v>0.91129776499680037</v>
      </c>
      <c r="I15" s="9">
        <f>'SGTO POAI 2020'!BI329</f>
        <v>576746686</v>
      </c>
      <c r="J15" s="524">
        <f t="shared" si="5"/>
        <v>1</v>
      </c>
      <c r="K15" s="536">
        <f t="shared" si="1"/>
        <v>56138314</v>
      </c>
      <c r="L15" s="8">
        <f t="shared" si="2"/>
        <v>8.8702235003199639E-2</v>
      </c>
      <c r="M15" s="527"/>
    </row>
    <row r="16" spans="1:13" s="17" customFormat="1" ht="32.25" customHeight="1" x14ac:dyDescent="0.25">
      <c r="A16" s="14"/>
      <c r="B16" s="14" t="s">
        <v>33</v>
      </c>
      <c r="C16" s="538">
        <f>SUM(C3:C15)</f>
        <v>255722471860.34003</v>
      </c>
      <c r="D16" s="15">
        <v>1</v>
      </c>
      <c r="E16" s="538">
        <f>SUM(E3:E15)</f>
        <v>235133136043.79999</v>
      </c>
      <c r="F16" s="542">
        <f>E16/C16</f>
        <v>0.9194856217885119</v>
      </c>
      <c r="G16" s="538">
        <f>SUM(G3:G15)</f>
        <v>235133136043.79999</v>
      </c>
      <c r="H16" s="520">
        <f t="shared" si="0"/>
        <v>0.9194856217885119</v>
      </c>
      <c r="I16" s="538">
        <f>SUM(I3:I15)</f>
        <v>234065532723.79999</v>
      </c>
      <c r="J16" s="525">
        <f t="shared" si="5"/>
        <v>0.99545957946224506</v>
      </c>
      <c r="K16" s="538">
        <f>SUM(K3:K15)</f>
        <v>20589335816.539989</v>
      </c>
      <c r="L16" s="16">
        <f t="shared" si="2"/>
        <v>8.0514378211487908E-2</v>
      </c>
      <c r="M16" s="527"/>
    </row>
    <row r="17" spans="1:13" s="10" customFormat="1" ht="15.75" x14ac:dyDescent="0.25">
      <c r="A17" s="5">
        <v>319</v>
      </c>
      <c r="B17" s="6" t="s">
        <v>34</v>
      </c>
      <c r="C17" s="200">
        <f>'SGTO POAI 2020'!BG346</f>
        <v>4341489310.7799997</v>
      </c>
      <c r="D17" s="7">
        <v>1</v>
      </c>
      <c r="E17" s="540">
        <f t="shared" si="3"/>
        <v>2728118219</v>
      </c>
      <c r="F17" s="541">
        <f t="shared" si="4"/>
        <v>0.62838303257502703</v>
      </c>
      <c r="G17" s="200">
        <f>'SGTO POAI 2020'!BH346</f>
        <v>2728118219</v>
      </c>
      <c r="H17" s="520">
        <f t="shared" si="0"/>
        <v>0.62838303257502703</v>
      </c>
      <c r="I17" s="9">
        <f>'SGTO POAI 2020'!BI346</f>
        <v>2728118219</v>
      </c>
      <c r="J17" s="524">
        <f t="shared" si="5"/>
        <v>1</v>
      </c>
      <c r="K17" s="536">
        <f>C17-G17</f>
        <v>1613371091.7799997</v>
      </c>
      <c r="L17" s="8">
        <f t="shared" si="2"/>
        <v>0.37161696742497302</v>
      </c>
      <c r="M17" s="527"/>
    </row>
    <row r="18" spans="1:13" s="10" customFormat="1" ht="15.75" x14ac:dyDescent="0.25">
      <c r="A18" s="5">
        <v>320</v>
      </c>
      <c r="B18" s="6" t="s">
        <v>35</v>
      </c>
      <c r="C18" s="535">
        <f>'SGTO POAI 2020'!BG365</f>
        <v>1709079089.5</v>
      </c>
      <c r="D18" s="7">
        <v>1</v>
      </c>
      <c r="E18" s="540">
        <f t="shared" si="3"/>
        <v>1476614408.4133334</v>
      </c>
      <c r="F18" s="541">
        <f t="shared" si="4"/>
        <v>0.8639824906203285</v>
      </c>
      <c r="G18" s="535">
        <f>'SGTO POAI 2020'!BH365</f>
        <v>1476614408.4133334</v>
      </c>
      <c r="H18" s="520">
        <f t="shared" si="0"/>
        <v>0.8639824906203285</v>
      </c>
      <c r="I18" s="9">
        <f>'SGTO POAI 2020'!BI365</f>
        <v>1476614408.4133334</v>
      </c>
      <c r="J18" s="524">
        <f t="shared" si="5"/>
        <v>1</v>
      </c>
      <c r="K18" s="536">
        <f>C18-G18</f>
        <v>232464681.08666658</v>
      </c>
      <c r="L18" s="8">
        <f t="shared" si="2"/>
        <v>0.13601750937967144</v>
      </c>
      <c r="M18" s="527"/>
    </row>
    <row r="19" spans="1:13" s="10" customFormat="1" ht="15.75" x14ac:dyDescent="0.25">
      <c r="A19" s="5">
        <v>321</v>
      </c>
      <c r="B19" s="11" t="s">
        <v>36</v>
      </c>
      <c r="C19" s="535">
        <v>107000000</v>
      </c>
      <c r="D19" s="7">
        <v>1</v>
      </c>
      <c r="E19" s="540">
        <f t="shared" si="3"/>
        <v>52352000</v>
      </c>
      <c r="F19" s="541">
        <f t="shared" si="4"/>
        <v>0.4892710280373832</v>
      </c>
      <c r="G19" s="535">
        <f>'SGTO POAI 2020'!BH382</f>
        <v>52352000</v>
      </c>
      <c r="H19" s="520">
        <f t="shared" si="0"/>
        <v>0.4892710280373832</v>
      </c>
      <c r="I19" s="9">
        <f>'SGTO POAI 2020'!BI382</f>
        <v>52352000</v>
      </c>
      <c r="J19" s="524">
        <f t="shared" si="5"/>
        <v>1</v>
      </c>
      <c r="K19" s="536">
        <f>C19-G19</f>
        <v>54648000</v>
      </c>
      <c r="L19" s="8">
        <f t="shared" si="2"/>
        <v>0.5107289719626168</v>
      </c>
      <c r="M19" s="527"/>
    </row>
    <row r="20" spans="1:13" s="17" customFormat="1" ht="32.25" customHeight="1" x14ac:dyDescent="0.25">
      <c r="A20" s="14"/>
      <c r="B20" s="14" t="s">
        <v>37</v>
      </c>
      <c r="C20" s="538">
        <f>SUM(C17:C19)</f>
        <v>6157568400.2799997</v>
      </c>
      <c r="D20" s="15">
        <v>1</v>
      </c>
      <c r="E20" s="538">
        <f>SUM(E17:E19)</f>
        <v>4257084627.4133334</v>
      </c>
      <c r="F20" s="542">
        <f>E20/C20</f>
        <v>0.69135807362200852</v>
      </c>
      <c r="G20" s="538">
        <f>SUM(G17:G19)</f>
        <v>4257084627.4133334</v>
      </c>
      <c r="H20" s="520">
        <f t="shared" si="0"/>
        <v>0.69135807362200852</v>
      </c>
      <c r="I20" s="538">
        <f>SUM(I17:I19)</f>
        <v>4257084627.4133334</v>
      </c>
      <c r="J20" s="525">
        <f t="shared" si="5"/>
        <v>1</v>
      </c>
      <c r="K20" s="538">
        <f>SUM(K17:K19)</f>
        <v>1900483772.8666663</v>
      </c>
      <c r="L20" s="526">
        <f t="shared" si="2"/>
        <v>0.30864192637799148</v>
      </c>
      <c r="M20" s="527"/>
    </row>
    <row r="21" spans="1:13" ht="7.5" customHeight="1" x14ac:dyDescent="0.2">
      <c r="C21" s="416"/>
      <c r="G21" s="416"/>
      <c r="H21" s="522"/>
      <c r="I21" s="416"/>
      <c r="J21" s="523"/>
      <c r="K21" s="416"/>
      <c r="L21" s="8"/>
      <c r="M21" s="527"/>
    </row>
    <row r="22" spans="1:13" s="17" customFormat="1" ht="32.25" customHeight="1" x14ac:dyDescent="0.25">
      <c r="A22" s="14"/>
      <c r="B22" s="14" t="s">
        <v>38</v>
      </c>
      <c r="C22" s="538">
        <f>C16+C20</f>
        <v>261880040260.62003</v>
      </c>
      <c r="D22" s="15">
        <v>1</v>
      </c>
      <c r="E22" s="538">
        <f>E16+E20</f>
        <v>239390220671.21332</v>
      </c>
      <c r="F22" s="542">
        <f>E22/C22</f>
        <v>0.91412167354554741</v>
      </c>
      <c r="G22" s="538">
        <f>G16+G20</f>
        <v>239390220671.21332</v>
      </c>
      <c r="H22" s="520">
        <f>G22/C22</f>
        <v>0.91412167354554741</v>
      </c>
      <c r="I22" s="538">
        <f>I16+I20</f>
        <v>238322617351.21332</v>
      </c>
      <c r="J22" s="525">
        <f t="shared" si="5"/>
        <v>0.99554032191872077</v>
      </c>
      <c r="K22" s="538">
        <f>K16+K20</f>
        <v>22489819589.406654</v>
      </c>
      <c r="L22" s="526">
        <f>K22/C22</f>
        <v>8.5878326454452356E-2</v>
      </c>
      <c r="M22" s="527"/>
    </row>
    <row r="24" spans="1:13" s="19" customFormat="1" x14ac:dyDescent="0.2">
      <c r="A24" s="1"/>
      <c r="B24" s="18"/>
      <c r="C24" s="237"/>
      <c r="D24" s="237"/>
      <c r="E24" s="237"/>
      <c r="F24" s="237"/>
      <c r="L24" s="1"/>
    </row>
    <row r="25" spans="1:13" s="19" customFormat="1" x14ac:dyDescent="0.2">
      <c r="A25" s="1"/>
      <c r="B25" s="18"/>
      <c r="C25" s="415"/>
      <c r="D25" s="20"/>
      <c r="E25" s="20"/>
      <c r="F25" s="20"/>
      <c r="G25" s="416"/>
      <c r="H25" s="416"/>
      <c r="I25" s="416"/>
      <c r="L25" s="1"/>
    </row>
    <row r="26" spans="1:13" s="19" customFormat="1" x14ac:dyDescent="0.2">
      <c r="A26" s="1"/>
      <c r="B26" s="18"/>
      <c r="C26" s="21"/>
      <c r="D26" s="20"/>
      <c r="E26" s="20"/>
      <c r="F26" s="20"/>
      <c r="G26" s="21"/>
      <c r="I26" s="21"/>
      <c r="L26" s="1"/>
    </row>
    <row r="27" spans="1:13" s="19" customFormat="1" x14ac:dyDescent="0.2">
      <c r="A27" s="1"/>
      <c r="B27" s="18"/>
      <c r="C27" s="21"/>
      <c r="D27" s="20"/>
      <c r="E27" s="20"/>
      <c r="F27" s="20"/>
      <c r="L27" s="1"/>
    </row>
    <row r="28" spans="1:13" s="19" customFormat="1" ht="21" customHeight="1" x14ac:dyDescent="0.2">
      <c r="A28" s="1"/>
      <c r="B28" s="699" t="s">
        <v>47</v>
      </c>
      <c r="C28" s="699"/>
      <c r="D28" s="521"/>
      <c r="E28" s="521"/>
      <c r="F28" s="521"/>
      <c r="K28" s="699" t="s">
        <v>46</v>
      </c>
      <c r="L28" s="699"/>
      <c r="M28" s="699"/>
    </row>
    <row r="29" spans="1:13" s="19" customFormat="1" ht="15" x14ac:dyDescent="0.25">
      <c r="A29" s="1"/>
      <c r="B29" s="547" t="s">
        <v>39</v>
      </c>
      <c r="C29" s="548" t="s">
        <v>40</v>
      </c>
      <c r="D29" s="549" t="s">
        <v>41</v>
      </c>
      <c r="E29" s="543"/>
      <c r="F29" s="127"/>
      <c r="K29" s="547" t="s">
        <v>39</v>
      </c>
      <c r="L29" s="548" t="s">
        <v>40</v>
      </c>
      <c r="M29" s="549" t="s">
        <v>41</v>
      </c>
    </row>
    <row r="30" spans="1:13" s="19" customFormat="1" ht="15.75" x14ac:dyDescent="0.25">
      <c r="A30" s="1"/>
      <c r="B30" s="550" t="s">
        <v>42</v>
      </c>
      <c r="C30" s="551">
        <f>C16</f>
        <v>255722471860.34003</v>
      </c>
      <c r="D30" s="552">
        <f>C30/C30</f>
        <v>1</v>
      </c>
      <c r="E30" s="544"/>
      <c r="F30" s="128"/>
      <c r="K30" s="550" t="s">
        <v>42</v>
      </c>
      <c r="L30" s="556">
        <f>C22</f>
        <v>261880040260.62003</v>
      </c>
      <c r="M30" s="552">
        <f>L30/L30</f>
        <v>1</v>
      </c>
    </row>
    <row r="31" spans="1:13" s="19" customFormat="1" ht="15.75" x14ac:dyDescent="0.25">
      <c r="A31" s="1"/>
      <c r="B31" s="550" t="s">
        <v>1546</v>
      </c>
      <c r="C31" s="551">
        <f>E16</f>
        <v>235133136043.79999</v>
      </c>
      <c r="D31" s="553">
        <f>C31/C30</f>
        <v>0.9194856217885119</v>
      </c>
      <c r="E31" s="544"/>
      <c r="F31" s="128"/>
      <c r="K31" s="550" t="s">
        <v>1546</v>
      </c>
      <c r="L31" s="556">
        <f>E22</f>
        <v>239390220671.21332</v>
      </c>
      <c r="M31" s="553">
        <f>L31/L30</f>
        <v>0.91412167354554741</v>
      </c>
    </row>
    <row r="32" spans="1:13" s="19" customFormat="1" ht="15.75" customHeight="1" x14ac:dyDescent="0.25">
      <c r="A32" s="1"/>
      <c r="B32" s="550" t="s">
        <v>43</v>
      </c>
      <c r="C32" s="551">
        <f>G16</f>
        <v>235133136043.79999</v>
      </c>
      <c r="D32" s="554">
        <f>C32/C30</f>
        <v>0.9194856217885119</v>
      </c>
      <c r="E32" s="545"/>
      <c r="F32" s="129"/>
      <c r="K32" s="550" t="s">
        <v>43</v>
      </c>
      <c r="L32" s="556">
        <f>G22</f>
        <v>239390220671.21332</v>
      </c>
      <c r="M32" s="554">
        <f>L32/L30</f>
        <v>0.91412167354554741</v>
      </c>
    </row>
    <row r="33" spans="1:13" s="19" customFormat="1" ht="15.75" customHeight="1" x14ac:dyDescent="0.25">
      <c r="A33" s="1"/>
      <c r="B33" s="550" t="s">
        <v>44</v>
      </c>
      <c r="C33" s="551">
        <f>I16</f>
        <v>234065532723.79999</v>
      </c>
      <c r="D33" s="554">
        <f>C33/C32</f>
        <v>0.99545957946224506</v>
      </c>
      <c r="E33" s="545"/>
      <c r="F33" s="129"/>
      <c r="K33" s="550" t="s">
        <v>44</v>
      </c>
      <c r="L33" s="556">
        <f>I22</f>
        <v>238322617351.21332</v>
      </c>
      <c r="M33" s="554">
        <f>L33/L32</f>
        <v>0.99554032191872077</v>
      </c>
    </row>
    <row r="34" spans="1:13" ht="15.75" x14ac:dyDescent="0.25">
      <c r="B34" s="555" t="s">
        <v>45</v>
      </c>
      <c r="C34" s="551">
        <f>K16</f>
        <v>20589335816.539989</v>
      </c>
      <c r="D34" s="554">
        <f>C34/C30</f>
        <v>8.0514378211487908E-2</v>
      </c>
      <c r="E34" s="545"/>
      <c r="F34" s="129"/>
      <c r="K34" s="555" t="s">
        <v>45</v>
      </c>
      <c r="L34" s="556">
        <f>K22</f>
        <v>22489819589.406654</v>
      </c>
      <c r="M34" s="554">
        <f>L34/L30</f>
        <v>8.5878326454452356E-2</v>
      </c>
    </row>
    <row r="35" spans="1:13" x14ac:dyDescent="0.2">
      <c r="B35" s="24"/>
      <c r="C35" s="23"/>
      <c r="D35" s="23"/>
      <c r="E35" s="23"/>
      <c r="F35" s="23"/>
      <c r="K35" s="23"/>
      <c r="L35" s="546"/>
      <c r="M35" s="546"/>
    </row>
    <row r="36" spans="1:13" x14ac:dyDescent="0.2">
      <c r="B36" s="25"/>
      <c r="C36" s="20"/>
      <c r="D36" s="26"/>
      <c r="E36" s="26"/>
      <c r="F36" s="26"/>
    </row>
    <row r="37" spans="1:13" x14ac:dyDescent="0.2">
      <c r="B37" s="25"/>
      <c r="C37" s="20"/>
      <c r="D37" s="20"/>
      <c r="E37" s="20"/>
      <c r="F37" s="22"/>
    </row>
    <row r="38" spans="1:13" x14ac:dyDescent="0.2">
      <c r="B38" s="25"/>
      <c r="C38" s="20"/>
      <c r="D38" s="20"/>
      <c r="E38" s="20"/>
      <c r="F38" s="22"/>
    </row>
    <row r="39" spans="1:13" x14ac:dyDescent="0.2">
      <c r="B39" s="24"/>
      <c r="C39" s="23"/>
      <c r="D39" s="23"/>
      <c r="E39" s="23"/>
    </row>
    <row r="40" spans="1:13" x14ac:dyDescent="0.2">
      <c r="B40" s="24"/>
      <c r="C40" s="23"/>
      <c r="D40" s="23"/>
      <c r="E40" s="23"/>
    </row>
    <row r="41" spans="1:13" x14ac:dyDescent="0.2">
      <c r="B41" s="24"/>
      <c r="C41" s="23"/>
      <c r="D41" s="23"/>
      <c r="E41" s="23"/>
    </row>
    <row r="45" spans="1:13" ht="13.5" thickBot="1" x14ac:dyDescent="0.25"/>
    <row r="46" spans="1:13" ht="15.75" x14ac:dyDescent="0.2">
      <c r="A46" s="704" t="s">
        <v>1543</v>
      </c>
      <c r="B46" s="705"/>
    </row>
    <row r="47" spans="1:13" ht="15" x14ac:dyDescent="0.2">
      <c r="A47" s="706" t="s">
        <v>1538</v>
      </c>
      <c r="B47" s="707"/>
    </row>
    <row r="48" spans="1:13" ht="15" x14ac:dyDescent="0.2">
      <c r="A48" s="708" t="s">
        <v>1539</v>
      </c>
      <c r="B48" s="709"/>
    </row>
    <row r="49" spans="1:2" ht="15" x14ac:dyDescent="0.2">
      <c r="A49" s="710" t="s">
        <v>1540</v>
      </c>
      <c r="B49" s="711"/>
    </row>
    <row r="50" spans="1:2" ht="15" x14ac:dyDescent="0.2">
      <c r="A50" s="712" t="s">
        <v>1541</v>
      </c>
      <c r="B50" s="713"/>
    </row>
    <row r="51" spans="1:2" ht="15" x14ac:dyDescent="0.2">
      <c r="A51" s="702" t="s">
        <v>1542</v>
      </c>
      <c r="B51" s="703"/>
    </row>
  </sheetData>
  <sheetProtection password="A60F" sheet="1" objects="1" scenarios="1"/>
  <mergeCells count="9">
    <mergeCell ref="B28:C28"/>
    <mergeCell ref="A1:L1"/>
    <mergeCell ref="K28:M28"/>
    <mergeCell ref="A51:B51"/>
    <mergeCell ref="A46:B46"/>
    <mergeCell ref="A47:B47"/>
    <mergeCell ref="A48:B48"/>
    <mergeCell ref="A49:B49"/>
    <mergeCell ref="A50:B50"/>
  </mergeCells>
  <conditionalFormatting sqref="H3">
    <cfRule type="cellIs" dxfId="29" priority="71" operator="between">
      <formula>0</formula>
      <formula>0.3999</formula>
    </cfRule>
    <cfRule type="cellIs" dxfId="28" priority="72" operator="between">
      <formula>0.4</formula>
      <formula>0.59</formula>
    </cfRule>
    <cfRule type="cellIs" dxfId="27" priority="73" operator="between">
      <formula>0.6</formula>
      <formula>0.69</formula>
    </cfRule>
    <cfRule type="cellIs" dxfId="26" priority="74" operator="between">
      <formula>0.7</formula>
      <formula>0.79</formula>
    </cfRule>
    <cfRule type="cellIs" dxfId="25" priority="75" operator="between">
      <formula>0.8</formula>
      <formula>1</formula>
    </cfRule>
  </conditionalFormatting>
  <conditionalFormatting sqref="H4:H15">
    <cfRule type="cellIs" dxfId="24" priority="66" operator="between">
      <formula>0</formula>
      <formula>0.3999</formula>
    </cfRule>
    <cfRule type="cellIs" dxfId="23" priority="67" operator="between">
      <formula>0.4</formula>
      <formula>0.59</formula>
    </cfRule>
    <cfRule type="cellIs" dxfId="22" priority="68" operator="between">
      <formula>0.6</formula>
      <formula>0.695</formula>
    </cfRule>
    <cfRule type="cellIs" dxfId="21" priority="69" operator="between">
      <formula>0.695</formula>
      <formula>0.7949</formula>
    </cfRule>
    <cfRule type="cellIs" dxfId="20" priority="70" operator="between">
      <formula>0.8</formula>
      <formula>1</formula>
    </cfRule>
  </conditionalFormatting>
  <conditionalFormatting sqref="H17:H19">
    <cfRule type="cellIs" dxfId="19" priority="61" operator="between">
      <formula>0</formula>
      <formula>0.3999</formula>
    </cfRule>
    <cfRule type="cellIs" dxfId="18" priority="62" operator="between">
      <formula>0.4</formula>
      <formula>0.59</formula>
    </cfRule>
    <cfRule type="cellIs" dxfId="17" priority="63" operator="between">
      <formula>0.6</formula>
      <formula>0.69</formula>
    </cfRule>
    <cfRule type="cellIs" dxfId="16" priority="64" operator="between">
      <formula>0.7</formula>
      <formula>0.79</formula>
    </cfRule>
    <cfRule type="cellIs" dxfId="15" priority="65" operator="between">
      <formula>0.8</formula>
      <formula>1</formula>
    </cfRule>
  </conditionalFormatting>
  <conditionalFormatting sqref="H16">
    <cfRule type="cellIs" dxfId="14" priority="56" operator="between">
      <formula>0</formula>
      <formula>0.3999</formula>
    </cfRule>
    <cfRule type="cellIs" dxfId="13" priority="57" operator="between">
      <formula>0.4</formula>
      <formula>0.59</formula>
    </cfRule>
    <cfRule type="cellIs" dxfId="12" priority="58" operator="between">
      <formula>0.6</formula>
      <formula>0.69</formula>
    </cfRule>
    <cfRule type="cellIs" dxfId="11" priority="59" operator="between">
      <formula>0.7</formula>
      <formula>0.79</formula>
    </cfRule>
    <cfRule type="cellIs" dxfId="10" priority="60" operator="between">
      <formula>0.8</formula>
      <formula>1</formula>
    </cfRule>
  </conditionalFormatting>
  <conditionalFormatting sqref="H20">
    <cfRule type="cellIs" dxfId="9" priority="51" operator="between">
      <formula>0</formula>
      <formula>0.3999</formula>
    </cfRule>
    <cfRule type="cellIs" dxfId="8" priority="52" operator="between">
      <formula>0.4</formula>
      <formula>0.59</formula>
    </cfRule>
    <cfRule type="cellIs" dxfId="7" priority="53" operator="between">
      <formula>0.595</formula>
      <formula>0.6949</formula>
    </cfRule>
    <cfRule type="cellIs" dxfId="6" priority="54" operator="between">
      <formula>0.7</formula>
      <formula>0.79</formula>
    </cfRule>
    <cfRule type="cellIs" dxfId="5" priority="55" operator="between">
      <formula>0.8</formula>
      <formula>1</formula>
    </cfRule>
  </conditionalFormatting>
  <conditionalFormatting sqref="H22">
    <cfRule type="cellIs" dxfId="4" priority="46" operator="between">
      <formula>0</formula>
      <formula>0.3999</formula>
    </cfRule>
    <cfRule type="cellIs" dxfId="3" priority="47" operator="between">
      <formula>0.4</formula>
      <formula>0.59</formula>
    </cfRule>
    <cfRule type="cellIs" dxfId="2" priority="48" operator="between">
      <formula>0.6</formula>
      <formula>0.69</formula>
    </cfRule>
    <cfRule type="cellIs" dxfId="1" priority="49" operator="between">
      <formula>0.7</formula>
      <formula>0.79</formula>
    </cfRule>
    <cfRule type="cellIs" dxfId="0" priority="50" operator="between">
      <formula>0.8</formula>
      <formula>1</formula>
    </cfRule>
  </conditionalFormatting>
  <pageMargins left="0.7" right="0.7" top="0.75" bottom="0.75" header="0.3" footer="0.3"/>
  <pageSetup orientation="portrait" verticalDpi="36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T54"/>
  <sheetViews>
    <sheetView showGridLines="0" zoomScale="80" zoomScaleNormal="80" workbookViewId="0">
      <selection sqref="A1:I1"/>
    </sheetView>
  </sheetViews>
  <sheetFormatPr baseColWidth="10" defaultRowHeight="15.75" x14ac:dyDescent="0.25"/>
  <cols>
    <col min="1" max="1" width="11.42578125" style="479"/>
    <col min="2" max="2" width="9.5703125" style="479" customWidth="1"/>
    <col min="3" max="3" width="57.42578125" style="479" customWidth="1"/>
    <col min="4" max="4" width="26.28515625" style="463" customWidth="1"/>
    <col min="5" max="5" width="17.42578125" style="463" customWidth="1"/>
    <col min="6" max="6" width="27.140625" style="463" customWidth="1"/>
    <col min="7" max="7" width="16.42578125" style="463" customWidth="1"/>
    <col min="8" max="8" width="26" style="463" customWidth="1"/>
    <col min="9" max="9" width="19.5703125" style="463" customWidth="1"/>
    <col min="10" max="10" width="25.28515625" style="457" bestFit="1" customWidth="1"/>
    <col min="11" max="11" width="28" style="457" customWidth="1"/>
    <col min="12" max="12" width="25.28515625" style="457" bestFit="1" customWidth="1"/>
    <col min="13" max="13" width="9.42578125" style="457" customWidth="1"/>
    <col min="14" max="14" width="37.7109375" style="457" customWidth="1"/>
    <col min="15" max="15" width="25.7109375" style="457" customWidth="1"/>
    <col min="16" max="16" width="11.85546875" style="457" customWidth="1"/>
    <col min="17" max="17" width="24.7109375" style="457" customWidth="1"/>
    <col min="18" max="18" width="21.5703125" style="457" customWidth="1"/>
    <col min="19" max="19" width="27.28515625" style="457" customWidth="1"/>
    <col min="20" max="20" width="15.85546875" style="457" customWidth="1"/>
    <col min="21" max="16384" width="11.42578125" style="457"/>
  </cols>
  <sheetData>
    <row r="1" spans="1:20" ht="43.5" customHeight="1" x14ac:dyDescent="0.2">
      <c r="A1" s="714" t="s">
        <v>1526</v>
      </c>
      <c r="B1" s="715"/>
      <c r="C1" s="715"/>
      <c r="D1" s="715"/>
      <c r="E1" s="715"/>
      <c r="F1" s="715"/>
      <c r="G1" s="715"/>
      <c r="H1" s="715"/>
      <c r="I1" s="716"/>
    </row>
    <row r="2" spans="1:20" s="463" customFormat="1" ht="47.25" x14ac:dyDescent="0.25">
      <c r="A2" s="503" t="s">
        <v>1525</v>
      </c>
      <c r="B2" s="503" t="s">
        <v>1518</v>
      </c>
      <c r="C2" s="504" t="s">
        <v>1519</v>
      </c>
      <c r="D2" s="504" t="s">
        <v>1520</v>
      </c>
      <c r="E2" s="504" t="s">
        <v>41</v>
      </c>
      <c r="F2" s="504" t="s">
        <v>15</v>
      </c>
      <c r="G2" s="495" t="s">
        <v>41</v>
      </c>
      <c r="H2" s="495" t="s">
        <v>1372</v>
      </c>
      <c r="I2" s="494" t="s">
        <v>41</v>
      </c>
    </row>
    <row r="3" spans="1:20" ht="23.25" customHeight="1" x14ac:dyDescent="0.25">
      <c r="A3" s="458">
        <v>1</v>
      </c>
      <c r="B3" s="459" t="s">
        <v>1</v>
      </c>
      <c r="C3" s="460"/>
      <c r="D3" s="490">
        <f>SUM(D4:D22)</f>
        <v>247237373639.39999</v>
      </c>
      <c r="E3" s="496">
        <f>D3/D3</f>
        <v>1</v>
      </c>
      <c r="F3" s="490">
        <f>SUM(F4:F22)</f>
        <v>228586087776.03329</v>
      </c>
      <c r="G3" s="496">
        <f>F3/D3</f>
        <v>0.9245612198964307</v>
      </c>
      <c r="H3" s="490">
        <f>SUM(H4:H22)</f>
        <v>227679437537.03329</v>
      </c>
      <c r="I3" s="496">
        <f>H3/D3</f>
        <v>0.9208940953607917</v>
      </c>
    </row>
    <row r="4" spans="1:20" ht="44.25" customHeight="1" x14ac:dyDescent="0.2">
      <c r="A4" s="461">
        <v>1</v>
      </c>
      <c r="B4" s="461">
        <v>1202</v>
      </c>
      <c r="C4" s="462" t="s">
        <v>173</v>
      </c>
      <c r="D4" s="491">
        <f>'SGTO POAI 2020'!BG37+'SGTO POAI 2020'!BG77</f>
        <v>115128400</v>
      </c>
      <c r="E4" s="497">
        <f>D4/D4</f>
        <v>1</v>
      </c>
      <c r="F4" s="491">
        <f>'SGTO POAI 2020'!BH37+'SGTO POAI 2020'!BH77</f>
        <v>43593231</v>
      </c>
      <c r="G4" s="497">
        <f>F4/D4</f>
        <v>0.37864880429155623</v>
      </c>
      <c r="H4" s="491">
        <f>'SGTO POAI 2020'!BI37+'SGTO POAI 2020'!BI77</f>
        <v>43593231</v>
      </c>
      <c r="I4" s="497">
        <f>H4/D4</f>
        <v>0.37864880429155623</v>
      </c>
    </row>
    <row r="5" spans="1:20" ht="30" x14ac:dyDescent="0.2">
      <c r="A5" s="461">
        <v>2</v>
      </c>
      <c r="B5" s="461">
        <v>1203</v>
      </c>
      <c r="C5" s="462" t="s">
        <v>295</v>
      </c>
      <c r="D5" s="491">
        <f>'SGTO POAI 2020'!BG79</f>
        <v>15000000</v>
      </c>
      <c r="E5" s="497">
        <f t="shared" ref="E5:E22" si="0">D5/D5</f>
        <v>1</v>
      </c>
      <c r="F5" s="491">
        <f>'SGTO POAI 2020'!BH79</f>
        <v>3620000</v>
      </c>
      <c r="G5" s="497">
        <f t="shared" ref="G5:G22" si="1">F5/D5</f>
        <v>0.24133333333333334</v>
      </c>
      <c r="H5" s="491">
        <f>'SGTO POAI 2020'!BI79</f>
        <v>3620000</v>
      </c>
      <c r="I5" s="497">
        <f t="shared" ref="I5:I22" si="2">H5/D5</f>
        <v>0.24133333333333334</v>
      </c>
      <c r="M5" s="480"/>
      <c r="N5" s="480"/>
      <c r="O5" s="480"/>
      <c r="P5" s="480"/>
      <c r="Q5" s="480"/>
      <c r="R5" s="480"/>
      <c r="S5" s="480"/>
      <c r="T5" s="480"/>
    </row>
    <row r="6" spans="1:20" ht="45" x14ac:dyDescent="0.2">
      <c r="A6" s="461">
        <v>3</v>
      </c>
      <c r="B6" s="461">
        <v>1206</v>
      </c>
      <c r="C6" s="462" t="s">
        <v>302</v>
      </c>
      <c r="D6" s="491">
        <f>'SGTO POAI 2020'!BG81</f>
        <v>15000000</v>
      </c>
      <c r="E6" s="497">
        <f t="shared" si="0"/>
        <v>1</v>
      </c>
      <c r="F6" s="491">
        <f>'SGTO POAI 2020'!BH81</f>
        <v>3886666</v>
      </c>
      <c r="G6" s="497">
        <f t="shared" si="1"/>
        <v>0.25911106666666667</v>
      </c>
      <c r="H6" s="491">
        <f>'SGTO POAI 2020'!BI81</f>
        <v>3886666</v>
      </c>
      <c r="I6" s="497">
        <f t="shared" si="2"/>
        <v>0.25911106666666667</v>
      </c>
      <c r="M6" s="481"/>
      <c r="N6" s="481"/>
      <c r="O6" s="482"/>
      <c r="P6" s="483"/>
      <c r="Q6" s="484"/>
      <c r="R6" s="485"/>
      <c r="S6" s="484"/>
      <c r="T6" s="485"/>
    </row>
    <row r="7" spans="1:20" ht="30" x14ac:dyDescent="0.2">
      <c r="A7" s="461">
        <v>11</v>
      </c>
      <c r="B7" s="461">
        <v>1903</v>
      </c>
      <c r="C7" s="462" t="s">
        <v>976</v>
      </c>
      <c r="D7" s="491">
        <f>'SGTO POAI 2020'!BG266</f>
        <v>3706899934.8600001</v>
      </c>
      <c r="E7" s="497">
        <f t="shared" si="0"/>
        <v>1</v>
      </c>
      <c r="F7" s="491">
        <f>'SGTO POAI 2020'!BH266</f>
        <v>2350788972</v>
      </c>
      <c r="G7" s="497">
        <f t="shared" si="1"/>
        <v>0.63416574855257946</v>
      </c>
      <c r="H7" s="491">
        <f>'SGTO POAI 2020'!BI266</f>
        <v>2317710680</v>
      </c>
      <c r="I7" s="497">
        <f t="shared" si="2"/>
        <v>0.62524231048269008</v>
      </c>
      <c r="J7" s="463"/>
      <c r="M7" s="481"/>
      <c r="N7" s="481"/>
      <c r="O7" s="482"/>
      <c r="P7" s="483"/>
      <c r="Q7" s="484"/>
      <c r="R7" s="485"/>
      <c r="S7" s="484"/>
      <c r="T7" s="485"/>
    </row>
    <row r="8" spans="1:20" x14ac:dyDescent="0.2">
      <c r="A8" s="461">
        <v>12</v>
      </c>
      <c r="B8" s="461">
        <v>1905</v>
      </c>
      <c r="C8" s="462" t="s">
        <v>797</v>
      </c>
      <c r="D8" s="491">
        <f>'SGTO POAI 2020'!BG223+'SGTO POAI 2020'!BG290</f>
        <v>6527893531.2400007</v>
      </c>
      <c r="E8" s="497">
        <f t="shared" si="0"/>
        <v>1</v>
      </c>
      <c r="F8" s="491">
        <f>'SGTO POAI 2020'!BH223+'SGTO POAI 2020'!BH290</f>
        <v>4430225822.3299999</v>
      </c>
      <c r="G8" s="497">
        <f t="shared" si="1"/>
        <v>0.67866085761488515</v>
      </c>
      <c r="H8" s="491">
        <f>'SGTO POAI 2020'!BI223+'SGTO POAI 2020'!BI290</f>
        <v>3929943811.3299999</v>
      </c>
      <c r="I8" s="497">
        <f t="shared" si="2"/>
        <v>0.6020232702207523</v>
      </c>
      <c r="M8" s="481"/>
      <c r="N8" s="481"/>
      <c r="O8" s="482"/>
      <c r="P8" s="483"/>
      <c r="Q8" s="484"/>
      <c r="R8" s="485"/>
      <c r="S8" s="484"/>
      <c r="T8" s="485"/>
    </row>
    <row r="9" spans="1:20" ht="30" x14ac:dyDescent="0.2">
      <c r="A9" s="461">
        <v>13</v>
      </c>
      <c r="B9" s="461">
        <v>1906</v>
      </c>
      <c r="C9" s="462" t="s">
        <v>182</v>
      </c>
      <c r="D9" s="491">
        <f>'SGTO POAI 2020'!BG39+'SGTO POAI 2020'!BG321</f>
        <v>39396019311.220001</v>
      </c>
      <c r="E9" s="497">
        <f t="shared" si="0"/>
        <v>1</v>
      </c>
      <c r="F9" s="491">
        <f>'SGTO POAI 2020'!BH39+'SGTO POAI 2020'!BH321</f>
        <v>36109711863.440002</v>
      </c>
      <c r="G9" s="497">
        <f t="shared" si="1"/>
        <v>0.91658275365795505</v>
      </c>
      <c r="H9" s="491">
        <f>'SGTO POAI 2020'!BI39+'SGTO POAI 2020'!BI321</f>
        <v>36097188363.440002</v>
      </c>
      <c r="I9" s="497">
        <f t="shared" si="2"/>
        <v>0.91626486621097547</v>
      </c>
      <c r="M9" s="481"/>
      <c r="N9" s="481"/>
      <c r="O9" s="482"/>
      <c r="P9" s="483"/>
      <c r="Q9" s="484"/>
      <c r="R9" s="485"/>
      <c r="S9" s="484"/>
      <c r="T9" s="485"/>
    </row>
    <row r="10" spans="1:20" ht="45" x14ac:dyDescent="0.2">
      <c r="A10" s="461">
        <v>15</v>
      </c>
      <c r="B10" s="461">
        <v>2201</v>
      </c>
      <c r="C10" s="462" t="s">
        <v>191</v>
      </c>
      <c r="D10" s="491">
        <f>'SGTO POAI 2020'!BG41+'SGTO POAI 2020'!BG83+'SGTO POAI 2020'!BG196+'SGTO POAI 2020'!BG369</f>
        <v>179429197627.70999</v>
      </c>
      <c r="E10" s="497">
        <f t="shared" si="0"/>
        <v>1</v>
      </c>
      <c r="F10" s="491">
        <f>'SGTO POAI 2020'!BH41+'SGTO POAI 2020'!BH83+'SGTO POAI 2020'!BH196+'SGTO POAI 2020'!BH369</f>
        <v>174859980065.12332</v>
      </c>
      <c r="G10" s="497">
        <f t="shared" si="1"/>
        <v>0.97453470436808654</v>
      </c>
      <c r="H10" s="491">
        <f>'SGTO POAI 2020'!BI41+'SGTO POAI 2020'!BI83+'SGTO POAI 2020'!BI196+'SGTO POAI 2020'!BI369</f>
        <v>174530197395.12332</v>
      </c>
      <c r="I10" s="497">
        <f t="shared" si="2"/>
        <v>0.97269675004203382</v>
      </c>
      <c r="J10" s="463"/>
      <c r="M10" s="486"/>
      <c r="N10" s="480"/>
      <c r="O10" s="487"/>
      <c r="P10" s="483"/>
      <c r="Q10" s="487"/>
      <c r="R10" s="483"/>
      <c r="S10" s="487"/>
      <c r="T10" s="485"/>
    </row>
    <row r="11" spans="1:20" ht="60" x14ac:dyDescent="0.2">
      <c r="A11" s="461">
        <v>16</v>
      </c>
      <c r="B11" s="461">
        <v>2301</v>
      </c>
      <c r="C11" s="462" t="s">
        <v>1212</v>
      </c>
      <c r="D11" s="491">
        <f>'SGTO POAI 2020'!BG331</f>
        <v>200000000</v>
      </c>
      <c r="E11" s="497">
        <f t="shared" si="0"/>
        <v>1</v>
      </c>
      <c r="F11" s="491">
        <f>'SGTO POAI 2020'!BH331</f>
        <v>189971698</v>
      </c>
      <c r="G11" s="497">
        <f t="shared" si="1"/>
        <v>0.94985849</v>
      </c>
      <c r="H11" s="491">
        <f>'SGTO POAI 2020'!BI331</f>
        <v>189971698</v>
      </c>
      <c r="I11" s="497">
        <f t="shared" si="2"/>
        <v>0.94985849</v>
      </c>
    </row>
    <row r="12" spans="1:20" ht="60" x14ac:dyDescent="0.2">
      <c r="A12" s="461">
        <v>17</v>
      </c>
      <c r="B12" s="461">
        <v>2302</v>
      </c>
      <c r="C12" s="462" t="s">
        <v>1224</v>
      </c>
      <c r="D12" s="491">
        <f>'SGTO POAI 2020'!BG334</f>
        <v>7164000</v>
      </c>
      <c r="E12" s="497">
        <f t="shared" si="0"/>
        <v>1</v>
      </c>
      <c r="F12" s="491">
        <f>'SGTO POAI 2020'!BH334</f>
        <v>6628000</v>
      </c>
      <c r="G12" s="497">
        <f t="shared" si="1"/>
        <v>0.9251814628699051</v>
      </c>
      <c r="H12" s="491">
        <f>'SGTO POAI 2020'!BI334</f>
        <v>6628000</v>
      </c>
      <c r="I12" s="497">
        <f t="shared" si="2"/>
        <v>0.9251814628699051</v>
      </c>
    </row>
    <row r="13" spans="1:20" ht="30" x14ac:dyDescent="0.2">
      <c r="A13" s="461">
        <v>25</v>
      </c>
      <c r="B13" s="461">
        <v>3301</v>
      </c>
      <c r="C13" s="462" t="s">
        <v>201</v>
      </c>
      <c r="D13" s="491">
        <f>'SGTO POAI 2020'!BG43+'SGTO POAI 2020'!BG114+'SGTO POAI 2020'!BG226</f>
        <v>2727601771.02</v>
      </c>
      <c r="E13" s="497">
        <f t="shared" si="0"/>
        <v>1</v>
      </c>
      <c r="F13" s="491">
        <f>'SGTO POAI 2020'!BH43+'SGTO POAI 2020'!BH114+'SGTO POAI 2020'!BH226</f>
        <v>1270548492.8299999</v>
      </c>
      <c r="G13" s="497">
        <f t="shared" si="1"/>
        <v>0.46581158082870439</v>
      </c>
      <c r="H13" s="491">
        <f>'SGTO POAI 2020'!BI43+'SGTO POAI 2020'!BI114+'SGTO POAI 2020'!BI226</f>
        <v>1270548492.8299999</v>
      </c>
      <c r="I13" s="497">
        <f t="shared" si="2"/>
        <v>0.46581158082870439</v>
      </c>
    </row>
    <row r="14" spans="1:20" ht="45" x14ac:dyDescent="0.2">
      <c r="A14" s="461">
        <v>26</v>
      </c>
      <c r="B14" s="464">
        <v>3302</v>
      </c>
      <c r="C14" s="462" t="s">
        <v>439</v>
      </c>
      <c r="D14" s="491">
        <f>'SGTO POAI 2020'!BG121</f>
        <v>405194764.30000001</v>
      </c>
      <c r="E14" s="497">
        <f t="shared" si="0"/>
        <v>1</v>
      </c>
      <c r="F14" s="491">
        <f>'SGTO POAI 2020'!BH121</f>
        <v>376520000</v>
      </c>
      <c r="G14" s="497">
        <f t="shared" si="1"/>
        <v>0.92923214506599683</v>
      </c>
      <c r="H14" s="491">
        <f>'SGTO POAI 2020'!BI121</f>
        <v>376520000</v>
      </c>
      <c r="I14" s="497">
        <f t="shared" si="2"/>
        <v>0.92923214506599683</v>
      </c>
    </row>
    <row r="15" spans="1:20" ht="30" x14ac:dyDescent="0.2">
      <c r="A15" s="461">
        <v>35</v>
      </c>
      <c r="B15" s="461">
        <v>4101</v>
      </c>
      <c r="C15" s="462" t="s">
        <v>313</v>
      </c>
      <c r="D15" s="491">
        <f>'SGTO POAI 2020'!BG85</f>
        <v>522730761</v>
      </c>
      <c r="E15" s="497">
        <f t="shared" si="0"/>
        <v>1</v>
      </c>
      <c r="F15" s="491">
        <f>'SGTO POAI 2020'!BH85</f>
        <v>181023648</v>
      </c>
      <c r="G15" s="497">
        <f t="shared" si="1"/>
        <v>0.34630379825686208</v>
      </c>
      <c r="H15" s="491">
        <f>'SGTO POAI 2020'!BI85</f>
        <v>181023648</v>
      </c>
      <c r="I15" s="497">
        <f t="shared" si="2"/>
        <v>0.34630379825686208</v>
      </c>
    </row>
    <row r="16" spans="1:20" ht="45" x14ac:dyDescent="0.2">
      <c r="A16" s="461">
        <v>36</v>
      </c>
      <c r="B16" s="461">
        <v>4102</v>
      </c>
      <c r="C16" s="462" t="s">
        <v>815</v>
      </c>
      <c r="D16" s="491">
        <f>'SGTO POAI 2020'!BG228</f>
        <v>687297832</v>
      </c>
      <c r="E16" s="497">
        <f t="shared" si="0"/>
        <v>1</v>
      </c>
      <c r="F16" s="491">
        <f>'SGTO POAI 2020'!BH228</f>
        <v>576237043</v>
      </c>
      <c r="G16" s="497">
        <f t="shared" si="1"/>
        <v>0.83840951647291095</v>
      </c>
      <c r="H16" s="491">
        <f>'SGTO POAI 2020'!BI228</f>
        <v>576237043</v>
      </c>
      <c r="I16" s="497">
        <f t="shared" si="2"/>
        <v>0.83840951647291095</v>
      </c>
    </row>
    <row r="17" spans="1:9" ht="45" x14ac:dyDescent="0.2">
      <c r="A17" s="461">
        <v>37</v>
      </c>
      <c r="B17" s="461">
        <v>4103</v>
      </c>
      <c r="C17" s="462" t="s">
        <v>340</v>
      </c>
      <c r="D17" s="491">
        <f>'SGTO POAI 2020'!BG91+'SGTO POAI 2020'!BG237</f>
        <v>248758667</v>
      </c>
      <c r="E17" s="497">
        <f t="shared" si="0"/>
        <v>1</v>
      </c>
      <c r="F17" s="491">
        <f>'SGTO POAI 2020'!BH237+'SGTO POAI 2020'!BH91</f>
        <v>172830615</v>
      </c>
      <c r="G17" s="497">
        <f t="shared" si="1"/>
        <v>0.69477223481021466</v>
      </c>
      <c r="H17" s="491">
        <f>'SGTO POAI 2020'!BI91+'SGTO POAI 2020'!BI237</f>
        <v>172830615</v>
      </c>
      <c r="I17" s="497">
        <f t="shared" si="2"/>
        <v>0.69477223481021466</v>
      </c>
    </row>
    <row r="18" spans="1:9" ht="45" x14ac:dyDescent="0.2">
      <c r="A18" s="461">
        <v>38</v>
      </c>
      <c r="B18" s="461">
        <v>4104</v>
      </c>
      <c r="C18" s="462" t="s">
        <v>904</v>
      </c>
      <c r="D18" s="491">
        <f>'SGTO POAI 2020'!BG245</f>
        <v>4791979434.3899994</v>
      </c>
      <c r="E18" s="497">
        <f t="shared" si="0"/>
        <v>1</v>
      </c>
      <c r="F18" s="491">
        <f>'SGTO POAI 2020'!BH245</f>
        <v>3978590596</v>
      </c>
      <c r="G18" s="497">
        <f t="shared" si="1"/>
        <v>0.83026036536120051</v>
      </c>
      <c r="H18" s="491">
        <f>'SGTO POAI 2020'!BI245</f>
        <v>3978590596</v>
      </c>
      <c r="I18" s="497">
        <f t="shared" si="2"/>
        <v>0.83026036536120051</v>
      </c>
    </row>
    <row r="19" spans="1:9" ht="30" x14ac:dyDescent="0.2">
      <c r="A19" s="461">
        <v>39</v>
      </c>
      <c r="B19" s="461">
        <v>4301</v>
      </c>
      <c r="C19" s="462" t="s">
        <v>209</v>
      </c>
      <c r="D19" s="491">
        <f>'SGTO POAI 2020'!BG45+'SGTO POAI 2020'!BG348+'SGTO POAI 2020'!BG367</f>
        <v>4426881630.0699997</v>
      </c>
      <c r="E19" s="497">
        <f t="shared" si="0"/>
        <v>1</v>
      </c>
      <c r="F19" s="491">
        <f>'SGTO POAI 2020'!BH45+'SGTO POAI 2020'!BH348+'SGTO POAI 2020'!BH367</f>
        <v>2719638746.3099999</v>
      </c>
      <c r="G19" s="497">
        <f t="shared" si="1"/>
        <v>0.61434638952995813</v>
      </c>
      <c r="H19" s="491">
        <f>'SGTO POAI 2020'!BI45+'SGTO POAI 2020'!BI348+'SGTO POAI 2020'!BI367</f>
        <v>2688654980.3099999</v>
      </c>
      <c r="I19" s="497">
        <f t="shared" si="2"/>
        <v>0.60734738467978544</v>
      </c>
    </row>
    <row r="20" spans="1:9" ht="39.75" customHeight="1" x14ac:dyDescent="0.2">
      <c r="A20" s="461">
        <v>40</v>
      </c>
      <c r="B20" s="461">
        <v>4302</v>
      </c>
      <c r="C20" s="462" t="s">
        <v>216</v>
      </c>
      <c r="D20" s="491">
        <f>'SGTO POAI 2020'!BG47+'SGTO POAI 2020'!BG361</f>
        <v>1329713916.5799999</v>
      </c>
      <c r="E20" s="497">
        <f t="shared" si="0"/>
        <v>1</v>
      </c>
      <c r="F20" s="491">
        <f>'SGTO POAI 2020'!BH47+'SGTO POAI 2020'!BH361</f>
        <v>791137707</v>
      </c>
      <c r="G20" s="497">
        <f t="shared" si="1"/>
        <v>0.59496835908493151</v>
      </c>
      <c r="H20" s="491">
        <f>'SGTO POAI 2020'!BI47+'SGTO POAI 2020'!BI361</f>
        <v>791137707</v>
      </c>
      <c r="I20" s="497">
        <f t="shared" si="2"/>
        <v>0.59496835908493151</v>
      </c>
    </row>
    <row r="21" spans="1:9" ht="30" x14ac:dyDescent="0.2">
      <c r="A21" s="461">
        <v>41</v>
      </c>
      <c r="B21" s="461">
        <f>'SGTO POAI 2020'!D93</f>
        <v>4501</v>
      </c>
      <c r="C21" s="462" t="s">
        <v>348</v>
      </c>
      <c r="D21" s="491">
        <f>'SGTO POAI 2020'!BG93+'SGTO POAI 2020'!BG255</f>
        <v>2441073558.0099998</v>
      </c>
      <c r="E21" s="497">
        <f t="shared" si="0"/>
        <v>1</v>
      </c>
      <c r="F21" s="491">
        <f>'SGTO POAI 2020'!BH93+'SGTO POAI 2020'!BH255</f>
        <v>306466465</v>
      </c>
      <c r="G21" s="497">
        <f t="shared" si="1"/>
        <v>0.12554577226662358</v>
      </c>
      <c r="H21" s="491">
        <f>'SGTO POAI 2020'!BI93+'SGTO POAI 2020'!BI255</f>
        <v>306466465</v>
      </c>
      <c r="I21" s="497">
        <f t="shared" si="2"/>
        <v>0.12554577226662358</v>
      </c>
    </row>
    <row r="22" spans="1:9" ht="45" x14ac:dyDescent="0.2">
      <c r="A22" s="461">
        <v>44</v>
      </c>
      <c r="B22" s="461" t="s">
        <v>1379</v>
      </c>
      <c r="C22" s="462" t="s">
        <v>786</v>
      </c>
      <c r="D22" s="491">
        <f>'SGTO POAI 2020'!BG218</f>
        <v>243838500</v>
      </c>
      <c r="E22" s="497">
        <f t="shared" si="0"/>
        <v>1</v>
      </c>
      <c r="F22" s="491">
        <f>'SGTO POAI 2020'!BH218</f>
        <v>214688145</v>
      </c>
      <c r="G22" s="497">
        <f t="shared" si="1"/>
        <v>0.88045220504555266</v>
      </c>
      <c r="H22" s="491">
        <f>'SGTO POAI 2020'!BI218</f>
        <v>214688145</v>
      </c>
      <c r="I22" s="497">
        <f t="shared" si="2"/>
        <v>0.88045220504555266</v>
      </c>
    </row>
    <row r="23" spans="1:9" ht="22.5" customHeight="1" x14ac:dyDescent="0.25">
      <c r="A23" s="458">
        <v>2</v>
      </c>
      <c r="B23" s="459" t="s">
        <v>2</v>
      </c>
      <c r="C23" s="465"/>
      <c r="D23" s="490">
        <f>SUM(D24:D37)</f>
        <v>3847235864.8199997</v>
      </c>
      <c r="E23" s="496">
        <f>D23/D23</f>
        <v>1</v>
      </c>
      <c r="F23" s="490">
        <f>SUM(F24:F37)</f>
        <v>2539730970</v>
      </c>
      <c r="G23" s="496">
        <f>F23/D23</f>
        <v>0.66014433719124888</v>
      </c>
      <c r="H23" s="490">
        <f>SUM(H24:H37)</f>
        <v>2539730970</v>
      </c>
      <c r="I23" s="496">
        <f>H23/D23</f>
        <v>0.66014433719124888</v>
      </c>
    </row>
    <row r="24" spans="1:9" ht="45" x14ac:dyDescent="0.2">
      <c r="A24" s="461">
        <v>4</v>
      </c>
      <c r="B24" s="461">
        <v>1702</v>
      </c>
      <c r="C24" s="462" t="s">
        <v>511</v>
      </c>
      <c r="D24" s="491">
        <f>'SGTO POAI 2020'!BG142</f>
        <v>680027523.97000003</v>
      </c>
      <c r="E24" s="497">
        <f t="shared" ref="E24:E37" si="3">D24/D24</f>
        <v>1</v>
      </c>
      <c r="F24" s="491">
        <f>'SGTO POAI 2020'!BH142</f>
        <v>355571644</v>
      </c>
      <c r="G24" s="497">
        <f t="shared" ref="G24:G37" si="4">F24/D24</f>
        <v>0.52287831222503034</v>
      </c>
      <c r="H24" s="491">
        <f>'SGTO POAI 2020'!BI142</f>
        <v>355571644</v>
      </c>
      <c r="I24" s="497">
        <f t="shared" ref="I24:I37" si="5">H24/D24</f>
        <v>0.52287831222503034</v>
      </c>
    </row>
    <row r="25" spans="1:9" ht="45" x14ac:dyDescent="0.2">
      <c r="A25" s="461">
        <v>5</v>
      </c>
      <c r="B25" s="461">
        <v>1703</v>
      </c>
      <c r="C25" s="462" t="s">
        <v>572</v>
      </c>
      <c r="D25" s="491">
        <f>'SGTO POAI 2020'!BG154</f>
        <v>40000000</v>
      </c>
      <c r="E25" s="497">
        <f t="shared" si="3"/>
        <v>1</v>
      </c>
      <c r="F25" s="491">
        <f>'SGTO POAI 2020'!BH154</f>
        <v>15424999</v>
      </c>
      <c r="G25" s="497">
        <f t="shared" si="4"/>
        <v>0.38562497499999998</v>
      </c>
      <c r="H25" s="491">
        <f>'SGTO POAI 2020'!BI154</f>
        <v>15424999</v>
      </c>
      <c r="I25" s="497">
        <f t="shared" si="5"/>
        <v>0.38562497499999998</v>
      </c>
    </row>
    <row r="26" spans="1:9" ht="30" x14ac:dyDescent="0.2">
      <c r="A26" s="464">
        <v>6</v>
      </c>
      <c r="B26" s="461">
        <v>1704</v>
      </c>
      <c r="C26" s="462" t="s">
        <v>578</v>
      </c>
      <c r="D26" s="491">
        <f>'SGTO POAI 2020'!BG156</f>
        <v>40000000</v>
      </c>
      <c r="E26" s="497">
        <f t="shared" si="3"/>
        <v>1</v>
      </c>
      <c r="F26" s="491">
        <f>'SGTO POAI 2020'!BH156</f>
        <v>39606648</v>
      </c>
      <c r="G26" s="497">
        <f t="shared" si="4"/>
        <v>0.9901662</v>
      </c>
      <c r="H26" s="491">
        <f>'SGTO POAI 2020'!BI156</f>
        <v>39606648</v>
      </c>
      <c r="I26" s="497">
        <f t="shared" si="5"/>
        <v>0.9901662</v>
      </c>
    </row>
    <row r="27" spans="1:9" ht="30" x14ac:dyDescent="0.2">
      <c r="A27" s="464">
        <v>7</v>
      </c>
      <c r="B27" s="461">
        <v>1706</v>
      </c>
      <c r="C27" s="462" t="s">
        <v>591</v>
      </c>
      <c r="D27" s="491">
        <f>'SGTO POAI 2020'!BG159</f>
        <v>12800000</v>
      </c>
      <c r="E27" s="497">
        <f t="shared" si="3"/>
        <v>1</v>
      </c>
      <c r="F27" s="491">
        <f>'SGTO POAI 2020'!BH159</f>
        <v>5000000</v>
      </c>
      <c r="G27" s="497">
        <f t="shared" si="4"/>
        <v>0.390625</v>
      </c>
      <c r="H27" s="491">
        <f>'SGTO POAI 2020'!BI159</f>
        <v>5000000</v>
      </c>
      <c r="I27" s="497">
        <f t="shared" si="5"/>
        <v>0.390625</v>
      </c>
    </row>
    <row r="28" spans="1:9" ht="30" x14ac:dyDescent="0.2">
      <c r="A28" s="464">
        <v>8</v>
      </c>
      <c r="B28" s="461">
        <v>1707</v>
      </c>
      <c r="C28" s="462" t="s">
        <v>597</v>
      </c>
      <c r="D28" s="491">
        <f>'SGTO POAI 2020'!BG161</f>
        <v>50000000</v>
      </c>
      <c r="E28" s="497">
        <f t="shared" si="3"/>
        <v>1</v>
      </c>
      <c r="F28" s="491">
        <f>'SGTO POAI 2020'!BH161</f>
        <v>47223333</v>
      </c>
      <c r="G28" s="497">
        <f t="shared" si="4"/>
        <v>0.94446666000000001</v>
      </c>
      <c r="H28" s="491">
        <f>'SGTO POAI 2020'!BI161</f>
        <v>47223333</v>
      </c>
      <c r="I28" s="497">
        <f t="shared" si="5"/>
        <v>0.94446666000000001</v>
      </c>
    </row>
    <row r="29" spans="1:9" ht="30" x14ac:dyDescent="0.2">
      <c r="A29" s="464">
        <v>9</v>
      </c>
      <c r="B29" s="461">
        <v>1708</v>
      </c>
      <c r="C29" s="462" t="s">
        <v>603</v>
      </c>
      <c r="D29" s="491">
        <f>'SGTO POAI 2020'!BG163</f>
        <v>30519269</v>
      </c>
      <c r="E29" s="497">
        <f t="shared" si="3"/>
        <v>1</v>
      </c>
      <c r="F29" s="491">
        <f>'SGTO POAI 2020'!BH163</f>
        <v>25366665</v>
      </c>
      <c r="G29" s="497">
        <f t="shared" si="4"/>
        <v>0.83116882648794765</v>
      </c>
      <c r="H29" s="491">
        <f>'SGTO POAI 2020'!BI163</f>
        <v>25366665</v>
      </c>
      <c r="I29" s="497">
        <f t="shared" si="5"/>
        <v>0.83116882648794765</v>
      </c>
    </row>
    <row r="30" spans="1:9" ht="30" x14ac:dyDescent="0.2">
      <c r="A30" s="464">
        <v>10</v>
      </c>
      <c r="B30" s="461">
        <v>1709</v>
      </c>
      <c r="C30" s="462" t="s">
        <v>220</v>
      </c>
      <c r="D30" s="491">
        <f>'SGTO POAI 2020'!BG50+'SGTO POAI 2020'!BG166</f>
        <v>77000000</v>
      </c>
      <c r="E30" s="497">
        <f t="shared" si="3"/>
        <v>1</v>
      </c>
      <c r="F30" s="491">
        <f>'SGTO POAI 2020'!BH50+'SGTO POAI 2020'!BH166</f>
        <v>67845000</v>
      </c>
      <c r="G30" s="497">
        <f t="shared" si="4"/>
        <v>0.88110389610389606</v>
      </c>
      <c r="H30" s="491">
        <f>'SGTO POAI 2020'!BI50+'SGTO POAI 2020'!BI166</f>
        <v>67845000</v>
      </c>
      <c r="I30" s="497">
        <f t="shared" si="5"/>
        <v>0.88110389610389606</v>
      </c>
    </row>
    <row r="31" spans="1:9" ht="30" x14ac:dyDescent="0.2">
      <c r="A31" s="461">
        <v>14</v>
      </c>
      <c r="B31" s="461">
        <v>2102</v>
      </c>
      <c r="C31" s="462" t="s">
        <v>1521</v>
      </c>
      <c r="D31" s="491">
        <v>0</v>
      </c>
      <c r="E31" s="491">
        <v>0</v>
      </c>
      <c r="F31" s="491">
        <v>0</v>
      </c>
      <c r="G31" s="491">
        <v>0</v>
      </c>
      <c r="H31" s="491">
        <v>0</v>
      </c>
      <c r="I31" s="491">
        <v>0</v>
      </c>
    </row>
    <row r="32" spans="1:9" ht="30" x14ac:dyDescent="0.2">
      <c r="A32" s="461">
        <v>27</v>
      </c>
      <c r="B32" s="461">
        <v>3502</v>
      </c>
      <c r="C32" s="462" t="s">
        <v>228</v>
      </c>
      <c r="D32" s="491">
        <f>'SGTO POAI 2020'!BG52+'SGTO POAI 2020'!BG126+'SGTO POAI 2020'!BG169</f>
        <v>1584204071.8499999</v>
      </c>
      <c r="E32" s="497">
        <f t="shared" si="3"/>
        <v>1</v>
      </c>
      <c r="F32" s="491">
        <f>'SGTO POAI 2020'!BH52+'SGTO POAI 2020'!BH126+'SGTO POAI 2020'!BH169</f>
        <v>806257883</v>
      </c>
      <c r="G32" s="497">
        <f t="shared" si="4"/>
        <v>0.50893562093832345</v>
      </c>
      <c r="H32" s="491">
        <f>'SGTO POAI 2020'!BI52+'SGTO POAI 2020'!BI126+'SGTO POAI 2020'!BI169</f>
        <v>806257883</v>
      </c>
      <c r="I32" s="497">
        <f t="shared" si="5"/>
        <v>0.50893562093832345</v>
      </c>
    </row>
    <row r="33" spans="1:9" ht="30" x14ac:dyDescent="0.2">
      <c r="A33" s="461">
        <v>28</v>
      </c>
      <c r="B33" s="461">
        <v>3602</v>
      </c>
      <c r="C33" s="462" t="s">
        <v>491</v>
      </c>
      <c r="D33" s="491">
        <f>'SGTO POAI 2020'!BG135</f>
        <v>1235685000</v>
      </c>
      <c r="E33" s="497">
        <f t="shared" si="3"/>
        <v>1</v>
      </c>
      <c r="F33" s="491">
        <f>'SGTO POAI 2020'!BH135</f>
        <v>1126359998</v>
      </c>
      <c r="G33" s="497">
        <f t="shared" si="4"/>
        <v>0.91152680335198699</v>
      </c>
      <c r="H33" s="491">
        <f>'SGTO POAI 2020'!BI135</f>
        <v>1126359998</v>
      </c>
      <c r="I33" s="497">
        <f t="shared" si="5"/>
        <v>0.91152680335198699</v>
      </c>
    </row>
    <row r="34" spans="1:9" ht="30" x14ac:dyDescent="0.2">
      <c r="A34" s="461">
        <v>29</v>
      </c>
      <c r="B34" s="461">
        <v>3604</v>
      </c>
      <c r="C34" s="462" t="s">
        <v>964</v>
      </c>
      <c r="D34" s="491">
        <f>'SGTO POAI 2020'!BG259</f>
        <v>25000000</v>
      </c>
      <c r="E34" s="497">
        <f t="shared" si="3"/>
        <v>1</v>
      </c>
      <c r="F34" s="491">
        <f>'SGTO POAI 2020'!BH259</f>
        <v>0</v>
      </c>
      <c r="G34" s="497">
        <f t="shared" si="4"/>
        <v>0</v>
      </c>
      <c r="H34" s="491">
        <f>'SGTO POAI 2020'!BI259</f>
        <v>0</v>
      </c>
      <c r="I34" s="497">
        <f t="shared" si="5"/>
        <v>0</v>
      </c>
    </row>
    <row r="35" spans="1:9" ht="44.25" customHeight="1" x14ac:dyDescent="0.2">
      <c r="A35" s="461">
        <v>30</v>
      </c>
      <c r="B35" s="461">
        <v>3902</v>
      </c>
      <c r="C35" s="462" t="s">
        <v>1522</v>
      </c>
      <c r="D35" s="491">
        <v>0</v>
      </c>
      <c r="E35" s="491">
        <v>0</v>
      </c>
      <c r="F35" s="491">
        <v>0</v>
      </c>
      <c r="G35" s="491">
        <v>0</v>
      </c>
      <c r="H35" s="491">
        <v>0</v>
      </c>
      <c r="I35" s="491">
        <v>0</v>
      </c>
    </row>
    <row r="36" spans="1:9" ht="30" x14ac:dyDescent="0.2">
      <c r="A36" s="461">
        <v>31</v>
      </c>
      <c r="B36" s="461" t="s">
        <v>1232</v>
      </c>
      <c r="C36" s="462" t="s">
        <v>1233</v>
      </c>
      <c r="D36" s="491">
        <f>'SGTO POAI 2020'!BG337</f>
        <v>54000000</v>
      </c>
      <c r="E36" s="497">
        <f t="shared" si="3"/>
        <v>1</v>
      </c>
      <c r="F36" s="491">
        <f>'SGTO POAI 2020'!BH337</f>
        <v>51074800</v>
      </c>
      <c r="G36" s="497">
        <f t="shared" si="4"/>
        <v>0.94582962962962958</v>
      </c>
      <c r="H36" s="491">
        <f>'SGTO POAI 2020'!BI337</f>
        <v>51074800</v>
      </c>
      <c r="I36" s="497">
        <f t="shared" si="5"/>
        <v>0.94582962962962958</v>
      </c>
    </row>
    <row r="37" spans="1:9" ht="30" x14ac:dyDescent="0.2">
      <c r="A37" s="461">
        <v>32</v>
      </c>
      <c r="B37" s="461" t="s">
        <v>1523</v>
      </c>
      <c r="C37" s="462" t="s">
        <v>1241</v>
      </c>
      <c r="D37" s="491">
        <f>'SGTO POAI 2020'!BG339</f>
        <v>18000000</v>
      </c>
      <c r="E37" s="497">
        <f t="shared" si="3"/>
        <v>1</v>
      </c>
      <c r="F37" s="491">
        <f>'SGTO POAI 2020'!BH339</f>
        <v>0</v>
      </c>
      <c r="G37" s="497">
        <f t="shared" si="4"/>
        <v>0</v>
      </c>
      <c r="H37" s="491">
        <f>'SGTO POAI 2020'!BI339</f>
        <v>0</v>
      </c>
      <c r="I37" s="497">
        <f t="shared" si="5"/>
        <v>0</v>
      </c>
    </row>
    <row r="38" spans="1:9" x14ac:dyDescent="0.25">
      <c r="A38" s="458">
        <v>3</v>
      </c>
      <c r="B38" s="459" t="s">
        <v>3</v>
      </c>
      <c r="C38" s="465"/>
      <c r="D38" s="490">
        <f>SUM(D39:D48)</f>
        <v>5864049290.6600008</v>
      </c>
      <c r="E38" s="496">
        <f>D38/D38</f>
        <v>1</v>
      </c>
      <c r="F38" s="490">
        <f>SUM(F39:F48)</f>
        <v>4459377780.8500004</v>
      </c>
      <c r="G38" s="496">
        <f>F38/D38</f>
        <v>0.76046048725284432</v>
      </c>
      <c r="H38" s="490">
        <f>SUM(H39:H48)</f>
        <v>4378469713.8500004</v>
      </c>
      <c r="I38" s="496">
        <f>H38/D38</f>
        <v>0.74666318388964326</v>
      </c>
    </row>
    <row r="39" spans="1:9" ht="30" x14ac:dyDescent="0.2">
      <c r="A39" s="461">
        <v>18</v>
      </c>
      <c r="B39" s="461">
        <v>2402</v>
      </c>
      <c r="C39" s="462" t="s">
        <v>233</v>
      </c>
      <c r="D39" s="491">
        <f>'SGTO POAI 2020'!BG55+'SGTO POAI 2020'!BG372</f>
        <v>987305413.94000006</v>
      </c>
      <c r="E39" s="497">
        <f t="shared" ref="E39:E48" si="6">D39/D39</f>
        <v>1</v>
      </c>
      <c r="F39" s="491">
        <f>'SGTO POAI 2020'!BH55+'SGTO POAI 2020'!BH372</f>
        <v>614858903.37</v>
      </c>
      <c r="G39" s="497">
        <f t="shared" ref="G39:G48" si="7">F39/D39</f>
        <v>0.62276464272216159</v>
      </c>
      <c r="H39" s="491">
        <f>'SGTO POAI 2020'!BI55+'SGTO POAI 2020'!BI372</f>
        <v>543750836.37</v>
      </c>
      <c r="I39" s="497">
        <f t="shared" ref="I39:I48" si="8">H39/D39</f>
        <v>0.5507422816614318</v>
      </c>
    </row>
    <row r="40" spans="1:9" ht="30" customHeight="1" x14ac:dyDescent="0.2">
      <c r="A40" s="461">
        <v>19</v>
      </c>
      <c r="B40" s="461">
        <v>2409</v>
      </c>
      <c r="C40" s="462" t="s">
        <v>1319</v>
      </c>
      <c r="D40" s="491">
        <f>'SGTO POAI 2020'!BG384</f>
        <v>107000000</v>
      </c>
      <c r="E40" s="497">
        <f t="shared" si="6"/>
        <v>1</v>
      </c>
      <c r="F40" s="491">
        <f>'SGTO POAI 2020'!BH384</f>
        <v>52352000</v>
      </c>
      <c r="G40" s="497">
        <f t="shared" si="7"/>
        <v>0.4892710280373832</v>
      </c>
      <c r="H40" s="491">
        <f>'SGTO POAI 2020'!BI384</f>
        <v>52352000</v>
      </c>
      <c r="I40" s="497">
        <f t="shared" si="8"/>
        <v>0.4892710280373832</v>
      </c>
    </row>
    <row r="41" spans="1:9" ht="45" x14ac:dyDescent="0.2">
      <c r="A41" s="461">
        <v>20</v>
      </c>
      <c r="B41" s="461" t="s">
        <v>626</v>
      </c>
      <c r="C41" s="462" t="s">
        <v>627</v>
      </c>
      <c r="D41" s="491">
        <f>'SGTO POAI 2020'!BG173</f>
        <v>40000000</v>
      </c>
      <c r="E41" s="497">
        <f t="shared" si="6"/>
        <v>1</v>
      </c>
      <c r="F41" s="491">
        <f>'SGTO POAI 2020'!BH173</f>
        <v>17400000</v>
      </c>
      <c r="G41" s="497">
        <f t="shared" si="7"/>
        <v>0.435</v>
      </c>
      <c r="H41" s="491">
        <f>'SGTO POAI 2020'!BI173</f>
        <v>17400000</v>
      </c>
      <c r="I41" s="497">
        <f t="shared" si="8"/>
        <v>0.435</v>
      </c>
    </row>
    <row r="42" spans="1:9" ht="30" x14ac:dyDescent="0.2">
      <c r="A42" s="461">
        <v>21</v>
      </c>
      <c r="B42" s="461" t="s">
        <v>240</v>
      </c>
      <c r="C42" s="462" t="s">
        <v>241</v>
      </c>
      <c r="D42" s="491">
        <f>'SGTO POAI 2020'!BG58+'SGTO POAI 2020'!BG175</f>
        <v>601049867</v>
      </c>
      <c r="E42" s="497">
        <f t="shared" si="6"/>
        <v>1</v>
      </c>
      <c r="F42" s="491">
        <f>'SGTO POAI 2020'!BH58+'SGTO POAI 2020'!BH175</f>
        <v>248918329</v>
      </c>
      <c r="G42" s="497">
        <f t="shared" si="7"/>
        <v>0.41413922981535239</v>
      </c>
      <c r="H42" s="491">
        <f>'SGTO POAI 2020'!BI58+'SGTO POAI 2020'!BI175</f>
        <v>239118329</v>
      </c>
      <c r="I42" s="497">
        <f t="shared" si="8"/>
        <v>0.39783442627398502</v>
      </c>
    </row>
    <row r="43" spans="1:9" ht="30" x14ac:dyDescent="0.2">
      <c r="A43" s="464">
        <v>22</v>
      </c>
      <c r="B43" s="461" t="s">
        <v>663</v>
      </c>
      <c r="C43" s="462" t="s">
        <v>664</v>
      </c>
      <c r="D43" s="491">
        <f>'SGTO POAI 2020'!BG181</f>
        <v>26000000</v>
      </c>
      <c r="E43" s="497">
        <f t="shared" si="6"/>
        <v>1</v>
      </c>
      <c r="F43" s="491">
        <f>'SGTO POAI 2020'!BH181</f>
        <v>14933333</v>
      </c>
      <c r="G43" s="497">
        <f t="shared" si="7"/>
        <v>0.57435896153846155</v>
      </c>
      <c r="H43" s="491">
        <f>'SGTO POAI 2020'!BI181</f>
        <v>14933333</v>
      </c>
      <c r="I43" s="497">
        <f t="shared" si="8"/>
        <v>0.57435896153846155</v>
      </c>
    </row>
    <row r="44" spans="1:9" ht="30" x14ac:dyDescent="0.2">
      <c r="A44" s="464">
        <v>23</v>
      </c>
      <c r="B44" s="461">
        <v>3205</v>
      </c>
      <c r="C44" s="462" t="s">
        <v>246</v>
      </c>
      <c r="D44" s="491">
        <f>'SGTO POAI 2020'!BG60+'SGTO POAI 2020'!BG98+'SGTO POAI 2020'!BG183</f>
        <v>258063334</v>
      </c>
      <c r="E44" s="497">
        <f t="shared" si="6"/>
        <v>1</v>
      </c>
      <c r="F44" s="491">
        <f>'SGTO POAI 2020'!BH60+'SGTO POAI 2020'!BH98+'SGTO POAI 2020'!BH183</f>
        <v>54237317</v>
      </c>
      <c r="G44" s="497">
        <f t="shared" si="7"/>
        <v>0.21017056611382073</v>
      </c>
      <c r="H44" s="491">
        <f>'SGTO POAI 2020'!BI60+'SGTO POAI 2020'!BI98+'SGTO POAI 2020'!BI183</f>
        <v>54237317</v>
      </c>
      <c r="I44" s="497">
        <f t="shared" si="8"/>
        <v>0.21017056611382073</v>
      </c>
    </row>
    <row r="45" spans="1:9" ht="45" x14ac:dyDescent="0.2">
      <c r="A45" s="464">
        <v>24</v>
      </c>
      <c r="B45" s="461" t="s">
        <v>676</v>
      </c>
      <c r="C45" s="462" t="s">
        <v>677</v>
      </c>
      <c r="D45" s="491">
        <f>'SGTO POAI 2020'!BG185</f>
        <v>20000000</v>
      </c>
      <c r="E45" s="497">
        <f t="shared" si="6"/>
        <v>1</v>
      </c>
      <c r="F45" s="491">
        <f>'SGTO POAI 2020'!BH185</f>
        <v>20000000</v>
      </c>
      <c r="G45" s="497">
        <f t="shared" si="7"/>
        <v>1</v>
      </c>
      <c r="H45" s="491">
        <f>'SGTO POAI 2020'!BI185</f>
        <v>20000000</v>
      </c>
      <c r="I45" s="497">
        <f t="shared" si="8"/>
        <v>1</v>
      </c>
    </row>
    <row r="46" spans="1:9" ht="30" x14ac:dyDescent="0.2">
      <c r="A46" s="464">
        <v>33</v>
      </c>
      <c r="B46" s="464" t="s">
        <v>1524</v>
      </c>
      <c r="C46" s="462" t="s">
        <v>250</v>
      </c>
      <c r="D46" s="491">
        <f>'SGTO POAI 2020'!BG62+'SGTO POAI 2020'!BG374</f>
        <v>540091726.37</v>
      </c>
      <c r="E46" s="497">
        <f t="shared" si="6"/>
        <v>1</v>
      </c>
      <c r="F46" s="491">
        <f>'SGTO POAI 2020'!BH62+'SGTO POAI 2020'!BH374</f>
        <v>356783841.48000002</v>
      </c>
      <c r="G46" s="497">
        <f t="shared" si="7"/>
        <v>0.66059860586640151</v>
      </c>
      <c r="H46" s="491">
        <f>'SGTO POAI 2020'!BI62+'SGTO POAI 2020'!BI374</f>
        <v>356783841.48000002</v>
      </c>
      <c r="I46" s="497">
        <f t="shared" si="8"/>
        <v>0.66059860586640151</v>
      </c>
    </row>
    <row r="47" spans="1:9" ht="30" x14ac:dyDescent="0.2">
      <c r="A47" s="461">
        <v>34</v>
      </c>
      <c r="B47" s="461">
        <v>4003</v>
      </c>
      <c r="C47" s="462" t="s">
        <v>256</v>
      </c>
      <c r="D47" s="491">
        <f>'SGTO POAI 2020'!BG64</f>
        <v>2885729741.0500002</v>
      </c>
      <c r="E47" s="497">
        <f t="shared" si="6"/>
        <v>1</v>
      </c>
      <c r="F47" s="491">
        <f>'SGTO POAI 2020'!BH64</f>
        <v>2766983630</v>
      </c>
      <c r="G47" s="497">
        <f t="shared" si="7"/>
        <v>0.9588505779453923</v>
      </c>
      <c r="H47" s="491">
        <f>'SGTO POAI 2020'!BI64</f>
        <v>2766983630</v>
      </c>
      <c r="I47" s="497">
        <f t="shared" si="8"/>
        <v>0.9588505779453923</v>
      </c>
    </row>
    <row r="48" spans="1:9" ht="30" x14ac:dyDescent="0.2">
      <c r="A48" s="466">
        <v>43</v>
      </c>
      <c r="B48" s="466">
        <v>4503</v>
      </c>
      <c r="C48" s="467" t="s">
        <v>369</v>
      </c>
      <c r="D48" s="491">
        <f>'SGTO POAI 2020'!BG101</f>
        <v>398809208.30000001</v>
      </c>
      <c r="E48" s="497">
        <f t="shared" si="6"/>
        <v>1</v>
      </c>
      <c r="F48" s="491">
        <f>'SGTO POAI 2020'!BH101</f>
        <v>312910427</v>
      </c>
      <c r="G48" s="497">
        <f t="shared" si="7"/>
        <v>0.78461184066897582</v>
      </c>
      <c r="H48" s="491">
        <f>'SGTO POAI 2020'!BI101</f>
        <v>312910427</v>
      </c>
      <c r="I48" s="497">
        <f t="shared" si="8"/>
        <v>0.78461184066897582</v>
      </c>
    </row>
    <row r="49" spans="1:16374" s="475" customFormat="1" x14ac:dyDescent="0.25">
      <c r="A49" s="468">
        <v>4</v>
      </c>
      <c r="B49" s="469" t="s">
        <v>108</v>
      </c>
      <c r="C49" s="470"/>
      <c r="D49" s="490">
        <f>SUM(D50:D52)</f>
        <v>4931381465.7399998</v>
      </c>
      <c r="E49" s="496">
        <f>D49/D49</f>
        <v>1</v>
      </c>
      <c r="F49" s="490">
        <f>SUM(F50:F52)</f>
        <v>3805024144.3299999</v>
      </c>
      <c r="G49" s="496">
        <f>F49/D49</f>
        <v>0.77159395815651433</v>
      </c>
      <c r="H49" s="490">
        <f>SUM(H50:H52)</f>
        <v>3724979130.3299999</v>
      </c>
      <c r="I49" s="496">
        <f>H49/D49</f>
        <v>0.75536219540279104</v>
      </c>
      <c r="J49" s="493"/>
      <c r="K49" s="493"/>
      <c r="L49" s="493"/>
      <c r="M49" s="474"/>
      <c r="N49" s="472"/>
      <c r="O49" s="473"/>
      <c r="P49" s="473"/>
      <c r="Q49" s="474"/>
      <c r="R49" s="474"/>
      <c r="S49" s="471"/>
      <c r="T49" s="472"/>
      <c r="U49" s="473"/>
      <c r="V49" s="474"/>
      <c r="W49" s="471"/>
      <c r="X49" s="472"/>
      <c r="Y49" s="473"/>
      <c r="Z49" s="474"/>
      <c r="AA49" s="471"/>
      <c r="AB49" s="472"/>
      <c r="AC49" s="473"/>
      <c r="AD49" s="474"/>
      <c r="AE49" s="471"/>
      <c r="AF49" s="472"/>
      <c r="AG49" s="473"/>
      <c r="AH49" s="474"/>
      <c r="AI49" s="471"/>
      <c r="AJ49" s="472"/>
      <c r="AK49" s="473"/>
      <c r="AL49" s="474"/>
      <c r="AM49" s="471"/>
      <c r="AN49" s="472"/>
      <c r="AO49" s="473"/>
      <c r="AP49" s="474"/>
      <c r="AQ49" s="471"/>
      <c r="AR49" s="472"/>
      <c r="AS49" s="473"/>
      <c r="AT49" s="474"/>
      <c r="AU49" s="471"/>
      <c r="AV49" s="472"/>
      <c r="AW49" s="473"/>
      <c r="AX49" s="474"/>
      <c r="AY49" s="471"/>
      <c r="AZ49" s="472"/>
      <c r="BA49" s="473"/>
      <c r="BB49" s="474"/>
      <c r="BC49" s="471"/>
      <c r="BD49" s="472"/>
      <c r="BE49" s="473"/>
      <c r="BF49" s="474"/>
      <c r="BG49" s="471"/>
      <c r="BH49" s="472"/>
      <c r="BI49" s="473"/>
      <c r="BJ49" s="474"/>
      <c r="BK49" s="471"/>
      <c r="BL49" s="472"/>
      <c r="BM49" s="473"/>
      <c r="BN49" s="474"/>
      <c r="BO49" s="471"/>
      <c r="BP49" s="472"/>
      <c r="BQ49" s="473"/>
      <c r="BR49" s="474"/>
      <c r="BS49" s="471"/>
      <c r="BT49" s="472"/>
      <c r="BU49" s="473"/>
      <c r="BV49" s="474"/>
      <c r="BW49" s="471"/>
      <c r="BX49" s="472"/>
      <c r="BY49" s="473"/>
      <c r="BZ49" s="474"/>
      <c r="CA49" s="471"/>
      <c r="CB49" s="472"/>
      <c r="CC49" s="473"/>
      <c r="CD49" s="474"/>
      <c r="CE49" s="471"/>
      <c r="CF49" s="472"/>
      <c r="CG49" s="473"/>
      <c r="CH49" s="474"/>
      <c r="CI49" s="471"/>
      <c r="CJ49" s="472"/>
      <c r="CK49" s="473"/>
      <c r="CL49" s="474"/>
      <c r="CM49" s="471"/>
      <c r="CN49" s="472"/>
      <c r="CO49" s="473"/>
      <c r="CP49" s="474"/>
      <c r="CQ49" s="471"/>
      <c r="CR49" s="472"/>
      <c r="CS49" s="473"/>
      <c r="CT49" s="474"/>
      <c r="CU49" s="471"/>
      <c r="CV49" s="472"/>
      <c r="CW49" s="473"/>
      <c r="CX49" s="474"/>
      <c r="CY49" s="471"/>
      <c r="CZ49" s="472"/>
      <c r="DA49" s="473"/>
      <c r="DB49" s="474"/>
      <c r="DC49" s="471"/>
      <c r="DD49" s="472"/>
      <c r="DE49" s="473"/>
      <c r="DF49" s="474"/>
      <c r="DG49" s="471"/>
      <c r="DH49" s="472"/>
      <c r="DI49" s="473"/>
      <c r="DJ49" s="474"/>
      <c r="DK49" s="471"/>
      <c r="DL49" s="472"/>
      <c r="DM49" s="473"/>
      <c r="DN49" s="474"/>
      <c r="DO49" s="471"/>
      <c r="DP49" s="472"/>
      <c r="DQ49" s="473"/>
      <c r="DR49" s="474"/>
      <c r="DS49" s="471"/>
      <c r="DT49" s="472"/>
      <c r="DU49" s="473"/>
      <c r="DV49" s="474"/>
      <c r="DW49" s="471"/>
      <c r="DX49" s="472"/>
      <c r="DY49" s="473"/>
      <c r="DZ49" s="474"/>
      <c r="EA49" s="471"/>
      <c r="EB49" s="472"/>
      <c r="EC49" s="473"/>
      <c r="ED49" s="474"/>
      <c r="EE49" s="471"/>
      <c r="EF49" s="472"/>
      <c r="EG49" s="473"/>
      <c r="EH49" s="474"/>
      <c r="EI49" s="471"/>
      <c r="EJ49" s="472"/>
      <c r="EK49" s="473"/>
      <c r="EL49" s="474"/>
      <c r="EM49" s="471"/>
      <c r="EN49" s="472"/>
      <c r="EO49" s="473"/>
      <c r="EP49" s="474"/>
      <c r="EQ49" s="471"/>
      <c r="ER49" s="472"/>
      <c r="ES49" s="473"/>
      <c r="ET49" s="474"/>
      <c r="EU49" s="471"/>
      <c r="EV49" s="472"/>
      <c r="EW49" s="473"/>
      <c r="EX49" s="474"/>
      <c r="EY49" s="471"/>
      <c r="EZ49" s="472"/>
      <c r="FA49" s="473"/>
      <c r="FB49" s="474"/>
      <c r="FC49" s="471"/>
      <c r="FD49" s="472"/>
      <c r="FE49" s="473"/>
      <c r="FF49" s="474"/>
      <c r="FG49" s="471"/>
      <c r="FH49" s="472"/>
      <c r="FI49" s="473"/>
      <c r="FJ49" s="474"/>
      <c r="FK49" s="471"/>
      <c r="FL49" s="472"/>
      <c r="FM49" s="473"/>
      <c r="FN49" s="474"/>
      <c r="FO49" s="471"/>
      <c r="FP49" s="472"/>
      <c r="FQ49" s="473"/>
      <c r="FR49" s="474"/>
      <c r="FS49" s="471"/>
      <c r="FT49" s="472"/>
      <c r="FU49" s="473"/>
      <c r="FV49" s="474"/>
      <c r="FW49" s="471"/>
      <c r="FX49" s="472"/>
      <c r="FY49" s="473"/>
      <c r="FZ49" s="474"/>
      <c r="GA49" s="471"/>
      <c r="GB49" s="472"/>
      <c r="GC49" s="473"/>
      <c r="GD49" s="474"/>
      <c r="GE49" s="471"/>
      <c r="GF49" s="472"/>
      <c r="GG49" s="473"/>
      <c r="GH49" s="474"/>
      <c r="GI49" s="471"/>
      <c r="GJ49" s="472"/>
      <c r="GK49" s="473"/>
      <c r="GL49" s="474"/>
      <c r="GM49" s="471"/>
      <c r="GN49" s="472"/>
      <c r="GO49" s="473"/>
      <c r="GP49" s="474"/>
      <c r="GQ49" s="471"/>
      <c r="GR49" s="472"/>
      <c r="GS49" s="473"/>
      <c r="GT49" s="474"/>
      <c r="GU49" s="471"/>
      <c r="GV49" s="472"/>
      <c r="GW49" s="473"/>
      <c r="GX49" s="474"/>
      <c r="GY49" s="471"/>
      <c r="GZ49" s="472"/>
      <c r="HA49" s="473"/>
      <c r="HB49" s="474"/>
      <c r="HC49" s="471"/>
      <c r="HD49" s="472"/>
      <c r="HE49" s="473"/>
      <c r="HF49" s="474"/>
      <c r="HG49" s="471"/>
      <c r="HH49" s="472"/>
      <c r="HI49" s="473"/>
      <c r="HJ49" s="474"/>
      <c r="HK49" s="471"/>
      <c r="HL49" s="472"/>
      <c r="HM49" s="473"/>
      <c r="HN49" s="474"/>
      <c r="HO49" s="471"/>
      <c r="HP49" s="472"/>
      <c r="HQ49" s="473"/>
      <c r="HR49" s="474"/>
      <c r="HS49" s="471"/>
      <c r="HT49" s="472"/>
      <c r="HU49" s="473"/>
      <c r="HV49" s="474"/>
      <c r="HW49" s="471"/>
      <c r="HX49" s="472"/>
      <c r="HY49" s="473"/>
      <c r="HZ49" s="474"/>
      <c r="IA49" s="471"/>
      <c r="IB49" s="472"/>
      <c r="IC49" s="473"/>
      <c r="ID49" s="474"/>
      <c r="IE49" s="471"/>
      <c r="IF49" s="472"/>
      <c r="IG49" s="473"/>
      <c r="IH49" s="474"/>
      <c r="II49" s="471"/>
      <c r="IJ49" s="472"/>
      <c r="IK49" s="473"/>
      <c r="IL49" s="474"/>
      <c r="IM49" s="471"/>
      <c r="IN49" s="472"/>
      <c r="IO49" s="473"/>
      <c r="IP49" s="474"/>
      <c r="IQ49" s="471"/>
      <c r="IR49" s="472"/>
      <c r="IS49" s="473"/>
      <c r="IT49" s="474"/>
      <c r="IU49" s="471"/>
      <c r="IV49" s="472"/>
      <c r="IW49" s="473"/>
      <c r="IX49" s="474"/>
      <c r="IY49" s="471"/>
      <c r="IZ49" s="472"/>
      <c r="JA49" s="473"/>
      <c r="JB49" s="474"/>
      <c r="JC49" s="471"/>
      <c r="JD49" s="472"/>
      <c r="JE49" s="473"/>
      <c r="JF49" s="474"/>
      <c r="JG49" s="471"/>
      <c r="JH49" s="472"/>
      <c r="JI49" s="473"/>
      <c r="JJ49" s="474"/>
      <c r="JK49" s="471"/>
      <c r="JL49" s="472"/>
      <c r="JM49" s="473"/>
      <c r="JN49" s="474"/>
      <c r="JO49" s="471"/>
      <c r="JP49" s="472"/>
      <c r="JQ49" s="473"/>
      <c r="JR49" s="474"/>
      <c r="JS49" s="471"/>
      <c r="JT49" s="472"/>
      <c r="JU49" s="473"/>
      <c r="JV49" s="474"/>
      <c r="JW49" s="471"/>
      <c r="JX49" s="472"/>
      <c r="JY49" s="473"/>
      <c r="JZ49" s="474"/>
      <c r="KA49" s="471"/>
      <c r="KB49" s="472"/>
      <c r="KC49" s="473"/>
      <c r="KD49" s="474"/>
      <c r="KE49" s="471"/>
      <c r="KF49" s="472"/>
      <c r="KG49" s="473"/>
      <c r="KH49" s="474"/>
      <c r="KI49" s="471"/>
      <c r="KJ49" s="472"/>
      <c r="KK49" s="473"/>
      <c r="KL49" s="474"/>
      <c r="KM49" s="471"/>
      <c r="KN49" s="472"/>
      <c r="KO49" s="473"/>
      <c r="KP49" s="474"/>
      <c r="KQ49" s="471"/>
      <c r="KR49" s="472"/>
      <c r="KS49" s="473"/>
      <c r="KT49" s="474"/>
      <c r="KU49" s="471"/>
      <c r="KV49" s="472"/>
      <c r="KW49" s="473"/>
      <c r="KX49" s="474"/>
      <c r="KY49" s="471"/>
      <c r="KZ49" s="472"/>
      <c r="LA49" s="473"/>
      <c r="LB49" s="474"/>
      <c r="LC49" s="471"/>
      <c r="LD49" s="472"/>
      <c r="LE49" s="473"/>
      <c r="LF49" s="474"/>
      <c r="LG49" s="471"/>
      <c r="LH49" s="472"/>
      <c r="LI49" s="473"/>
      <c r="LJ49" s="474"/>
      <c r="LK49" s="471"/>
      <c r="LL49" s="472"/>
      <c r="LM49" s="473"/>
      <c r="LN49" s="474"/>
      <c r="LO49" s="471"/>
      <c r="LP49" s="472"/>
      <c r="LQ49" s="473"/>
      <c r="LR49" s="474"/>
      <c r="LS49" s="471"/>
      <c r="LT49" s="472"/>
      <c r="LU49" s="473"/>
      <c r="LV49" s="474"/>
      <c r="LW49" s="471"/>
      <c r="LX49" s="472"/>
      <c r="LY49" s="473"/>
      <c r="LZ49" s="474"/>
      <c r="MA49" s="471"/>
      <c r="MB49" s="472"/>
      <c r="MC49" s="473"/>
      <c r="MD49" s="474"/>
      <c r="ME49" s="471"/>
      <c r="MF49" s="472"/>
      <c r="MG49" s="473"/>
      <c r="MH49" s="474"/>
      <c r="MI49" s="471"/>
      <c r="MJ49" s="472"/>
      <c r="MK49" s="473"/>
      <c r="ML49" s="474"/>
      <c r="MM49" s="471"/>
      <c r="MN49" s="472"/>
      <c r="MO49" s="473"/>
      <c r="MP49" s="474"/>
      <c r="MQ49" s="471"/>
      <c r="MR49" s="472"/>
      <c r="MS49" s="473"/>
      <c r="MT49" s="474"/>
      <c r="MU49" s="471"/>
      <c r="MV49" s="472"/>
      <c r="MW49" s="473"/>
      <c r="MX49" s="474"/>
      <c r="MY49" s="471"/>
      <c r="MZ49" s="472"/>
      <c r="NA49" s="473"/>
      <c r="NB49" s="474"/>
      <c r="NC49" s="471"/>
      <c r="ND49" s="472"/>
      <c r="NE49" s="473"/>
      <c r="NF49" s="474"/>
      <c r="NG49" s="471"/>
      <c r="NH49" s="472"/>
      <c r="NI49" s="473"/>
      <c r="NJ49" s="474"/>
      <c r="NK49" s="471"/>
      <c r="NL49" s="472"/>
      <c r="NM49" s="473"/>
      <c r="NN49" s="474"/>
      <c r="NO49" s="471"/>
      <c r="NP49" s="472"/>
      <c r="NQ49" s="473"/>
      <c r="NR49" s="474"/>
      <c r="NS49" s="471"/>
      <c r="NT49" s="472"/>
      <c r="NU49" s="473"/>
      <c r="NV49" s="474"/>
      <c r="NW49" s="471"/>
      <c r="NX49" s="472"/>
      <c r="NY49" s="473"/>
      <c r="NZ49" s="474"/>
      <c r="OA49" s="471"/>
      <c r="OB49" s="472"/>
      <c r="OC49" s="473"/>
      <c r="OD49" s="474"/>
      <c r="OE49" s="471"/>
      <c r="OF49" s="472"/>
      <c r="OG49" s="473"/>
      <c r="OH49" s="474"/>
      <c r="OI49" s="471"/>
      <c r="OJ49" s="472"/>
      <c r="OK49" s="473"/>
      <c r="OL49" s="474"/>
      <c r="OM49" s="471"/>
      <c r="ON49" s="472"/>
      <c r="OO49" s="473"/>
      <c r="OP49" s="474"/>
      <c r="OQ49" s="471"/>
      <c r="OR49" s="472"/>
      <c r="OS49" s="473"/>
      <c r="OT49" s="474"/>
      <c r="OU49" s="471"/>
      <c r="OV49" s="472"/>
      <c r="OW49" s="473"/>
      <c r="OX49" s="474"/>
      <c r="OY49" s="471"/>
      <c r="OZ49" s="472"/>
      <c r="PA49" s="473"/>
      <c r="PB49" s="474"/>
      <c r="PC49" s="471"/>
      <c r="PD49" s="472"/>
      <c r="PE49" s="473"/>
      <c r="PF49" s="474"/>
      <c r="PG49" s="471"/>
      <c r="PH49" s="472"/>
      <c r="PI49" s="473"/>
      <c r="PJ49" s="474"/>
      <c r="PK49" s="471"/>
      <c r="PL49" s="472"/>
      <c r="PM49" s="473"/>
      <c r="PN49" s="474"/>
      <c r="PO49" s="471"/>
      <c r="PP49" s="472"/>
      <c r="PQ49" s="473"/>
      <c r="PR49" s="474"/>
      <c r="PS49" s="471"/>
      <c r="PT49" s="472"/>
      <c r="PU49" s="473"/>
      <c r="PV49" s="474"/>
      <c r="PW49" s="471"/>
      <c r="PX49" s="472"/>
      <c r="PY49" s="473"/>
      <c r="PZ49" s="474"/>
      <c r="QA49" s="471"/>
      <c r="QB49" s="472"/>
      <c r="QC49" s="473"/>
      <c r="QD49" s="474"/>
      <c r="QE49" s="471"/>
      <c r="QF49" s="472"/>
      <c r="QG49" s="473"/>
      <c r="QH49" s="474"/>
      <c r="QI49" s="471"/>
      <c r="QJ49" s="472"/>
      <c r="QK49" s="473"/>
      <c r="QL49" s="474"/>
      <c r="QM49" s="471"/>
      <c r="QN49" s="472"/>
      <c r="QO49" s="473"/>
      <c r="QP49" s="474"/>
      <c r="QQ49" s="471"/>
      <c r="QR49" s="472"/>
      <c r="QS49" s="473"/>
      <c r="QT49" s="474"/>
      <c r="QU49" s="471"/>
      <c r="QV49" s="472"/>
      <c r="QW49" s="473"/>
      <c r="QX49" s="474"/>
      <c r="QY49" s="471"/>
      <c r="QZ49" s="472"/>
      <c r="RA49" s="473"/>
      <c r="RB49" s="474"/>
      <c r="RC49" s="471"/>
      <c r="RD49" s="472"/>
      <c r="RE49" s="473"/>
      <c r="RF49" s="474"/>
      <c r="RG49" s="471"/>
      <c r="RH49" s="472"/>
      <c r="RI49" s="473"/>
      <c r="RJ49" s="474"/>
      <c r="RK49" s="471"/>
      <c r="RL49" s="472"/>
      <c r="RM49" s="473"/>
      <c r="RN49" s="474"/>
      <c r="RO49" s="471"/>
      <c r="RP49" s="472"/>
      <c r="RQ49" s="473"/>
      <c r="RR49" s="474"/>
      <c r="RS49" s="471"/>
      <c r="RT49" s="472"/>
      <c r="RU49" s="473"/>
      <c r="RV49" s="474"/>
      <c r="RW49" s="471"/>
      <c r="RX49" s="472"/>
      <c r="RY49" s="473"/>
      <c r="RZ49" s="474"/>
      <c r="SA49" s="471"/>
      <c r="SB49" s="472"/>
      <c r="SC49" s="473"/>
      <c r="SD49" s="474"/>
      <c r="SE49" s="471"/>
      <c r="SF49" s="472"/>
      <c r="SG49" s="473"/>
      <c r="SH49" s="474"/>
      <c r="SI49" s="471"/>
      <c r="SJ49" s="472"/>
      <c r="SK49" s="473"/>
      <c r="SL49" s="474"/>
      <c r="SM49" s="471"/>
      <c r="SN49" s="472"/>
      <c r="SO49" s="473"/>
      <c r="SP49" s="474"/>
      <c r="SQ49" s="471"/>
      <c r="SR49" s="472"/>
      <c r="SS49" s="473"/>
      <c r="ST49" s="474"/>
      <c r="SU49" s="471"/>
      <c r="SV49" s="472"/>
      <c r="SW49" s="473"/>
      <c r="SX49" s="474"/>
      <c r="SY49" s="471"/>
      <c r="SZ49" s="472"/>
      <c r="TA49" s="473"/>
      <c r="TB49" s="474"/>
      <c r="TC49" s="471"/>
      <c r="TD49" s="472"/>
      <c r="TE49" s="473"/>
      <c r="TF49" s="474"/>
      <c r="TG49" s="471"/>
      <c r="TH49" s="472"/>
      <c r="TI49" s="473"/>
      <c r="TJ49" s="474"/>
      <c r="TK49" s="471"/>
      <c r="TL49" s="472"/>
      <c r="TM49" s="473"/>
      <c r="TN49" s="474"/>
      <c r="TO49" s="471"/>
      <c r="TP49" s="472"/>
      <c r="TQ49" s="473"/>
      <c r="TR49" s="474"/>
      <c r="TS49" s="471"/>
      <c r="TT49" s="472"/>
      <c r="TU49" s="473"/>
      <c r="TV49" s="474"/>
      <c r="TW49" s="471"/>
      <c r="TX49" s="472"/>
      <c r="TY49" s="473"/>
      <c r="TZ49" s="474"/>
      <c r="UA49" s="471"/>
      <c r="UB49" s="472"/>
      <c r="UC49" s="473"/>
      <c r="UD49" s="474"/>
      <c r="UE49" s="471"/>
      <c r="UF49" s="472"/>
      <c r="UG49" s="473"/>
      <c r="UH49" s="474"/>
      <c r="UI49" s="471"/>
      <c r="UJ49" s="472"/>
      <c r="UK49" s="473"/>
      <c r="UL49" s="474"/>
      <c r="UM49" s="471"/>
      <c r="UN49" s="472"/>
      <c r="UO49" s="473"/>
      <c r="UP49" s="474"/>
      <c r="UQ49" s="471"/>
      <c r="UR49" s="472"/>
      <c r="US49" s="473"/>
      <c r="UT49" s="474"/>
      <c r="UU49" s="471"/>
      <c r="UV49" s="472"/>
      <c r="UW49" s="473"/>
      <c r="UX49" s="474"/>
      <c r="UY49" s="471"/>
      <c r="UZ49" s="472"/>
      <c r="VA49" s="473"/>
      <c r="VB49" s="474"/>
      <c r="VC49" s="471"/>
      <c r="VD49" s="472"/>
      <c r="VE49" s="473"/>
      <c r="VF49" s="474"/>
      <c r="VG49" s="471"/>
      <c r="VH49" s="472"/>
      <c r="VI49" s="473"/>
      <c r="VJ49" s="474"/>
      <c r="VK49" s="471"/>
      <c r="VL49" s="472"/>
      <c r="VM49" s="473"/>
      <c r="VN49" s="474"/>
      <c r="VO49" s="471"/>
      <c r="VP49" s="472"/>
      <c r="VQ49" s="473"/>
      <c r="VR49" s="474"/>
      <c r="VS49" s="471"/>
      <c r="VT49" s="472"/>
      <c r="VU49" s="473"/>
      <c r="VV49" s="474"/>
      <c r="VW49" s="471"/>
      <c r="VX49" s="472"/>
      <c r="VY49" s="473"/>
      <c r="VZ49" s="474"/>
      <c r="WA49" s="471"/>
      <c r="WB49" s="472"/>
      <c r="WC49" s="473"/>
      <c r="WD49" s="474"/>
      <c r="WE49" s="471"/>
      <c r="WF49" s="472"/>
      <c r="WG49" s="473"/>
      <c r="WH49" s="474"/>
      <c r="WI49" s="471"/>
      <c r="WJ49" s="472"/>
      <c r="WK49" s="473"/>
      <c r="WL49" s="474"/>
      <c r="WM49" s="471"/>
      <c r="WN49" s="472"/>
      <c r="WO49" s="473"/>
      <c r="WP49" s="474"/>
      <c r="WQ49" s="471"/>
      <c r="WR49" s="472"/>
      <c r="WS49" s="473"/>
      <c r="WT49" s="474"/>
      <c r="WU49" s="471"/>
      <c r="WV49" s="472"/>
      <c r="WW49" s="473"/>
      <c r="WX49" s="474"/>
      <c r="WY49" s="471"/>
      <c r="WZ49" s="472"/>
      <c r="XA49" s="473"/>
      <c r="XB49" s="474"/>
      <c r="XC49" s="471"/>
      <c r="XD49" s="472"/>
      <c r="XE49" s="473"/>
      <c r="XF49" s="474"/>
      <c r="XG49" s="471"/>
      <c r="XH49" s="472"/>
      <c r="XI49" s="473"/>
      <c r="XJ49" s="474"/>
      <c r="XK49" s="471"/>
      <c r="XL49" s="472"/>
      <c r="XM49" s="473"/>
      <c r="XN49" s="474"/>
      <c r="XO49" s="471"/>
      <c r="XP49" s="472"/>
      <c r="XQ49" s="473"/>
      <c r="XR49" s="474"/>
      <c r="XS49" s="471"/>
      <c r="XT49" s="472"/>
      <c r="XU49" s="473"/>
      <c r="XV49" s="474"/>
      <c r="XW49" s="471"/>
      <c r="XX49" s="472"/>
      <c r="XY49" s="473"/>
      <c r="XZ49" s="474"/>
      <c r="YA49" s="471"/>
      <c r="YB49" s="472"/>
      <c r="YC49" s="473"/>
      <c r="YD49" s="474"/>
      <c r="YE49" s="471"/>
      <c r="YF49" s="472"/>
      <c r="YG49" s="473"/>
      <c r="YH49" s="474"/>
      <c r="YI49" s="471"/>
      <c r="YJ49" s="472"/>
      <c r="YK49" s="473"/>
      <c r="YL49" s="474"/>
      <c r="YM49" s="471"/>
      <c r="YN49" s="472"/>
      <c r="YO49" s="473"/>
      <c r="YP49" s="474"/>
      <c r="YQ49" s="471"/>
      <c r="YR49" s="472"/>
      <c r="YS49" s="473"/>
      <c r="YT49" s="474"/>
      <c r="YU49" s="471"/>
      <c r="YV49" s="472"/>
      <c r="YW49" s="473"/>
      <c r="YX49" s="474"/>
      <c r="YY49" s="471"/>
      <c r="YZ49" s="472"/>
      <c r="ZA49" s="473"/>
      <c r="ZB49" s="474"/>
      <c r="ZC49" s="471"/>
      <c r="ZD49" s="472"/>
      <c r="ZE49" s="473"/>
      <c r="ZF49" s="474"/>
      <c r="ZG49" s="471"/>
      <c r="ZH49" s="472"/>
      <c r="ZI49" s="473"/>
      <c r="ZJ49" s="474"/>
      <c r="ZK49" s="471"/>
      <c r="ZL49" s="472"/>
      <c r="ZM49" s="473"/>
      <c r="ZN49" s="474"/>
      <c r="ZO49" s="471"/>
      <c r="ZP49" s="472"/>
      <c r="ZQ49" s="473"/>
      <c r="ZR49" s="474"/>
      <c r="ZS49" s="471"/>
      <c r="ZT49" s="472"/>
      <c r="ZU49" s="473"/>
      <c r="ZV49" s="474"/>
      <c r="ZW49" s="471"/>
      <c r="ZX49" s="472"/>
      <c r="ZY49" s="473"/>
      <c r="ZZ49" s="474"/>
      <c r="AAA49" s="471"/>
      <c r="AAB49" s="472"/>
      <c r="AAC49" s="473"/>
      <c r="AAD49" s="474"/>
      <c r="AAE49" s="471"/>
      <c r="AAF49" s="472"/>
      <c r="AAG49" s="473"/>
      <c r="AAH49" s="474"/>
      <c r="AAI49" s="471"/>
      <c r="AAJ49" s="472"/>
      <c r="AAK49" s="473"/>
      <c r="AAL49" s="474"/>
      <c r="AAM49" s="471"/>
      <c r="AAN49" s="472"/>
      <c r="AAO49" s="473"/>
      <c r="AAP49" s="474"/>
      <c r="AAQ49" s="471"/>
      <c r="AAR49" s="472"/>
      <c r="AAS49" s="473"/>
      <c r="AAT49" s="474"/>
      <c r="AAU49" s="471"/>
      <c r="AAV49" s="472"/>
      <c r="AAW49" s="473"/>
      <c r="AAX49" s="474"/>
      <c r="AAY49" s="471"/>
      <c r="AAZ49" s="472"/>
      <c r="ABA49" s="473"/>
      <c r="ABB49" s="474"/>
      <c r="ABC49" s="471"/>
      <c r="ABD49" s="472"/>
      <c r="ABE49" s="473"/>
      <c r="ABF49" s="474"/>
      <c r="ABG49" s="471"/>
      <c r="ABH49" s="472"/>
      <c r="ABI49" s="473"/>
      <c r="ABJ49" s="474"/>
      <c r="ABK49" s="471"/>
      <c r="ABL49" s="472"/>
      <c r="ABM49" s="473"/>
      <c r="ABN49" s="474"/>
      <c r="ABO49" s="471"/>
      <c r="ABP49" s="472"/>
      <c r="ABQ49" s="473"/>
      <c r="ABR49" s="474"/>
      <c r="ABS49" s="471"/>
      <c r="ABT49" s="472"/>
      <c r="ABU49" s="473"/>
      <c r="ABV49" s="474"/>
      <c r="ABW49" s="471"/>
      <c r="ABX49" s="472"/>
      <c r="ABY49" s="473"/>
      <c r="ABZ49" s="474"/>
      <c r="ACA49" s="471"/>
      <c r="ACB49" s="472"/>
      <c r="ACC49" s="473"/>
      <c r="ACD49" s="474"/>
      <c r="ACE49" s="471"/>
      <c r="ACF49" s="472"/>
      <c r="ACG49" s="473"/>
      <c r="ACH49" s="474"/>
      <c r="ACI49" s="471"/>
      <c r="ACJ49" s="472"/>
      <c r="ACK49" s="473"/>
      <c r="ACL49" s="474"/>
      <c r="ACM49" s="471"/>
      <c r="ACN49" s="472"/>
      <c r="ACO49" s="473"/>
      <c r="ACP49" s="474"/>
      <c r="ACQ49" s="471"/>
      <c r="ACR49" s="472"/>
      <c r="ACS49" s="473"/>
      <c r="ACT49" s="474"/>
      <c r="ACU49" s="471"/>
      <c r="ACV49" s="472"/>
      <c r="ACW49" s="473"/>
      <c r="ACX49" s="474"/>
      <c r="ACY49" s="471"/>
      <c r="ACZ49" s="472"/>
      <c r="ADA49" s="473"/>
      <c r="ADB49" s="474"/>
      <c r="ADC49" s="471"/>
      <c r="ADD49" s="472"/>
      <c r="ADE49" s="473"/>
      <c r="ADF49" s="474"/>
      <c r="ADG49" s="471"/>
      <c r="ADH49" s="472"/>
      <c r="ADI49" s="473"/>
      <c r="ADJ49" s="474"/>
      <c r="ADK49" s="471"/>
      <c r="ADL49" s="472"/>
      <c r="ADM49" s="473"/>
      <c r="ADN49" s="474"/>
      <c r="ADO49" s="471"/>
      <c r="ADP49" s="472"/>
      <c r="ADQ49" s="473"/>
      <c r="ADR49" s="474"/>
      <c r="ADS49" s="471"/>
      <c r="ADT49" s="472"/>
      <c r="ADU49" s="473"/>
      <c r="ADV49" s="474"/>
      <c r="ADW49" s="471"/>
      <c r="ADX49" s="472"/>
      <c r="ADY49" s="473"/>
      <c r="ADZ49" s="474"/>
      <c r="AEA49" s="471"/>
      <c r="AEB49" s="472"/>
      <c r="AEC49" s="473"/>
      <c r="AED49" s="474"/>
      <c r="AEE49" s="471"/>
      <c r="AEF49" s="472"/>
      <c r="AEG49" s="473"/>
      <c r="AEH49" s="474"/>
      <c r="AEI49" s="471"/>
      <c r="AEJ49" s="472"/>
      <c r="AEK49" s="473"/>
      <c r="AEL49" s="474"/>
      <c r="AEM49" s="471"/>
      <c r="AEN49" s="472"/>
      <c r="AEO49" s="473"/>
      <c r="AEP49" s="474"/>
      <c r="AEQ49" s="471"/>
      <c r="AER49" s="472"/>
      <c r="AES49" s="473"/>
      <c r="AET49" s="474"/>
      <c r="AEU49" s="471"/>
      <c r="AEV49" s="472"/>
      <c r="AEW49" s="473"/>
      <c r="AEX49" s="474"/>
      <c r="AEY49" s="471"/>
      <c r="AEZ49" s="472"/>
      <c r="AFA49" s="473"/>
      <c r="AFB49" s="474"/>
      <c r="AFC49" s="471"/>
      <c r="AFD49" s="472"/>
      <c r="AFE49" s="473"/>
      <c r="AFF49" s="474"/>
      <c r="AFG49" s="471"/>
      <c r="AFH49" s="472"/>
      <c r="AFI49" s="473"/>
      <c r="AFJ49" s="474"/>
      <c r="AFK49" s="471"/>
      <c r="AFL49" s="472"/>
      <c r="AFM49" s="473"/>
      <c r="AFN49" s="474"/>
      <c r="AFO49" s="471"/>
      <c r="AFP49" s="472"/>
      <c r="AFQ49" s="473"/>
      <c r="AFR49" s="474"/>
      <c r="AFS49" s="471"/>
      <c r="AFT49" s="472"/>
      <c r="AFU49" s="473"/>
      <c r="AFV49" s="474"/>
      <c r="AFW49" s="471"/>
      <c r="AFX49" s="472"/>
      <c r="AFY49" s="473"/>
      <c r="AFZ49" s="474"/>
      <c r="AGA49" s="471"/>
      <c r="AGB49" s="472"/>
      <c r="AGC49" s="473"/>
      <c r="AGD49" s="474"/>
      <c r="AGE49" s="471"/>
      <c r="AGF49" s="472"/>
      <c r="AGG49" s="473"/>
      <c r="AGH49" s="474"/>
      <c r="AGI49" s="471"/>
      <c r="AGJ49" s="472"/>
      <c r="AGK49" s="473"/>
      <c r="AGL49" s="474"/>
      <c r="AGM49" s="471"/>
      <c r="AGN49" s="472"/>
      <c r="AGO49" s="473"/>
      <c r="AGP49" s="474"/>
      <c r="AGQ49" s="471"/>
      <c r="AGR49" s="472"/>
      <c r="AGS49" s="473"/>
      <c r="AGT49" s="474"/>
      <c r="AGU49" s="471"/>
      <c r="AGV49" s="472"/>
      <c r="AGW49" s="473"/>
      <c r="AGX49" s="474"/>
      <c r="AGY49" s="471"/>
      <c r="AGZ49" s="472"/>
      <c r="AHA49" s="473"/>
      <c r="AHB49" s="474"/>
      <c r="AHC49" s="471"/>
      <c r="AHD49" s="472"/>
      <c r="AHE49" s="473"/>
      <c r="AHF49" s="474"/>
      <c r="AHG49" s="471"/>
      <c r="AHH49" s="472"/>
      <c r="AHI49" s="473"/>
      <c r="AHJ49" s="474"/>
      <c r="AHK49" s="471"/>
      <c r="AHL49" s="472"/>
      <c r="AHM49" s="473"/>
      <c r="AHN49" s="474"/>
      <c r="AHO49" s="471"/>
      <c r="AHP49" s="472"/>
      <c r="AHQ49" s="473"/>
      <c r="AHR49" s="474"/>
      <c r="AHS49" s="471"/>
      <c r="AHT49" s="472"/>
      <c r="AHU49" s="473"/>
      <c r="AHV49" s="474"/>
      <c r="AHW49" s="471"/>
      <c r="AHX49" s="472"/>
      <c r="AHY49" s="473"/>
      <c r="AHZ49" s="474"/>
      <c r="AIA49" s="471"/>
      <c r="AIB49" s="472"/>
      <c r="AIC49" s="473"/>
      <c r="AID49" s="474"/>
      <c r="AIE49" s="471"/>
      <c r="AIF49" s="472"/>
      <c r="AIG49" s="473"/>
      <c r="AIH49" s="474"/>
      <c r="AII49" s="471"/>
      <c r="AIJ49" s="472"/>
      <c r="AIK49" s="473"/>
      <c r="AIL49" s="474"/>
      <c r="AIM49" s="471"/>
      <c r="AIN49" s="472"/>
      <c r="AIO49" s="473"/>
      <c r="AIP49" s="474"/>
      <c r="AIQ49" s="471"/>
      <c r="AIR49" s="472"/>
      <c r="AIS49" s="473"/>
      <c r="AIT49" s="474"/>
      <c r="AIU49" s="471"/>
      <c r="AIV49" s="472"/>
      <c r="AIW49" s="473"/>
      <c r="AIX49" s="474"/>
      <c r="AIY49" s="471"/>
      <c r="AIZ49" s="472"/>
      <c r="AJA49" s="473"/>
      <c r="AJB49" s="474"/>
      <c r="AJC49" s="471"/>
      <c r="AJD49" s="472"/>
      <c r="AJE49" s="473"/>
      <c r="AJF49" s="474"/>
      <c r="AJG49" s="471"/>
      <c r="AJH49" s="472"/>
      <c r="AJI49" s="473"/>
      <c r="AJJ49" s="474"/>
      <c r="AJK49" s="471"/>
      <c r="AJL49" s="472"/>
      <c r="AJM49" s="473"/>
      <c r="AJN49" s="474"/>
      <c r="AJO49" s="471"/>
      <c r="AJP49" s="472"/>
      <c r="AJQ49" s="473"/>
      <c r="AJR49" s="474"/>
      <c r="AJS49" s="471"/>
      <c r="AJT49" s="472"/>
      <c r="AJU49" s="473"/>
      <c r="AJV49" s="474"/>
      <c r="AJW49" s="471"/>
      <c r="AJX49" s="472"/>
      <c r="AJY49" s="473"/>
      <c r="AJZ49" s="474"/>
      <c r="AKA49" s="471"/>
      <c r="AKB49" s="472"/>
      <c r="AKC49" s="473"/>
      <c r="AKD49" s="474"/>
      <c r="AKE49" s="471"/>
      <c r="AKF49" s="472"/>
      <c r="AKG49" s="473"/>
      <c r="AKH49" s="474"/>
      <c r="AKI49" s="471"/>
      <c r="AKJ49" s="472"/>
      <c r="AKK49" s="473"/>
      <c r="AKL49" s="474"/>
      <c r="AKM49" s="471"/>
      <c r="AKN49" s="472"/>
      <c r="AKO49" s="473"/>
      <c r="AKP49" s="474"/>
      <c r="AKQ49" s="471"/>
      <c r="AKR49" s="472"/>
      <c r="AKS49" s="473"/>
      <c r="AKT49" s="474"/>
      <c r="AKU49" s="471"/>
      <c r="AKV49" s="472"/>
      <c r="AKW49" s="473"/>
      <c r="AKX49" s="474"/>
      <c r="AKY49" s="471"/>
      <c r="AKZ49" s="472"/>
      <c r="ALA49" s="473"/>
      <c r="ALB49" s="474"/>
      <c r="ALC49" s="471"/>
      <c r="ALD49" s="472"/>
      <c r="ALE49" s="473"/>
      <c r="ALF49" s="474"/>
      <c r="ALG49" s="471"/>
      <c r="ALH49" s="472"/>
      <c r="ALI49" s="473"/>
      <c r="ALJ49" s="474"/>
      <c r="ALK49" s="471"/>
      <c r="ALL49" s="472"/>
      <c r="ALM49" s="473"/>
      <c r="ALN49" s="474"/>
      <c r="ALO49" s="471"/>
      <c r="ALP49" s="472"/>
      <c r="ALQ49" s="473"/>
      <c r="ALR49" s="474"/>
      <c r="ALS49" s="471"/>
      <c r="ALT49" s="472"/>
      <c r="ALU49" s="473"/>
      <c r="ALV49" s="474"/>
      <c r="ALW49" s="471"/>
      <c r="ALX49" s="472"/>
      <c r="ALY49" s="473"/>
      <c r="ALZ49" s="474"/>
      <c r="AMA49" s="471"/>
      <c r="AMB49" s="472"/>
      <c r="AMC49" s="473"/>
      <c r="AMD49" s="474"/>
      <c r="AME49" s="471"/>
      <c r="AMF49" s="472"/>
      <c r="AMG49" s="473"/>
      <c r="AMH49" s="474"/>
      <c r="AMI49" s="471"/>
      <c r="AMJ49" s="472"/>
      <c r="AMK49" s="473"/>
      <c r="AML49" s="474"/>
      <c r="AMM49" s="471"/>
      <c r="AMN49" s="472"/>
      <c r="AMO49" s="473"/>
      <c r="AMP49" s="474"/>
      <c r="AMQ49" s="471"/>
      <c r="AMR49" s="472"/>
      <c r="AMS49" s="473"/>
      <c r="AMT49" s="474"/>
      <c r="AMU49" s="471"/>
      <c r="AMV49" s="472"/>
      <c r="AMW49" s="473"/>
      <c r="AMX49" s="474"/>
      <c r="AMY49" s="471"/>
      <c r="AMZ49" s="472"/>
      <c r="ANA49" s="473"/>
      <c r="ANB49" s="474"/>
      <c r="ANC49" s="471"/>
      <c r="AND49" s="472"/>
      <c r="ANE49" s="473"/>
      <c r="ANF49" s="474"/>
      <c r="ANG49" s="471"/>
      <c r="ANH49" s="472"/>
      <c r="ANI49" s="473"/>
      <c r="ANJ49" s="474"/>
      <c r="ANK49" s="471"/>
      <c r="ANL49" s="472"/>
      <c r="ANM49" s="473"/>
      <c r="ANN49" s="474"/>
      <c r="ANO49" s="471"/>
      <c r="ANP49" s="472"/>
      <c r="ANQ49" s="473"/>
      <c r="ANR49" s="474"/>
      <c r="ANS49" s="471"/>
      <c r="ANT49" s="472"/>
      <c r="ANU49" s="473"/>
      <c r="ANV49" s="474"/>
      <c r="ANW49" s="471"/>
      <c r="ANX49" s="472"/>
      <c r="ANY49" s="473"/>
      <c r="ANZ49" s="474"/>
      <c r="AOA49" s="471"/>
      <c r="AOB49" s="472"/>
      <c r="AOC49" s="473"/>
      <c r="AOD49" s="474"/>
      <c r="AOE49" s="471"/>
      <c r="AOF49" s="472"/>
      <c r="AOG49" s="473"/>
      <c r="AOH49" s="474"/>
      <c r="AOI49" s="471"/>
      <c r="AOJ49" s="472"/>
      <c r="AOK49" s="473"/>
      <c r="AOL49" s="474"/>
      <c r="AOM49" s="471"/>
      <c r="AON49" s="472"/>
      <c r="AOO49" s="473"/>
      <c r="AOP49" s="474"/>
      <c r="AOQ49" s="471"/>
      <c r="AOR49" s="472"/>
      <c r="AOS49" s="473"/>
      <c r="AOT49" s="474"/>
      <c r="AOU49" s="471"/>
      <c r="AOV49" s="472"/>
      <c r="AOW49" s="473"/>
      <c r="AOX49" s="474"/>
      <c r="AOY49" s="471"/>
      <c r="AOZ49" s="472"/>
      <c r="APA49" s="473"/>
      <c r="APB49" s="474"/>
      <c r="APC49" s="471"/>
      <c r="APD49" s="472"/>
      <c r="APE49" s="473"/>
      <c r="APF49" s="474"/>
      <c r="APG49" s="471"/>
      <c r="APH49" s="472"/>
      <c r="API49" s="473"/>
      <c r="APJ49" s="474"/>
      <c r="APK49" s="471"/>
      <c r="APL49" s="472"/>
      <c r="APM49" s="473"/>
      <c r="APN49" s="474"/>
      <c r="APO49" s="471"/>
      <c r="APP49" s="472"/>
      <c r="APQ49" s="473"/>
      <c r="APR49" s="474"/>
      <c r="APS49" s="471"/>
      <c r="APT49" s="472"/>
      <c r="APU49" s="473"/>
      <c r="APV49" s="474"/>
      <c r="APW49" s="471"/>
      <c r="APX49" s="472"/>
      <c r="APY49" s="473"/>
      <c r="APZ49" s="474"/>
      <c r="AQA49" s="471"/>
      <c r="AQB49" s="472"/>
      <c r="AQC49" s="473"/>
      <c r="AQD49" s="474"/>
      <c r="AQE49" s="471"/>
      <c r="AQF49" s="472"/>
      <c r="AQG49" s="473"/>
      <c r="AQH49" s="474"/>
      <c r="AQI49" s="471"/>
      <c r="AQJ49" s="472"/>
      <c r="AQK49" s="473"/>
      <c r="AQL49" s="474"/>
      <c r="AQM49" s="471"/>
      <c r="AQN49" s="472"/>
      <c r="AQO49" s="473"/>
      <c r="AQP49" s="474"/>
      <c r="AQQ49" s="471"/>
      <c r="AQR49" s="472"/>
      <c r="AQS49" s="473"/>
      <c r="AQT49" s="474"/>
      <c r="AQU49" s="471"/>
      <c r="AQV49" s="472"/>
      <c r="AQW49" s="473"/>
      <c r="AQX49" s="474"/>
      <c r="AQY49" s="471"/>
      <c r="AQZ49" s="472"/>
      <c r="ARA49" s="473"/>
      <c r="ARB49" s="474"/>
      <c r="ARC49" s="471"/>
      <c r="ARD49" s="472"/>
      <c r="ARE49" s="473"/>
      <c r="ARF49" s="474"/>
      <c r="ARG49" s="471"/>
      <c r="ARH49" s="472"/>
      <c r="ARI49" s="473"/>
      <c r="ARJ49" s="474"/>
      <c r="ARK49" s="471"/>
      <c r="ARL49" s="472"/>
      <c r="ARM49" s="473"/>
      <c r="ARN49" s="474"/>
      <c r="ARO49" s="471"/>
      <c r="ARP49" s="472"/>
      <c r="ARQ49" s="473"/>
      <c r="ARR49" s="474"/>
      <c r="ARS49" s="471"/>
      <c r="ART49" s="472"/>
      <c r="ARU49" s="473"/>
      <c r="ARV49" s="474"/>
      <c r="ARW49" s="471"/>
      <c r="ARX49" s="472"/>
      <c r="ARY49" s="473"/>
      <c r="ARZ49" s="474"/>
      <c r="ASA49" s="471"/>
      <c r="ASB49" s="472"/>
      <c r="ASC49" s="473"/>
      <c r="ASD49" s="474"/>
      <c r="ASE49" s="471"/>
      <c r="ASF49" s="472"/>
      <c r="ASG49" s="473"/>
      <c r="ASH49" s="474"/>
      <c r="ASI49" s="471"/>
      <c r="ASJ49" s="472"/>
      <c r="ASK49" s="473"/>
      <c r="ASL49" s="474"/>
      <c r="ASM49" s="471"/>
      <c r="ASN49" s="472"/>
      <c r="ASO49" s="473"/>
      <c r="ASP49" s="474"/>
      <c r="ASQ49" s="471"/>
      <c r="ASR49" s="472"/>
      <c r="ASS49" s="473"/>
      <c r="AST49" s="474"/>
      <c r="ASU49" s="471"/>
      <c r="ASV49" s="472"/>
      <c r="ASW49" s="473"/>
      <c r="ASX49" s="474"/>
      <c r="ASY49" s="471"/>
      <c r="ASZ49" s="472"/>
      <c r="ATA49" s="473"/>
      <c r="ATB49" s="474"/>
      <c r="ATC49" s="471"/>
      <c r="ATD49" s="472"/>
      <c r="ATE49" s="473"/>
      <c r="ATF49" s="474"/>
      <c r="ATG49" s="471"/>
      <c r="ATH49" s="472"/>
      <c r="ATI49" s="473"/>
      <c r="ATJ49" s="474"/>
      <c r="ATK49" s="471"/>
      <c r="ATL49" s="472"/>
      <c r="ATM49" s="473"/>
      <c r="ATN49" s="474"/>
      <c r="ATO49" s="471"/>
      <c r="ATP49" s="472"/>
      <c r="ATQ49" s="473"/>
      <c r="ATR49" s="474"/>
      <c r="ATS49" s="471"/>
      <c r="ATT49" s="472"/>
      <c r="ATU49" s="473"/>
      <c r="ATV49" s="474"/>
      <c r="ATW49" s="471"/>
      <c r="ATX49" s="472"/>
      <c r="ATY49" s="473"/>
      <c r="ATZ49" s="474"/>
      <c r="AUA49" s="471"/>
      <c r="AUB49" s="472"/>
      <c r="AUC49" s="473"/>
      <c r="AUD49" s="474"/>
      <c r="AUE49" s="471"/>
      <c r="AUF49" s="472"/>
      <c r="AUG49" s="473"/>
      <c r="AUH49" s="474"/>
      <c r="AUI49" s="471"/>
      <c r="AUJ49" s="472"/>
      <c r="AUK49" s="473"/>
      <c r="AUL49" s="474"/>
      <c r="AUM49" s="471"/>
      <c r="AUN49" s="472"/>
      <c r="AUO49" s="473"/>
      <c r="AUP49" s="474"/>
      <c r="AUQ49" s="471"/>
      <c r="AUR49" s="472"/>
      <c r="AUS49" s="473"/>
      <c r="AUT49" s="474"/>
      <c r="AUU49" s="471"/>
      <c r="AUV49" s="472"/>
      <c r="AUW49" s="473"/>
      <c r="AUX49" s="474"/>
      <c r="AUY49" s="471"/>
      <c r="AUZ49" s="472"/>
      <c r="AVA49" s="473"/>
      <c r="AVB49" s="474"/>
      <c r="AVC49" s="471"/>
      <c r="AVD49" s="472"/>
      <c r="AVE49" s="473"/>
      <c r="AVF49" s="474"/>
      <c r="AVG49" s="471"/>
      <c r="AVH49" s="472"/>
      <c r="AVI49" s="473"/>
      <c r="AVJ49" s="474"/>
      <c r="AVK49" s="471"/>
      <c r="AVL49" s="472"/>
      <c r="AVM49" s="473"/>
      <c r="AVN49" s="474"/>
      <c r="AVO49" s="471"/>
      <c r="AVP49" s="472"/>
      <c r="AVQ49" s="473"/>
      <c r="AVR49" s="474"/>
      <c r="AVS49" s="471"/>
      <c r="AVT49" s="472"/>
      <c r="AVU49" s="473"/>
      <c r="AVV49" s="474"/>
      <c r="AVW49" s="471"/>
      <c r="AVX49" s="472"/>
      <c r="AVY49" s="473"/>
      <c r="AVZ49" s="474"/>
      <c r="AWA49" s="471"/>
      <c r="AWB49" s="472"/>
      <c r="AWC49" s="473"/>
      <c r="AWD49" s="474"/>
      <c r="AWE49" s="471"/>
      <c r="AWF49" s="472"/>
      <c r="AWG49" s="473"/>
      <c r="AWH49" s="474"/>
      <c r="AWI49" s="471"/>
      <c r="AWJ49" s="472"/>
      <c r="AWK49" s="473"/>
      <c r="AWL49" s="474"/>
      <c r="AWM49" s="471"/>
      <c r="AWN49" s="472"/>
      <c r="AWO49" s="473"/>
      <c r="AWP49" s="474"/>
      <c r="AWQ49" s="471"/>
      <c r="AWR49" s="472"/>
      <c r="AWS49" s="473"/>
      <c r="AWT49" s="474"/>
      <c r="AWU49" s="471"/>
      <c r="AWV49" s="472"/>
      <c r="AWW49" s="473"/>
      <c r="AWX49" s="474"/>
      <c r="AWY49" s="471"/>
      <c r="AWZ49" s="472"/>
      <c r="AXA49" s="473"/>
      <c r="AXB49" s="474"/>
      <c r="AXC49" s="471"/>
      <c r="AXD49" s="472"/>
      <c r="AXE49" s="473"/>
      <c r="AXF49" s="474"/>
      <c r="AXG49" s="471"/>
      <c r="AXH49" s="472"/>
      <c r="AXI49" s="473"/>
      <c r="AXJ49" s="474"/>
      <c r="AXK49" s="471"/>
      <c r="AXL49" s="472"/>
      <c r="AXM49" s="473"/>
      <c r="AXN49" s="474"/>
      <c r="AXO49" s="471"/>
      <c r="AXP49" s="472"/>
      <c r="AXQ49" s="473"/>
      <c r="AXR49" s="474"/>
      <c r="AXS49" s="471"/>
      <c r="AXT49" s="472"/>
      <c r="AXU49" s="473"/>
      <c r="AXV49" s="474"/>
      <c r="AXW49" s="471"/>
      <c r="AXX49" s="472"/>
      <c r="AXY49" s="473"/>
      <c r="AXZ49" s="474"/>
      <c r="AYA49" s="471"/>
      <c r="AYB49" s="472"/>
      <c r="AYC49" s="473"/>
      <c r="AYD49" s="474"/>
      <c r="AYE49" s="471"/>
      <c r="AYF49" s="472"/>
      <c r="AYG49" s="473"/>
      <c r="AYH49" s="474"/>
      <c r="AYI49" s="471"/>
      <c r="AYJ49" s="472"/>
      <c r="AYK49" s="473"/>
      <c r="AYL49" s="474"/>
      <c r="AYM49" s="471"/>
      <c r="AYN49" s="472"/>
      <c r="AYO49" s="473"/>
      <c r="AYP49" s="474"/>
      <c r="AYQ49" s="471"/>
      <c r="AYR49" s="472"/>
      <c r="AYS49" s="473"/>
      <c r="AYT49" s="474"/>
      <c r="AYU49" s="471"/>
      <c r="AYV49" s="472"/>
      <c r="AYW49" s="473"/>
      <c r="AYX49" s="474"/>
      <c r="AYY49" s="471"/>
      <c r="AYZ49" s="472"/>
      <c r="AZA49" s="473"/>
      <c r="AZB49" s="474"/>
      <c r="AZC49" s="471"/>
      <c r="AZD49" s="472"/>
      <c r="AZE49" s="473"/>
      <c r="AZF49" s="474"/>
      <c r="AZG49" s="471"/>
      <c r="AZH49" s="472"/>
      <c r="AZI49" s="473"/>
      <c r="AZJ49" s="474"/>
      <c r="AZK49" s="471"/>
      <c r="AZL49" s="472"/>
      <c r="AZM49" s="473"/>
      <c r="AZN49" s="474"/>
      <c r="AZO49" s="471"/>
      <c r="AZP49" s="472"/>
      <c r="AZQ49" s="473"/>
      <c r="AZR49" s="474"/>
      <c r="AZS49" s="471"/>
      <c r="AZT49" s="472"/>
      <c r="AZU49" s="473"/>
      <c r="AZV49" s="474"/>
      <c r="AZW49" s="471"/>
      <c r="AZX49" s="472"/>
      <c r="AZY49" s="473"/>
      <c r="AZZ49" s="474"/>
      <c r="BAA49" s="471"/>
      <c r="BAB49" s="472"/>
      <c r="BAC49" s="473"/>
      <c r="BAD49" s="474"/>
      <c r="BAE49" s="471"/>
      <c r="BAF49" s="472"/>
      <c r="BAG49" s="473"/>
      <c r="BAH49" s="474"/>
      <c r="BAI49" s="471"/>
      <c r="BAJ49" s="472"/>
      <c r="BAK49" s="473"/>
      <c r="BAL49" s="474"/>
      <c r="BAM49" s="471"/>
      <c r="BAN49" s="472"/>
      <c r="BAO49" s="473"/>
      <c r="BAP49" s="474"/>
      <c r="BAQ49" s="471"/>
      <c r="BAR49" s="472"/>
      <c r="BAS49" s="473"/>
      <c r="BAT49" s="474"/>
      <c r="BAU49" s="471"/>
      <c r="BAV49" s="472"/>
      <c r="BAW49" s="473"/>
      <c r="BAX49" s="474"/>
      <c r="BAY49" s="471"/>
      <c r="BAZ49" s="472"/>
      <c r="BBA49" s="473"/>
      <c r="BBB49" s="474"/>
      <c r="BBC49" s="471"/>
      <c r="BBD49" s="472"/>
      <c r="BBE49" s="473"/>
      <c r="BBF49" s="474"/>
      <c r="BBG49" s="471"/>
      <c r="BBH49" s="472"/>
      <c r="BBI49" s="473"/>
      <c r="BBJ49" s="474"/>
      <c r="BBK49" s="471"/>
      <c r="BBL49" s="472"/>
      <c r="BBM49" s="473"/>
      <c r="BBN49" s="474"/>
      <c r="BBO49" s="471"/>
      <c r="BBP49" s="472"/>
      <c r="BBQ49" s="473"/>
      <c r="BBR49" s="474"/>
      <c r="BBS49" s="471"/>
      <c r="BBT49" s="472"/>
      <c r="BBU49" s="473"/>
      <c r="BBV49" s="474"/>
      <c r="BBW49" s="471"/>
      <c r="BBX49" s="472"/>
      <c r="BBY49" s="473"/>
      <c r="BBZ49" s="474"/>
      <c r="BCA49" s="471"/>
      <c r="BCB49" s="472"/>
      <c r="BCC49" s="473"/>
      <c r="BCD49" s="474"/>
      <c r="BCE49" s="471"/>
      <c r="BCF49" s="472"/>
      <c r="BCG49" s="473"/>
      <c r="BCH49" s="474"/>
      <c r="BCI49" s="471"/>
      <c r="BCJ49" s="472"/>
      <c r="BCK49" s="473"/>
      <c r="BCL49" s="474"/>
      <c r="BCM49" s="471"/>
      <c r="BCN49" s="472"/>
      <c r="BCO49" s="473"/>
      <c r="BCP49" s="474"/>
      <c r="BCQ49" s="471"/>
      <c r="BCR49" s="472"/>
      <c r="BCS49" s="473"/>
      <c r="BCT49" s="474"/>
      <c r="BCU49" s="471"/>
      <c r="BCV49" s="472"/>
      <c r="BCW49" s="473"/>
      <c r="BCX49" s="474"/>
      <c r="BCY49" s="471"/>
      <c r="BCZ49" s="472"/>
      <c r="BDA49" s="473"/>
      <c r="BDB49" s="474"/>
      <c r="BDC49" s="471"/>
      <c r="BDD49" s="472"/>
      <c r="BDE49" s="473"/>
      <c r="BDF49" s="474"/>
      <c r="BDG49" s="471"/>
      <c r="BDH49" s="472"/>
      <c r="BDI49" s="473"/>
      <c r="BDJ49" s="474"/>
      <c r="BDK49" s="471"/>
      <c r="BDL49" s="472"/>
      <c r="BDM49" s="473"/>
      <c r="BDN49" s="474"/>
      <c r="BDO49" s="471"/>
      <c r="BDP49" s="472"/>
      <c r="BDQ49" s="473"/>
      <c r="BDR49" s="474"/>
      <c r="BDS49" s="471"/>
      <c r="BDT49" s="472"/>
      <c r="BDU49" s="473"/>
      <c r="BDV49" s="474"/>
      <c r="BDW49" s="471"/>
      <c r="BDX49" s="472"/>
      <c r="BDY49" s="473"/>
      <c r="BDZ49" s="474"/>
      <c r="BEA49" s="471"/>
      <c r="BEB49" s="472"/>
      <c r="BEC49" s="473"/>
      <c r="BED49" s="474"/>
      <c r="BEE49" s="471"/>
      <c r="BEF49" s="472"/>
      <c r="BEG49" s="473"/>
      <c r="BEH49" s="474"/>
      <c r="BEI49" s="471"/>
      <c r="BEJ49" s="472"/>
      <c r="BEK49" s="473"/>
      <c r="BEL49" s="474"/>
      <c r="BEM49" s="471"/>
      <c r="BEN49" s="472"/>
      <c r="BEO49" s="473"/>
      <c r="BEP49" s="474"/>
      <c r="BEQ49" s="471"/>
      <c r="BER49" s="472"/>
      <c r="BES49" s="473"/>
      <c r="BET49" s="474"/>
      <c r="BEU49" s="471"/>
      <c r="BEV49" s="472"/>
      <c r="BEW49" s="473"/>
      <c r="BEX49" s="474"/>
      <c r="BEY49" s="471"/>
      <c r="BEZ49" s="472"/>
      <c r="BFA49" s="473"/>
      <c r="BFB49" s="474"/>
      <c r="BFC49" s="471"/>
      <c r="BFD49" s="472"/>
      <c r="BFE49" s="473"/>
      <c r="BFF49" s="474"/>
      <c r="BFG49" s="471"/>
      <c r="BFH49" s="472"/>
      <c r="BFI49" s="473"/>
      <c r="BFJ49" s="474"/>
      <c r="BFK49" s="471"/>
      <c r="BFL49" s="472"/>
      <c r="BFM49" s="473"/>
      <c r="BFN49" s="474"/>
      <c r="BFO49" s="471"/>
      <c r="BFP49" s="472"/>
      <c r="BFQ49" s="473"/>
      <c r="BFR49" s="474"/>
      <c r="BFS49" s="471"/>
      <c r="BFT49" s="472"/>
      <c r="BFU49" s="473"/>
      <c r="BFV49" s="474"/>
      <c r="BFW49" s="471"/>
      <c r="BFX49" s="472"/>
      <c r="BFY49" s="473"/>
      <c r="BFZ49" s="474"/>
      <c r="BGA49" s="471"/>
      <c r="BGB49" s="472"/>
      <c r="BGC49" s="473"/>
      <c r="BGD49" s="474"/>
      <c r="BGE49" s="471"/>
      <c r="BGF49" s="472"/>
      <c r="BGG49" s="473"/>
      <c r="BGH49" s="474"/>
      <c r="BGI49" s="471"/>
      <c r="BGJ49" s="472"/>
      <c r="BGK49" s="473"/>
      <c r="BGL49" s="474"/>
      <c r="BGM49" s="471"/>
      <c r="BGN49" s="472"/>
      <c r="BGO49" s="473"/>
      <c r="BGP49" s="474"/>
      <c r="BGQ49" s="471"/>
      <c r="BGR49" s="472"/>
      <c r="BGS49" s="473"/>
      <c r="BGT49" s="474"/>
      <c r="BGU49" s="471"/>
      <c r="BGV49" s="472"/>
      <c r="BGW49" s="473"/>
      <c r="BGX49" s="474"/>
      <c r="BGY49" s="471"/>
      <c r="BGZ49" s="472"/>
      <c r="BHA49" s="473"/>
      <c r="BHB49" s="474"/>
      <c r="BHC49" s="471"/>
      <c r="BHD49" s="472"/>
      <c r="BHE49" s="473"/>
      <c r="BHF49" s="474"/>
      <c r="BHG49" s="471"/>
      <c r="BHH49" s="472"/>
      <c r="BHI49" s="473"/>
      <c r="BHJ49" s="474"/>
      <c r="BHK49" s="471"/>
      <c r="BHL49" s="472"/>
      <c r="BHM49" s="473"/>
      <c r="BHN49" s="474"/>
      <c r="BHO49" s="471"/>
      <c r="BHP49" s="472"/>
      <c r="BHQ49" s="473"/>
      <c r="BHR49" s="474"/>
      <c r="BHS49" s="471"/>
      <c r="BHT49" s="472"/>
      <c r="BHU49" s="473"/>
      <c r="BHV49" s="474"/>
      <c r="BHW49" s="471"/>
      <c r="BHX49" s="472"/>
      <c r="BHY49" s="473"/>
      <c r="BHZ49" s="474"/>
      <c r="BIA49" s="471"/>
      <c r="BIB49" s="472"/>
      <c r="BIC49" s="473"/>
      <c r="BID49" s="474"/>
      <c r="BIE49" s="471"/>
      <c r="BIF49" s="472"/>
      <c r="BIG49" s="473"/>
      <c r="BIH49" s="474"/>
      <c r="BII49" s="471"/>
      <c r="BIJ49" s="472"/>
      <c r="BIK49" s="473"/>
      <c r="BIL49" s="474"/>
      <c r="BIM49" s="471"/>
      <c r="BIN49" s="472"/>
      <c r="BIO49" s="473"/>
      <c r="BIP49" s="474"/>
      <c r="BIQ49" s="471"/>
      <c r="BIR49" s="472"/>
      <c r="BIS49" s="473"/>
      <c r="BIT49" s="474"/>
      <c r="BIU49" s="471"/>
      <c r="BIV49" s="472"/>
      <c r="BIW49" s="473"/>
      <c r="BIX49" s="474"/>
      <c r="BIY49" s="471"/>
      <c r="BIZ49" s="472"/>
      <c r="BJA49" s="473"/>
      <c r="BJB49" s="474"/>
      <c r="BJC49" s="471"/>
      <c r="BJD49" s="472"/>
      <c r="BJE49" s="473"/>
      <c r="BJF49" s="474"/>
      <c r="BJG49" s="471"/>
      <c r="BJH49" s="472"/>
      <c r="BJI49" s="473"/>
      <c r="BJJ49" s="474"/>
      <c r="BJK49" s="471"/>
      <c r="BJL49" s="472"/>
      <c r="BJM49" s="473"/>
      <c r="BJN49" s="474"/>
      <c r="BJO49" s="471"/>
      <c r="BJP49" s="472"/>
      <c r="BJQ49" s="473"/>
      <c r="BJR49" s="474"/>
      <c r="BJS49" s="471"/>
      <c r="BJT49" s="472"/>
      <c r="BJU49" s="473"/>
      <c r="BJV49" s="474"/>
      <c r="BJW49" s="471"/>
      <c r="BJX49" s="472"/>
      <c r="BJY49" s="473"/>
      <c r="BJZ49" s="474"/>
      <c r="BKA49" s="471"/>
      <c r="BKB49" s="472"/>
      <c r="BKC49" s="473"/>
      <c r="BKD49" s="474"/>
      <c r="BKE49" s="471"/>
      <c r="BKF49" s="472"/>
      <c r="BKG49" s="473"/>
      <c r="BKH49" s="474"/>
      <c r="BKI49" s="471"/>
      <c r="BKJ49" s="472"/>
      <c r="BKK49" s="473"/>
      <c r="BKL49" s="474"/>
      <c r="BKM49" s="471"/>
      <c r="BKN49" s="472"/>
      <c r="BKO49" s="473"/>
      <c r="BKP49" s="474"/>
      <c r="BKQ49" s="471"/>
      <c r="BKR49" s="472"/>
      <c r="BKS49" s="473"/>
      <c r="BKT49" s="474"/>
      <c r="BKU49" s="471"/>
      <c r="BKV49" s="472"/>
      <c r="BKW49" s="473"/>
      <c r="BKX49" s="474"/>
      <c r="BKY49" s="471"/>
      <c r="BKZ49" s="472"/>
      <c r="BLA49" s="473"/>
      <c r="BLB49" s="474"/>
      <c r="BLC49" s="471"/>
      <c r="BLD49" s="472"/>
      <c r="BLE49" s="473"/>
      <c r="BLF49" s="474"/>
      <c r="BLG49" s="471"/>
      <c r="BLH49" s="472"/>
      <c r="BLI49" s="473"/>
      <c r="BLJ49" s="474"/>
      <c r="BLK49" s="471"/>
      <c r="BLL49" s="472"/>
      <c r="BLM49" s="473"/>
      <c r="BLN49" s="474"/>
      <c r="BLO49" s="471"/>
      <c r="BLP49" s="472"/>
      <c r="BLQ49" s="473"/>
      <c r="BLR49" s="474"/>
      <c r="BLS49" s="471"/>
      <c r="BLT49" s="472"/>
      <c r="BLU49" s="473"/>
      <c r="BLV49" s="474"/>
      <c r="BLW49" s="471"/>
      <c r="BLX49" s="472"/>
      <c r="BLY49" s="473"/>
      <c r="BLZ49" s="474"/>
      <c r="BMA49" s="471"/>
      <c r="BMB49" s="472"/>
      <c r="BMC49" s="473"/>
      <c r="BMD49" s="474"/>
      <c r="BME49" s="471"/>
      <c r="BMF49" s="472"/>
      <c r="BMG49" s="473"/>
      <c r="BMH49" s="474"/>
      <c r="BMI49" s="471"/>
      <c r="BMJ49" s="472"/>
      <c r="BMK49" s="473"/>
      <c r="BML49" s="474"/>
      <c r="BMM49" s="471"/>
      <c r="BMN49" s="472"/>
      <c r="BMO49" s="473"/>
      <c r="BMP49" s="474"/>
      <c r="BMQ49" s="471"/>
      <c r="BMR49" s="472"/>
      <c r="BMS49" s="473"/>
      <c r="BMT49" s="474"/>
      <c r="BMU49" s="471"/>
      <c r="BMV49" s="472"/>
      <c r="BMW49" s="473"/>
      <c r="BMX49" s="474"/>
      <c r="BMY49" s="471"/>
      <c r="BMZ49" s="472"/>
      <c r="BNA49" s="473"/>
      <c r="BNB49" s="474"/>
      <c r="BNC49" s="471"/>
      <c r="BND49" s="472"/>
      <c r="BNE49" s="473"/>
      <c r="BNF49" s="474"/>
      <c r="BNG49" s="471"/>
      <c r="BNH49" s="472"/>
      <c r="BNI49" s="473"/>
      <c r="BNJ49" s="474"/>
      <c r="BNK49" s="471"/>
      <c r="BNL49" s="472"/>
      <c r="BNM49" s="473"/>
      <c r="BNN49" s="474"/>
      <c r="BNO49" s="471"/>
      <c r="BNP49" s="472"/>
      <c r="BNQ49" s="473"/>
      <c r="BNR49" s="474"/>
      <c r="BNS49" s="471"/>
      <c r="BNT49" s="472"/>
      <c r="BNU49" s="473"/>
      <c r="BNV49" s="474"/>
      <c r="BNW49" s="471"/>
      <c r="BNX49" s="472"/>
      <c r="BNY49" s="473"/>
      <c r="BNZ49" s="474"/>
      <c r="BOA49" s="471"/>
      <c r="BOB49" s="472"/>
      <c r="BOC49" s="473"/>
      <c r="BOD49" s="474"/>
      <c r="BOE49" s="471"/>
      <c r="BOF49" s="472"/>
      <c r="BOG49" s="473"/>
      <c r="BOH49" s="474"/>
      <c r="BOI49" s="471"/>
      <c r="BOJ49" s="472"/>
      <c r="BOK49" s="473"/>
      <c r="BOL49" s="474"/>
      <c r="BOM49" s="471"/>
      <c r="BON49" s="472"/>
      <c r="BOO49" s="473"/>
      <c r="BOP49" s="474"/>
      <c r="BOQ49" s="471"/>
      <c r="BOR49" s="472"/>
      <c r="BOS49" s="473"/>
      <c r="BOT49" s="474"/>
      <c r="BOU49" s="471"/>
      <c r="BOV49" s="472"/>
      <c r="BOW49" s="473"/>
      <c r="BOX49" s="474"/>
      <c r="BOY49" s="471"/>
      <c r="BOZ49" s="472"/>
      <c r="BPA49" s="473"/>
      <c r="BPB49" s="474"/>
      <c r="BPC49" s="471"/>
      <c r="BPD49" s="472"/>
      <c r="BPE49" s="473"/>
      <c r="BPF49" s="474"/>
      <c r="BPG49" s="471"/>
      <c r="BPH49" s="472"/>
      <c r="BPI49" s="473"/>
      <c r="BPJ49" s="474"/>
      <c r="BPK49" s="471"/>
      <c r="BPL49" s="472"/>
      <c r="BPM49" s="473"/>
      <c r="BPN49" s="474"/>
      <c r="BPO49" s="471"/>
      <c r="BPP49" s="472"/>
      <c r="BPQ49" s="473"/>
      <c r="BPR49" s="474"/>
      <c r="BPS49" s="471"/>
      <c r="BPT49" s="472"/>
      <c r="BPU49" s="473"/>
      <c r="BPV49" s="474"/>
      <c r="BPW49" s="471"/>
      <c r="BPX49" s="472"/>
      <c r="BPY49" s="473"/>
      <c r="BPZ49" s="474"/>
      <c r="BQA49" s="471"/>
      <c r="BQB49" s="472"/>
      <c r="BQC49" s="473"/>
      <c r="BQD49" s="474"/>
      <c r="BQE49" s="471"/>
      <c r="BQF49" s="472"/>
      <c r="BQG49" s="473"/>
      <c r="BQH49" s="474"/>
      <c r="BQI49" s="471"/>
      <c r="BQJ49" s="472"/>
      <c r="BQK49" s="473"/>
      <c r="BQL49" s="474"/>
      <c r="BQM49" s="471"/>
      <c r="BQN49" s="472"/>
      <c r="BQO49" s="473"/>
      <c r="BQP49" s="474"/>
      <c r="BQQ49" s="471"/>
      <c r="BQR49" s="472"/>
      <c r="BQS49" s="473"/>
      <c r="BQT49" s="474"/>
      <c r="BQU49" s="471"/>
      <c r="BQV49" s="472"/>
      <c r="BQW49" s="473"/>
      <c r="BQX49" s="474"/>
      <c r="BQY49" s="471"/>
      <c r="BQZ49" s="472"/>
      <c r="BRA49" s="473"/>
      <c r="BRB49" s="474"/>
      <c r="BRC49" s="471"/>
      <c r="BRD49" s="472"/>
      <c r="BRE49" s="473"/>
      <c r="BRF49" s="474"/>
      <c r="BRG49" s="471"/>
      <c r="BRH49" s="472"/>
      <c r="BRI49" s="473"/>
      <c r="BRJ49" s="474"/>
      <c r="BRK49" s="471"/>
      <c r="BRL49" s="472"/>
      <c r="BRM49" s="473"/>
      <c r="BRN49" s="474"/>
      <c r="BRO49" s="471"/>
      <c r="BRP49" s="472"/>
      <c r="BRQ49" s="473"/>
      <c r="BRR49" s="474"/>
      <c r="BRS49" s="471"/>
      <c r="BRT49" s="472"/>
      <c r="BRU49" s="473"/>
      <c r="BRV49" s="474"/>
      <c r="BRW49" s="471"/>
      <c r="BRX49" s="472"/>
      <c r="BRY49" s="473"/>
      <c r="BRZ49" s="474"/>
      <c r="BSA49" s="471"/>
      <c r="BSB49" s="472"/>
      <c r="BSC49" s="473"/>
      <c r="BSD49" s="474"/>
      <c r="BSE49" s="471"/>
      <c r="BSF49" s="472"/>
      <c r="BSG49" s="473"/>
      <c r="BSH49" s="474"/>
      <c r="BSI49" s="471"/>
      <c r="BSJ49" s="472"/>
      <c r="BSK49" s="473"/>
      <c r="BSL49" s="474"/>
      <c r="BSM49" s="471"/>
      <c r="BSN49" s="472"/>
      <c r="BSO49" s="473"/>
      <c r="BSP49" s="474"/>
      <c r="BSQ49" s="471"/>
      <c r="BSR49" s="472"/>
      <c r="BSS49" s="473"/>
      <c r="BST49" s="474"/>
      <c r="BSU49" s="471"/>
      <c r="BSV49" s="472"/>
      <c r="BSW49" s="473"/>
      <c r="BSX49" s="474"/>
      <c r="BSY49" s="471"/>
      <c r="BSZ49" s="472"/>
      <c r="BTA49" s="473"/>
      <c r="BTB49" s="474"/>
      <c r="BTC49" s="471"/>
      <c r="BTD49" s="472"/>
      <c r="BTE49" s="473"/>
      <c r="BTF49" s="474"/>
      <c r="BTG49" s="471"/>
      <c r="BTH49" s="472"/>
      <c r="BTI49" s="473"/>
      <c r="BTJ49" s="474"/>
      <c r="BTK49" s="471"/>
      <c r="BTL49" s="472"/>
      <c r="BTM49" s="473"/>
      <c r="BTN49" s="474"/>
      <c r="BTO49" s="471"/>
      <c r="BTP49" s="472"/>
      <c r="BTQ49" s="473"/>
      <c r="BTR49" s="474"/>
      <c r="BTS49" s="471"/>
      <c r="BTT49" s="472"/>
      <c r="BTU49" s="473"/>
      <c r="BTV49" s="474"/>
      <c r="BTW49" s="471"/>
      <c r="BTX49" s="472"/>
      <c r="BTY49" s="473"/>
      <c r="BTZ49" s="474"/>
      <c r="BUA49" s="471"/>
      <c r="BUB49" s="472"/>
      <c r="BUC49" s="473"/>
      <c r="BUD49" s="474"/>
      <c r="BUE49" s="471"/>
      <c r="BUF49" s="472"/>
      <c r="BUG49" s="473"/>
      <c r="BUH49" s="474"/>
      <c r="BUI49" s="471"/>
      <c r="BUJ49" s="472"/>
      <c r="BUK49" s="473"/>
      <c r="BUL49" s="474"/>
      <c r="BUM49" s="471"/>
      <c r="BUN49" s="472"/>
      <c r="BUO49" s="473"/>
      <c r="BUP49" s="474"/>
      <c r="BUQ49" s="471"/>
      <c r="BUR49" s="472"/>
      <c r="BUS49" s="473"/>
      <c r="BUT49" s="474"/>
      <c r="BUU49" s="471"/>
      <c r="BUV49" s="472"/>
      <c r="BUW49" s="473"/>
      <c r="BUX49" s="474"/>
      <c r="BUY49" s="471"/>
      <c r="BUZ49" s="472"/>
      <c r="BVA49" s="473"/>
      <c r="BVB49" s="474"/>
      <c r="BVC49" s="471"/>
      <c r="BVD49" s="472"/>
      <c r="BVE49" s="473"/>
      <c r="BVF49" s="474"/>
      <c r="BVG49" s="471"/>
      <c r="BVH49" s="472"/>
      <c r="BVI49" s="473"/>
      <c r="BVJ49" s="474"/>
      <c r="BVK49" s="471"/>
      <c r="BVL49" s="472"/>
      <c r="BVM49" s="473"/>
      <c r="BVN49" s="474"/>
      <c r="BVO49" s="471"/>
      <c r="BVP49" s="472"/>
      <c r="BVQ49" s="473"/>
      <c r="BVR49" s="474"/>
      <c r="BVS49" s="471"/>
      <c r="BVT49" s="472"/>
      <c r="BVU49" s="473"/>
      <c r="BVV49" s="474"/>
      <c r="BVW49" s="471"/>
      <c r="BVX49" s="472"/>
      <c r="BVY49" s="473"/>
      <c r="BVZ49" s="474"/>
      <c r="BWA49" s="471"/>
      <c r="BWB49" s="472"/>
      <c r="BWC49" s="473"/>
      <c r="BWD49" s="474"/>
      <c r="BWE49" s="471"/>
      <c r="BWF49" s="472"/>
      <c r="BWG49" s="473"/>
      <c r="BWH49" s="474"/>
      <c r="BWI49" s="471"/>
      <c r="BWJ49" s="472"/>
      <c r="BWK49" s="473"/>
      <c r="BWL49" s="474"/>
      <c r="BWM49" s="471"/>
      <c r="BWN49" s="472"/>
      <c r="BWO49" s="473"/>
      <c r="BWP49" s="474"/>
      <c r="BWQ49" s="471"/>
      <c r="BWR49" s="472"/>
      <c r="BWS49" s="473"/>
      <c r="BWT49" s="474"/>
      <c r="BWU49" s="471"/>
      <c r="BWV49" s="472"/>
      <c r="BWW49" s="473"/>
      <c r="BWX49" s="474"/>
      <c r="BWY49" s="471"/>
      <c r="BWZ49" s="472"/>
      <c r="BXA49" s="473"/>
      <c r="BXB49" s="474"/>
      <c r="BXC49" s="471"/>
      <c r="BXD49" s="472"/>
      <c r="BXE49" s="473"/>
      <c r="BXF49" s="474"/>
      <c r="BXG49" s="471"/>
      <c r="BXH49" s="472"/>
      <c r="BXI49" s="473"/>
      <c r="BXJ49" s="474"/>
      <c r="BXK49" s="471"/>
      <c r="BXL49" s="472"/>
      <c r="BXM49" s="473"/>
      <c r="BXN49" s="474"/>
      <c r="BXO49" s="471"/>
      <c r="BXP49" s="472"/>
      <c r="BXQ49" s="473"/>
      <c r="BXR49" s="474"/>
      <c r="BXS49" s="471"/>
      <c r="BXT49" s="472"/>
      <c r="BXU49" s="473"/>
      <c r="BXV49" s="474"/>
      <c r="BXW49" s="471"/>
      <c r="BXX49" s="472"/>
      <c r="BXY49" s="473"/>
      <c r="BXZ49" s="474"/>
      <c r="BYA49" s="471"/>
      <c r="BYB49" s="472"/>
      <c r="BYC49" s="473"/>
      <c r="BYD49" s="474"/>
      <c r="BYE49" s="471"/>
      <c r="BYF49" s="472"/>
      <c r="BYG49" s="473"/>
      <c r="BYH49" s="474"/>
      <c r="BYI49" s="471"/>
      <c r="BYJ49" s="472"/>
      <c r="BYK49" s="473"/>
      <c r="BYL49" s="474"/>
      <c r="BYM49" s="471"/>
      <c r="BYN49" s="472"/>
      <c r="BYO49" s="473"/>
      <c r="BYP49" s="474"/>
      <c r="BYQ49" s="471"/>
      <c r="BYR49" s="472"/>
      <c r="BYS49" s="473"/>
      <c r="BYT49" s="474"/>
      <c r="BYU49" s="471"/>
      <c r="BYV49" s="472"/>
      <c r="BYW49" s="473"/>
      <c r="BYX49" s="474"/>
      <c r="BYY49" s="471"/>
      <c r="BYZ49" s="472"/>
      <c r="BZA49" s="473"/>
      <c r="BZB49" s="474"/>
      <c r="BZC49" s="471"/>
      <c r="BZD49" s="472"/>
      <c r="BZE49" s="473"/>
      <c r="BZF49" s="474"/>
      <c r="BZG49" s="471"/>
      <c r="BZH49" s="472"/>
      <c r="BZI49" s="473"/>
      <c r="BZJ49" s="474"/>
      <c r="BZK49" s="471"/>
      <c r="BZL49" s="472"/>
      <c r="BZM49" s="473"/>
      <c r="BZN49" s="474"/>
      <c r="BZO49" s="471"/>
      <c r="BZP49" s="472"/>
      <c r="BZQ49" s="473"/>
      <c r="BZR49" s="474"/>
      <c r="BZS49" s="471"/>
      <c r="BZT49" s="472"/>
      <c r="BZU49" s="473"/>
      <c r="BZV49" s="474"/>
      <c r="BZW49" s="471"/>
      <c r="BZX49" s="472"/>
      <c r="BZY49" s="473"/>
      <c r="BZZ49" s="474"/>
      <c r="CAA49" s="471"/>
      <c r="CAB49" s="472"/>
      <c r="CAC49" s="473"/>
      <c r="CAD49" s="474"/>
      <c r="CAE49" s="471"/>
      <c r="CAF49" s="472"/>
      <c r="CAG49" s="473"/>
      <c r="CAH49" s="474"/>
      <c r="CAI49" s="471"/>
      <c r="CAJ49" s="472"/>
      <c r="CAK49" s="473"/>
      <c r="CAL49" s="474"/>
      <c r="CAM49" s="471"/>
      <c r="CAN49" s="472"/>
      <c r="CAO49" s="473"/>
      <c r="CAP49" s="474"/>
      <c r="CAQ49" s="471"/>
      <c r="CAR49" s="472"/>
      <c r="CAS49" s="473"/>
      <c r="CAT49" s="474"/>
      <c r="CAU49" s="471"/>
      <c r="CAV49" s="472"/>
      <c r="CAW49" s="473"/>
      <c r="CAX49" s="474"/>
      <c r="CAY49" s="471"/>
      <c r="CAZ49" s="472"/>
      <c r="CBA49" s="473"/>
      <c r="CBB49" s="474"/>
      <c r="CBC49" s="471"/>
      <c r="CBD49" s="472"/>
      <c r="CBE49" s="473"/>
      <c r="CBF49" s="474"/>
      <c r="CBG49" s="471"/>
      <c r="CBH49" s="472"/>
      <c r="CBI49" s="473"/>
      <c r="CBJ49" s="474"/>
      <c r="CBK49" s="471"/>
      <c r="CBL49" s="472"/>
      <c r="CBM49" s="473"/>
      <c r="CBN49" s="474"/>
      <c r="CBO49" s="471"/>
      <c r="CBP49" s="472"/>
      <c r="CBQ49" s="473"/>
      <c r="CBR49" s="474"/>
      <c r="CBS49" s="471"/>
      <c r="CBT49" s="472"/>
      <c r="CBU49" s="473"/>
      <c r="CBV49" s="474"/>
      <c r="CBW49" s="471"/>
      <c r="CBX49" s="472"/>
      <c r="CBY49" s="473"/>
      <c r="CBZ49" s="474"/>
      <c r="CCA49" s="471"/>
      <c r="CCB49" s="472"/>
      <c r="CCC49" s="473"/>
      <c r="CCD49" s="474"/>
      <c r="CCE49" s="471"/>
      <c r="CCF49" s="472"/>
      <c r="CCG49" s="473"/>
      <c r="CCH49" s="474"/>
      <c r="CCI49" s="471"/>
      <c r="CCJ49" s="472"/>
      <c r="CCK49" s="473"/>
      <c r="CCL49" s="474"/>
      <c r="CCM49" s="471"/>
      <c r="CCN49" s="472"/>
      <c r="CCO49" s="473"/>
      <c r="CCP49" s="474"/>
      <c r="CCQ49" s="471"/>
      <c r="CCR49" s="472"/>
      <c r="CCS49" s="473"/>
      <c r="CCT49" s="474"/>
      <c r="CCU49" s="471"/>
      <c r="CCV49" s="472"/>
      <c r="CCW49" s="473"/>
      <c r="CCX49" s="474"/>
      <c r="CCY49" s="471"/>
      <c r="CCZ49" s="472"/>
      <c r="CDA49" s="473"/>
      <c r="CDB49" s="474"/>
      <c r="CDC49" s="471"/>
      <c r="CDD49" s="472"/>
      <c r="CDE49" s="473"/>
      <c r="CDF49" s="474"/>
      <c r="CDG49" s="471"/>
      <c r="CDH49" s="472"/>
      <c r="CDI49" s="473"/>
      <c r="CDJ49" s="474"/>
      <c r="CDK49" s="471"/>
      <c r="CDL49" s="472"/>
      <c r="CDM49" s="473"/>
      <c r="CDN49" s="474"/>
      <c r="CDO49" s="471"/>
      <c r="CDP49" s="472"/>
      <c r="CDQ49" s="473"/>
      <c r="CDR49" s="474"/>
      <c r="CDS49" s="471"/>
      <c r="CDT49" s="472"/>
      <c r="CDU49" s="473"/>
      <c r="CDV49" s="474"/>
      <c r="CDW49" s="471"/>
      <c r="CDX49" s="472"/>
      <c r="CDY49" s="473"/>
      <c r="CDZ49" s="474"/>
      <c r="CEA49" s="471"/>
      <c r="CEB49" s="472"/>
      <c r="CEC49" s="473"/>
      <c r="CED49" s="474"/>
      <c r="CEE49" s="471"/>
      <c r="CEF49" s="472"/>
      <c r="CEG49" s="473"/>
      <c r="CEH49" s="474"/>
      <c r="CEI49" s="471"/>
      <c r="CEJ49" s="472"/>
      <c r="CEK49" s="473"/>
      <c r="CEL49" s="474"/>
      <c r="CEM49" s="471"/>
      <c r="CEN49" s="472"/>
      <c r="CEO49" s="473"/>
      <c r="CEP49" s="474"/>
      <c r="CEQ49" s="471"/>
      <c r="CER49" s="472"/>
      <c r="CES49" s="473"/>
      <c r="CET49" s="474"/>
      <c r="CEU49" s="471"/>
      <c r="CEV49" s="472"/>
      <c r="CEW49" s="473"/>
      <c r="CEX49" s="474"/>
      <c r="CEY49" s="471"/>
      <c r="CEZ49" s="472"/>
      <c r="CFA49" s="473"/>
      <c r="CFB49" s="474"/>
      <c r="CFC49" s="471"/>
      <c r="CFD49" s="472"/>
      <c r="CFE49" s="473"/>
      <c r="CFF49" s="474"/>
      <c r="CFG49" s="471"/>
      <c r="CFH49" s="472"/>
      <c r="CFI49" s="473"/>
      <c r="CFJ49" s="474"/>
      <c r="CFK49" s="471"/>
      <c r="CFL49" s="472"/>
      <c r="CFM49" s="473"/>
      <c r="CFN49" s="474"/>
      <c r="CFO49" s="471"/>
      <c r="CFP49" s="472"/>
      <c r="CFQ49" s="473"/>
      <c r="CFR49" s="474"/>
      <c r="CFS49" s="471"/>
      <c r="CFT49" s="472"/>
      <c r="CFU49" s="473"/>
      <c r="CFV49" s="474"/>
      <c r="CFW49" s="471"/>
      <c r="CFX49" s="472"/>
      <c r="CFY49" s="473"/>
      <c r="CFZ49" s="474"/>
      <c r="CGA49" s="471"/>
      <c r="CGB49" s="472"/>
      <c r="CGC49" s="473"/>
      <c r="CGD49" s="474"/>
      <c r="CGE49" s="471"/>
      <c r="CGF49" s="472"/>
      <c r="CGG49" s="473"/>
      <c r="CGH49" s="474"/>
      <c r="CGI49" s="471"/>
      <c r="CGJ49" s="472"/>
      <c r="CGK49" s="473"/>
      <c r="CGL49" s="474"/>
      <c r="CGM49" s="471"/>
      <c r="CGN49" s="472"/>
      <c r="CGO49" s="473"/>
      <c r="CGP49" s="474"/>
      <c r="CGQ49" s="471"/>
      <c r="CGR49" s="472"/>
      <c r="CGS49" s="473"/>
      <c r="CGT49" s="474"/>
      <c r="CGU49" s="471"/>
      <c r="CGV49" s="472"/>
      <c r="CGW49" s="473"/>
      <c r="CGX49" s="474"/>
      <c r="CGY49" s="471"/>
      <c r="CGZ49" s="472"/>
      <c r="CHA49" s="473"/>
      <c r="CHB49" s="474"/>
      <c r="CHC49" s="471"/>
      <c r="CHD49" s="472"/>
      <c r="CHE49" s="473"/>
      <c r="CHF49" s="474"/>
      <c r="CHG49" s="471"/>
      <c r="CHH49" s="472"/>
      <c r="CHI49" s="473"/>
      <c r="CHJ49" s="474"/>
      <c r="CHK49" s="471"/>
      <c r="CHL49" s="472"/>
      <c r="CHM49" s="473"/>
      <c r="CHN49" s="474"/>
      <c r="CHO49" s="471"/>
      <c r="CHP49" s="472"/>
      <c r="CHQ49" s="473"/>
      <c r="CHR49" s="474"/>
      <c r="CHS49" s="471"/>
      <c r="CHT49" s="472"/>
      <c r="CHU49" s="473"/>
      <c r="CHV49" s="474"/>
      <c r="CHW49" s="471"/>
      <c r="CHX49" s="472"/>
      <c r="CHY49" s="473"/>
      <c r="CHZ49" s="474"/>
      <c r="CIA49" s="471"/>
      <c r="CIB49" s="472"/>
      <c r="CIC49" s="473"/>
      <c r="CID49" s="474"/>
      <c r="CIE49" s="471"/>
      <c r="CIF49" s="472"/>
      <c r="CIG49" s="473"/>
      <c r="CIH49" s="474"/>
      <c r="CII49" s="471"/>
      <c r="CIJ49" s="472"/>
      <c r="CIK49" s="473"/>
      <c r="CIL49" s="474"/>
      <c r="CIM49" s="471"/>
      <c r="CIN49" s="472"/>
      <c r="CIO49" s="473"/>
      <c r="CIP49" s="474"/>
      <c r="CIQ49" s="471"/>
      <c r="CIR49" s="472"/>
      <c r="CIS49" s="473"/>
      <c r="CIT49" s="474"/>
      <c r="CIU49" s="471"/>
      <c r="CIV49" s="472"/>
      <c r="CIW49" s="473"/>
      <c r="CIX49" s="474"/>
      <c r="CIY49" s="471"/>
      <c r="CIZ49" s="472"/>
      <c r="CJA49" s="473"/>
      <c r="CJB49" s="474"/>
      <c r="CJC49" s="471"/>
      <c r="CJD49" s="472"/>
      <c r="CJE49" s="473"/>
      <c r="CJF49" s="474"/>
      <c r="CJG49" s="471"/>
      <c r="CJH49" s="472"/>
      <c r="CJI49" s="473"/>
      <c r="CJJ49" s="474"/>
      <c r="CJK49" s="471"/>
      <c r="CJL49" s="472"/>
      <c r="CJM49" s="473"/>
      <c r="CJN49" s="474"/>
      <c r="CJO49" s="471"/>
      <c r="CJP49" s="472"/>
      <c r="CJQ49" s="473"/>
      <c r="CJR49" s="474"/>
      <c r="CJS49" s="471"/>
      <c r="CJT49" s="472"/>
      <c r="CJU49" s="473"/>
      <c r="CJV49" s="474"/>
      <c r="CJW49" s="471"/>
      <c r="CJX49" s="472"/>
      <c r="CJY49" s="473"/>
      <c r="CJZ49" s="474"/>
      <c r="CKA49" s="471"/>
      <c r="CKB49" s="472"/>
      <c r="CKC49" s="473"/>
      <c r="CKD49" s="474"/>
      <c r="CKE49" s="471"/>
      <c r="CKF49" s="472"/>
      <c r="CKG49" s="473"/>
      <c r="CKH49" s="474"/>
      <c r="CKI49" s="471"/>
      <c r="CKJ49" s="472"/>
      <c r="CKK49" s="473"/>
      <c r="CKL49" s="474"/>
      <c r="CKM49" s="471"/>
      <c r="CKN49" s="472"/>
      <c r="CKO49" s="473"/>
      <c r="CKP49" s="474"/>
      <c r="CKQ49" s="471"/>
      <c r="CKR49" s="472"/>
      <c r="CKS49" s="473"/>
      <c r="CKT49" s="474"/>
      <c r="CKU49" s="471"/>
      <c r="CKV49" s="472"/>
      <c r="CKW49" s="473"/>
      <c r="CKX49" s="474"/>
      <c r="CKY49" s="471"/>
      <c r="CKZ49" s="472"/>
      <c r="CLA49" s="473"/>
      <c r="CLB49" s="474"/>
      <c r="CLC49" s="471"/>
      <c r="CLD49" s="472"/>
      <c r="CLE49" s="473"/>
      <c r="CLF49" s="474"/>
      <c r="CLG49" s="471"/>
      <c r="CLH49" s="472"/>
      <c r="CLI49" s="473"/>
      <c r="CLJ49" s="474"/>
      <c r="CLK49" s="471"/>
      <c r="CLL49" s="472"/>
      <c r="CLM49" s="473"/>
      <c r="CLN49" s="474"/>
      <c r="CLO49" s="471"/>
      <c r="CLP49" s="472"/>
      <c r="CLQ49" s="473"/>
      <c r="CLR49" s="474"/>
      <c r="CLS49" s="471"/>
      <c r="CLT49" s="472"/>
      <c r="CLU49" s="473"/>
      <c r="CLV49" s="474"/>
      <c r="CLW49" s="471"/>
      <c r="CLX49" s="472"/>
      <c r="CLY49" s="473"/>
      <c r="CLZ49" s="474"/>
      <c r="CMA49" s="471"/>
      <c r="CMB49" s="472"/>
      <c r="CMC49" s="473"/>
      <c r="CMD49" s="474"/>
      <c r="CME49" s="471"/>
      <c r="CMF49" s="472"/>
      <c r="CMG49" s="473"/>
      <c r="CMH49" s="474"/>
      <c r="CMI49" s="471"/>
      <c r="CMJ49" s="472"/>
      <c r="CMK49" s="473"/>
      <c r="CML49" s="474"/>
      <c r="CMM49" s="471"/>
      <c r="CMN49" s="472"/>
      <c r="CMO49" s="473"/>
      <c r="CMP49" s="474"/>
      <c r="CMQ49" s="471"/>
      <c r="CMR49" s="472"/>
      <c r="CMS49" s="473"/>
      <c r="CMT49" s="474"/>
      <c r="CMU49" s="471"/>
      <c r="CMV49" s="472"/>
      <c r="CMW49" s="473"/>
      <c r="CMX49" s="474"/>
      <c r="CMY49" s="471"/>
      <c r="CMZ49" s="472"/>
      <c r="CNA49" s="473"/>
      <c r="CNB49" s="474"/>
      <c r="CNC49" s="471"/>
      <c r="CND49" s="472"/>
      <c r="CNE49" s="473"/>
      <c r="CNF49" s="474"/>
      <c r="CNG49" s="471"/>
      <c r="CNH49" s="472"/>
      <c r="CNI49" s="473"/>
      <c r="CNJ49" s="474"/>
      <c r="CNK49" s="471"/>
      <c r="CNL49" s="472"/>
      <c r="CNM49" s="473"/>
      <c r="CNN49" s="474"/>
      <c r="CNO49" s="471"/>
      <c r="CNP49" s="472"/>
      <c r="CNQ49" s="473"/>
      <c r="CNR49" s="474"/>
      <c r="CNS49" s="471"/>
      <c r="CNT49" s="472"/>
      <c r="CNU49" s="473"/>
      <c r="CNV49" s="474"/>
      <c r="CNW49" s="471"/>
      <c r="CNX49" s="472"/>
      <c r="CNY49" s="473"/>
      <c r="CNZ49" s="474"/>
      <c r="COA49" s="471"/>
      <c r="COB49" s="472"/>
      <c r="COC49" s="473"/>
      <c r="COD49" s="474"/>
      <c r="COE49" s="471"/>
      <c r="COF49" s="472"/>
      <c r="COG49" s="473"/>
      <c r="COH49" s="474"/>
      <c r="COI49" s="471"/>
      <c r="COJ49" s="472"/>
      <c r="COK49" s="473"/>
      <c r="COL49" s="474"/>
      <c r="COM49" s="471"/>
      <c r="CON49" s="472"/>
      <c r="COO49" s="473"/>
      <c r="COP49" s="474"/>
      <c r="COQ49" s="471"/>
      <c r="COR49" s="472"/>
      <c r="COS49" s="473"/>
      <c r="COT49" s="474"/>
      <c r="COU49" s="471"/>
      <c r="COV49" s="472"/>
      <c r="COW49" s="473"/>
      <c r="COX49" s="474"/>
      <c r="COY49" s="471"/>
      <c r="COZ49" s="472"/>
      <c r="CPA49" s="473"/>
      <c r="CPB49" s="474"/>
      <c r="CPC49" s="471"/>
      <c r="CPD49" s="472"/>
      <c r="CPE49" s="473"/>
      <c r="CPF49" s="474"/>
      <c r="CPG49" s="471"/>
      <c r="CPH49" s="472"/>
      <c r="CPI49" s="473"/>
      <c r="CPJ49" s="474"/>
      <c r="CPK49" s="471"/>
      <c r="CPL49" s="472"/>
      <c r="CPM49" s="473"/>
      <c r="CPN49" s="474"/>
      <c r="CPO49" s="471"/>
      <c r="CPP49" s="472"/>
      <c r="CPQ49" s="473"/>
      <c r="CPR49" s="474"/>
      <c r="CPS49" s="471"/>
      <c r="CPT49" s="472"/>
      <c r="CPU49" s="473"/>
      <c r="CPV49" s="474"/>
      <c r="CPW49" s="471"/>
      <c r="CPX49" s="472"/>
      <c r="CPY49" s="473"/>
      <c r="CPZ49" s="474"/>
      <c r="CQA49" s="471"/>
      <c r="CQB49" s="472"/>
      <c r="CQC49" s="473"/>
      <c r="CQD49" s="474"/>
      <c r="CQE49" s="471"/>
      <c r="CQF49" s="472"/>
      <c r="CQG49" s="473"/>
      <c r="CQH49" s="474"/>
      <c r="CQI49" s="471"/>
      <c r="CQJ49" s="472"/>
      <c r="CQK49" s="473"/>
      <c r="CQL49" s="474"/>
      <c r="CQM49" s="471"/>
      <c r="CQN49" s="472"/>
      <c r="CQO49" s="473"/>
      <c r="CQP49" s="474"/>
      <c r="CQQ49" s="471"/>
      <c r="CQR49" s="472"/>
      <c r="CQS49" s="473"/>
      <c r="CQT49" s="474"/>
      <c r="CQU49" s="471"/>
      <c r="CQV49" s="472"/>
      <c r="CQW49" s="473"/>
      <c r="CQX49" s="474"/>
      <c r="CQY49" s="471"/>
      <c r="CQZ49" s="472"/>
      <c r="CRA49" s="473"/>
      <c r="CRB49" s="474"/>
      <c r="CRC49" s="471"/>
      <c r="CRD49" s="472"/>
      <c r="CRE49" s="473"/>
      <c r="CRF49" s="474"/>
      <c r="CRG49" s="471"/>
      <c r="CRH49" s="472"/>
      <c r="CRI49" s="473"/>
      <c r="CRJ49" s="474"/>
      <c r="CRK49" s="471"/>
      <c r="CRL49" s="472"/>
      <c r="CRM49" s="473"/>
      <c r="CRN49" s="474"/>
      <c r="CRO49" s="471"/>
      <c r="CRP49" s="472"/>
      <c r="CRQ49" s="473"/>
      <c r="CRR49" s="474"/>
      <c r="CRS49" s="471"/>
      <c r="CRT49" s="472"/>
      <c r="CRU49" s="473"/>
      <c r="CRV49" s="474"/>
      <c r="CRW49" s="471"/>
      <c r="CRX49" s="472"/>
      <c r="CRY49" s="473"/>
      <c r="CRZ49" s="474"/>
      <c r="CSA49" s="471"/>
      <c r="CSB49" s="472"/>
      <c r="CSC49" s="473"/>
      <c r="CSD49" s="474"/>
      <c r="CSE49" s="471"/>
      <c r="CSF49" s="472"/>
      <c r="CSG49" s="473"/>
      <c r="CSH49" s="474"/>
      <c r="CSI49" s="471"/>
      <c r="CSJ49" s="472"/>
      <c r="CSK49" s="473"/>
      <c r="CSL49" s="474"/>
      <c r="CSM49" s="471"/>
      <c r="CSN49" s="472"/>
      <c r="CSO49" s="473"/>
      <c r="CSP49" s="474"/>
      <c r="CSQ49" s="471"/>
      <c r="CSR49" s="472"/>
      <c r="CSS49" s="473"/>
      <c r="CST49" s="474"/>
      <c r="CSU49" s="471"/>
      <c r="CSV49" s="472"/>
      <c r="CSW49" s="473"/>
      <c r="CSX49" s="474"/>
      <c r="CSY49" s="471"/>
      <c r="CSZ49" s="472"/>
      <c r="CTA49" s="473"/>
      <c r="CTB49" s="474"/>
      <c r="CTC49" s="471"/>
      <c r="CTD49" s="472"/>
      <c r="CTE49" s="473"/>
      <c r="CTF49" s="474"/>
      <c r="CTG49" s="471"/>
      <c r="CTH49" s="472"/>
      <c r="CTI49" s="473"/>
      <c r="CTJ49" s="474"/>
      <c r="CTK49" s="471"/>
      <c r="CTL49" s="472"/>
      <c r="CTM49" s="473"/>
      <c r="CTN49" s="474"/>
      <c r="CTO49" s="471"/>
      <c r="CTP49" s="472"/>
      <c r="CTQ49" s="473"/>
      <c r="CTR49" s="474"/>
      <c r="CTS49" s="471"/>
      <c r="CTT49" s="472"/>
      <c r="CTU49" s="473"/>
      <c r="CTV49" s="474"/>
      <c r="CTW49" s="471"/>
      <c r="CTX49" s="472"/>
      <c r="CTY49" s="473"/>
      <c r="CTZ49" s="474"/>
      <c r="CUA49" s="471"/>
      <c r="CUB49" s="472"/>
      <c r="CUC49" s="473"/>
      <c r="CUD49" s="474"/>
      <c r="CUE49" s="471"/>
      <c r="CUF49" s="472"/>
      <c r="CUG49" s="473"/>
      <c r="CUH49" s="474"/>
      <c r="CUI49" s="471"/>
      <c r="CUJ49" s="472"/>
      <c r="CUK49" s="473"/>
      <c r="CUL49" s="474"/>
      <c r="CUM49" s="471"/>
      <c r="CUN49" s="472"/>
      <c r="CUO49" s="473"/>
      <c r="CUP49" s="474"/>
      <c r="CUQ49" s="471"/>
      <c r="CUR49" s="472"/>
      <c r="CUS49" s="473"/>
      <c r="CUT49" s="474"/>
      <c r="CUU49" s="471"/>
      <c r="CUV49" s="472"/>
      <c r="CUW49" s="473"/>
      <c r="CUX49" s="474"/>
      <c r="CUY49" s="471"/>
      <c r="CUZ49" s="472"/>
      <c r="CVA49" s="473"/>
      <c r="CVB49" s="474"/>
      <c r="CVC49" s="471"/>
      <c r="CVD49" s="472"/>
      <c r="CVE49" s="473"/>
      <c r="CVF49" s="474"/>
      <c r="CVG49" s="471"/>
      <c r="CVH49" s="472"/>
      <c r="CVI49" s="473"/>
      <c r="CVJ49" s="474"/>
      <c r="CVK49" s="471"/>
      <c r="CVL49" s="472"/>
      <c r="CVM49" s="473"/>
      <c r="CVN49" s="474"/>
      <c r="CVO49" s="471"/>
      <c r="CVP49" s="472"/>
      <c r="CVQ49" s="473"/>
      <c r="CVR49" s="474"/>
      <c r="CVS49" s="471"/>
      <c r="CVT49" s="472"/>
      <c r="CVU49" s="473"/>
      <c r="CVV49" s="474"/>
      <c r="CVW49" s="471"/>
      <c r="CVX49" s="472"/>
      <c r="CVY49" s="473"/>
      <c r="CVZ49" s="474"/>
      <c r="CWA49" s="471"/>
      <c r="CWB49" s="472"/>
      <c r="CWC49" s="473"/>
      <c r="CWD49" s="474"/>
      <c r="CWE49" s="471"/>
      <c r="CWF49" s="472"/>
      <c r="CWG49" s="473"/>
      <c r="CWH49" s="474"/>
      <c r="CWI49" s="471"/>
      <c r="CWJ49" s="472"/>
      <c r="CWK49" s="473"/>
      <c r="CWL49" s="474"/>
      <c r="CWM49" s="471"/>
      <c r="CWN49" s="472"/>
      <c r="CWO49" s="473"/>
      <c r="CWP49" s="474"/>
      <c r="CWQ49" s="471"/>
      <c r="CWR49" s="472"/>
      <c r="CWS49" s="473"/>
      <c r="CWT49" s="474"/>
      <c r="CWU49" s="471"/>
      <c r="CWV49" s="472"/>
      <c r="CWW49" s="473"/>
      <c r="CWX49" s="474"/>
      <c r="CWY49" s="471"/>
      <c r="CWZ49" s="472"/>
      <c r="CXA49" s="473"/>
      <c r="CXB49" s="474"/>
      <c r="CXC49" s="471"/>
      <c r="CXD49" s="472"/>
      <c r="CXE49" s="473"/>
      <c r="CXF49" s="474"/>
      <c r="CXG49" s="471"/>
      <c r="CXH49" s="472"/>
      <c r="CXI49" s="473"/>
      <c r="CXJ49" s="474"/>
      <c r="CXK49" s="471"/>
      <c r="CXL49" s="472"/>
      <c r="CXM49" s="473"/>
      <c r="CXN49" s="474"/>
      <c r="CXO49" s="471"/>
      <c r="CXP49" s="472"/>
      <c r="CXQ49" s="473"/>
      <c r="CXR49" s="474"/>
      <c r="CXS49" s="471"/>
      <c r="CXT49" s="472"/>
      <c r="CXU49" s="473"/>
      <c r="CXV49" s="474"/>
      <c r="CXW49" s="471"/>
      <c r="CXX49" s="472"/>
      <c r="CXY49" s="473"/>
      <c r="CXZ49" s="474"/>
      <c r="CYA49" s="471"/>
      <c r="CYB49" s="472"/>
      <c r="CYC49" s="473"/>
      <c r="CYD49" s="474"/>
      <c r="CYE49" s="471"/>
      <c r="CYF49" s="472"/>
      <c r="CYG49" s="473"/>
      <c r="CYH49" s="474"/>
      <c r="CYI49" s="471"/>
      <c r="CYJ49" s="472"/>
      <c r="CYK49" s="473"/>
      <c r="CYL49" s="474"/>
      <c r="CYM49" s="471"/>
      <c r="CYN49" s="472"/>
      <c r="CYO49" s="473"/>
      <c r="CYP49" s="474"/>
      <c r="CYQ49" s="471"/>
      <c r="CYR49" s="472"/>
      <c r="CYS49" s="473"/>
      <c r="CYT49" s="474"/>
      <c r="CYU49" s="471"/>
      <c r="CYV49" s="472"/>
      <c r="CYW49" s="473"/>
      <c r="CYX49" s="474"/>
      <c r="CYY49" s="471"/>
      <c r="CYZ49" s="472"/>
      <c r="CZA49" s="473"/>
      <c r="CZB49" s="474"/>
      <c r="CZC49" s="471"/>
      <c r="CZD49" s="472"/>
      <c r="CZE49" s="473"/>
      <c r="CZF49" s="474"/>
      <c r="CZG49" s="471"/>
      <c r="CZH49" s="472"/>
      <c r="CZI49" s="473"/>
      <c r="CZJ49" s="474"/>
      <c r="CZK49" s="471"/>
      <c r="CZL49" s="472"/>
      <c r="CZM49" s="473"/>
      <c r="CZN49" s="474"/>
      <c r="CZO49" s="471"/>
      <c r="CZP49" s="472"/>
      <c r="CZQ49" s="473"/>
      <c r="CZR49" s="474"/>
      <c r="CZS49" s="471"/>
      <c r="CZT49" s="472"/>
      <c r="CZU49" s="473"/>
      <c r="CZV49" s="474"/>
      <c r="CZW49" s="471"/>
      <c r="CZX49" s="472"/>
      <c r="CZY49" s="473"/>
      <c r="CZZ49" s="474"/>
      <c r="DAA49" s="471"/>
      <c r="DAB49" s="472"/>
      <c r="DAC49" s="473"/>
      <c r="DAD49" s="474"/>
      <c r="DAE49" s="471"/>
      <c r="DAF49" s="472"/>
      <c r="DAG49" s="473"/>
      <c r="DAH49" s="474"/>
      <c r="DAI49" s="471"/>
      <c r="DAJ49" s="472"/>
      <c r="DAK49" s="473"/>
      <c r="DAL49" s="474"/>
      <c r="DAM49" s="471"/>
      <c r="DAN49" s="472"/>
      <c r="DAO49" s="473"/>
      <c r="DAP49" s="474"/>
      <c r="DAQ49" s="471"/>
      <c r="DAR49" s="472"/>
      <c r="DAS49" s="473"/>
      <c r="DAT49" s="474"/>
      <c r="DAU49" s="471"/>
      <c r="DAV49" s="472"/>
      <c r="DAW49" s="473"/>
      <c r="DAX49" s="474"/>
      <c r="DAY49" s="471"/>
      <c r="DAZ49" s="472"/>
      <c r="DBA49" s="473"/>
      <c r="DBB49" s="474"/>
      <c r="DBC49" s="471"/>
      <c r="DBD49" s="472"/>
      <c r="DBE49" s="473"/>
      <c r="DBF49" s="474"/>
      <c r="DBG49" s="471"/>
      <c r="DBH49" s="472"/>
      <c r="DBI49" s="473"/>
      <c r="DBJ49" s="474"/>
      <c r="DBK49" s="471"/>
      <c r="DBL49" s="472"/>
      <c r="DBM49" s="473"/>
      <c r="DBN49" s="474"/>
      <c r="DBO49" s="471"/>
      <c r="DBP49" s="472"/>
      <c r="DBQ49" s="473"/>
      <c r="DBR49" s="474"/>
      <c r="DBS49" s="471"/>
      <c r="DBT49" s="472"/>
      <c r="DBU49" s="473"/>
      <c r="DBV49" s="474"/>
      <c r="DBW49" s="471"/>
      <c r="DBX49" s="472"/>
      <c r="DBY49" s="473"/>
      <c r="DBZ49" s="474"/>
      <c r="DCA49" s="471"/>
      <c r="DCB49" s="472"/>
      <c r="DCC49" s="473"/>
      <c r="DCD49" s="474"/>
      <c r="DCE49" s="471"/>
      <c r="DCF49" s="472"/>
      <c r="DCG49" s="473"/>
      <c r="DCH49" s="474"/>
      <c r="DCI49" s="471"/>
      <c r="DCJ49" s="472"/>
      <c r="DCK49" s="473"/>
      <c r="DCL49" s="474"/>
      <c r="DCM49" s="471"/>
      <c r="DCN49" s="472"/>
      <c r="DCO49" s="473"/>
      <c r="DCP49" s="474"/>
      <c r="DCQ49" s="471"/>
      <c r="DCR49" s="472"/>
      <c r="DCS49" s="473"/>
      <c r="DCT49" s="474"/>
      <c r="DCU49" s="471"/>
      <c r="DCV49" s="472"/>
      <c r="DCW49" s="473"/>
      <c r="DCX49" s="474"/>
      <c r="DCY49" s="471"/>
      <c r="DCZ49" s="472"/>
      <c r="DDA49" s="473"/>
      <c r="DDB49" s="474"/>
      <c r="DDC49" s="471"/>
      <c r="DDD49" s="472"/>
      <c r="DDE49" s="473"/>
      <c r="DDF49" s="474"/>
      <c r="DDG49" s="471"/>
      <c r="DDH49" s="472"/>
      <c r="DDI49" s="473"/>
      <c r="DDJ49" s="474"/>
      <c r="DDK49" s="471"/>
      <c r="DDL49" s="472"/>
      <c r="DDM49" s="473"/>
      <c r="DDN49" s="474"/>
      <c r="DDO49" s="471"/>
      <c r="DDP49" s="472"/>
      <c r="DDQ49" s="473"/>
      <c r="DDR49" s="474"/>
      <c r="DDS49" s="471"/>
      <c r="DDT49" s="472"/>
      <c r="DDU49" s="473"/>
      <c r="DDV49" s="474"/>
      <c r="DDW49" s="471"/>
      <c r="DDX49" s="472"/>
      <c r="DDY49" s="473"/>
      <c r="DDZ49" s="474"/>
      <c r="DEA49" s="471"/>
      <c r="DEB49" s="472"/>
      <c r="DEC49" s="473"/>
      <c r="DED49" s="474"/>
      <c r="DEE49" s="471"/>
      <c r="DEF49" s="472"/>
      <c r="DEG49" s="473"/>
      <c r="DEH49" s="474"/>
      <c r="DEI49" s="471"/>
      <c r="DEJ49" s="472"/>
      <c r="DEK49" s="473"/>
      <c r="DEL49" s="474"/>
      <c r="DEM49" s="471"/>
      <c r="DEN49" s="472"/>
      <c r="DEO49" s="473"/>
      <c r="DEP49" s="474"/>
      <c r="DEQ49" s="471"/>
      <c r="DER49" s="472"/>
      <c r="DES49" s="473"/>
      <c r="DET49" s="474"/>
      <c r="DEU49" s="471"/>
      <c r="DEV49" s="472"/>
      <c r="DEW49" s="473"/>
      <c r="DEX49" s="474"/>
      <c r="DEY49" s="471"/>
      <c r="DEZ49" s="472"/>
      <c r="DFA49" s="473"/>
      <c r="DFB49" s="474"/>
      <c r="DFC49" s="471"/>
      <c r="DFD49" s="472"/>
      <c r="DFE49" s="473"/>
      <c r="DFF49" s="474"/>
      <c r="DFG49" s="471"/>
      <c r="DFH49" s="472"/>
      <c r="DFI49" s="473"/>
      <c r="DFJ49" s="474"/>
      <c r="DFK49" s="471"/>
      <c r="DFL49" s="472"/>
      <c r="DFM49" s="473"/>
      <c r="DFN49" s="474"/>
      <c r="DFO49" s="471"/>
      <c r="DFP49" s="472"/>
      <c r="DFQ49" s="473"/>
      <c r="DFR49" s="474"/>
      <c r="DFS49" s="471"/>
      <c r="DFT49" s="472"/>
      <c r="DFU49" s="473"/>
      <c r="DFV49" s="474"/>
      <c r="DFW49" s="471"/>
      <c r="DFX49" s="472"/>
      <c r="DFY49" s="473"/>
      <c r="DFZ49" s="474"/>
      <c r="DGA49" s="471"/>
      <c r="DGB49" s="472"/>
      <c r="DGC49" s="473"/>
      <c r="DGD49" s="474"/>
      <c r="DGE49" s="471"/>
      <c r="DGF49" s="472"/>
      <c r="DGG49" s="473"/>
      <c r="DGH49" s="474"/>
      <c r="DGI49" s="471"/>
      <c r="DGJ49" s="472"/>
      <c r="DGK49" s="473"/>
      <c r="DGL49" s="474"/>
      <c r="DGM49" s="471"/>
      <c r="DGN49" s="472"/>
      <c r="DGO49" s="473"/>
      <c r="DGP49" s="474"/>
      <c r="DGQ49" s="471"/>
      <c r="DGR49" s="472"/>
      <c r="DGS49" s="473"/>
      <c r="DGT49" s="474"/>
      <c r="DGU49" s="471"/>
      <c r="DGV49" s="472"/>
      <c r="DGW49" s="473"/>
      <c r="DGX49" s="474"/>
      <c r="DGY49" s="471"/>
      <c r="DGZ49" s="472"/>
      <c r="DHA49" s="473"/>
      <c r="DHB49" s="474"/>
      <c r="DHC49" s="471"/>
      <c r="DHD49" s="472"/>
      <c r="DHE49" s="473"/>
      <c r="DHF49" s="474"/>
      <c r="DHG49" s="471"/>
      <c r="DHH49" s="472"/>
      <c r="DHI49" s="473"/>
      <c r="DHJ49" s="474"/>
      <c r="DHK49" s="471"/>
      <c r="DHL49" s="472"/>
      <c r="DHM49" s="473"/>
      <c r="DHN49" s="474"/>
      <c r="DHO49" s="471"/>
      <c r="DHP49" s="472"/>
      <c r="DHQ49" s="473"/>
      <c r="DHR49" s="474"/>
      <c r="DHS49" s="471"/>
      <c r="DHT49" s="472"/>
      <c r="DHU49" s="473"/>
      <c r="DHV49" s="474"/>
      <c r="DHW49" s="471"/>
      <c r="DHX49" s="472"/>
      <c r="DHY49" s="473"/>
      <c r="DHZ49" s="474"/>
      <c r="DIA49" s="471"/>
      <c r="DIB49" s="472"/>
      <c r="DIC49" s="473"/>
      <c r="DID49" s="474"/>
      <c r="DIE49" s="471"/>
      <c r="DIF49" s="472"/>
      <c r="DIG49" s="473"/>
      <c r="DIH49" s="474"/>
      <c r="DII49" s="471"/>
      <c r="DIJ49" s="472"/>
      <c r="DIK49" s="473"/>
      <c r="DIL49" s="474"/>
      <c r="DIM49" s="471"/>
      <c r="DIN49" s="472"/>
      <c r="DIO49" s="473"/>
      <c r="DIP49" s="474"/>
      <c r="DIQ49" s="471"/>
      <c r="DIR49" s="472"/>
      <c r="DIS49" s="473"/>
      <c r="DIT49" s="474"/>
      <c r="DIU49" s="471"/>
      <c r="DIV49" s="472"/>
      <c r="DIW49" s="473"/>
      <c r="DIX49" s="474"/>
      <c r="DIY49" s="471"/>
      <c r="DIZ49" s="472"/>
      <c r="DJA49" s="473"/>
      <c r="DJB49" s="474"/>
      <c r="DJC49" s="471"/>
      <c r="DJD49" s="472"/>
      <c r="DJE49" s="473"/>
      <c r="DJF49" s="474"/>
      <c r="DJG49" s="471"/>
      <c r="DJH49" s="472"/>
      <c r="DJI49" s="473"/>
      <c r="DJJ49" s="474"/>
      <c r="DJK49" s="471"/>
      <c r="DJL49" s="472"/>
      <c r="DJM49" s="473"/>
      <c r="DJN49" s="474"/>
      <c r="DJO49" s="471"/>
      <c r="DJP49" s="472"/>
      <c r="DJQ49" s="473"/>
      <c r="DJR49" s="474"/>
      <c r="DJS49" s="471"/>
      <c r="DJT49" s="472"/>
      <c r="DJU49" s="473"/>
      <c r="DJV49" s="474"/>
      <c r="DJW49" s="471"/>
      <c r="DJX49" s="472"/>
      <c r="DJY49" s="473"/>
      <c r="DJZ49" s="474"/>
      <c r="DKA49" s="471"/>
      <c r="DKB49" s="472"/>
      <c r="DKC49" s="473"/>
      <c r="DKD49" s="474"/>
      <c r="DKE49" s="471"/>
      <c r="DKF49" s="472"/>
      <c r="DKG49" s="473"/>
      <c r="DKH49" s="474"/>
      <c r="DKI49" s="471"/>
      <c r="DKJ49" s="472"/>
      <c r="DKK49" s="473"/>
      <c r="DKL49" s="474"/>
      <c r="DKM49" s="471"/>
      <c r="DKN49" s="472"/>
      <c r="DKO49" s="473"/>
      <c r="DKP49" s="474"/>
      <c r="DKQ49" s="471"/>
      <c r="DKR49" s="472"/>
      <c r="DKS49" s="473"/>
      <c r="DKT49" s="474"/>
      <c r="DKU49" s="471"/>
      <c r="DKV49" s="472"/>
      <c r="DKW49" s="473"/>
      <c r="DKX49" s="474"/>
      <c r="DKY49" s="471"/>
      <c r="DKZ49" s="472"/>
      <c r="DLA49" s="473"/>
      <c r="DLB49" s="474"/>
      <c r="DLC49" s="471"/>
      <c r="DLD49" s="472"/>
      <c r="DLE49" s="473"/>
      <c r="DLF49" s="474"/>
      <c r="DLG49" s="471"/>
      <c r="DLH49" s="472"/>
      <c r="DLI49" s="473"/>
      <c r="DLJ49" s="474"/>
      <c r="DLK49" s="471"/>
      <c r="DLL49" s="472"/>
      <c r="DLM49" s="473"/>
      <c r="DLN49" s="474"/>
      <c r="DLO49" s="471"/>
      <c r="DLP49" s="472"/>
      <c r="DLQ49" s="473"/>
      <c r="DLR49" s="474"/>
      <c r="DLS49" s="471"/>
      <c r="DLT49" s="472"/>
      <c r="DLU49" s="473"/>
      <c r="DLV49" s="474"/>
      <c r="DLW49" s="471"/>
      <c r="DLX49" s="472"/>
      <c r="DLY49" s="473"/>
      <c r="DLZ49" s="474"/>
      <c r="DMA49" s="471"/>
      <c r="DMB49" s="472"/>
      <c r="DMC49" s="473"/>
      <c r="DMD49" s="474"/>
      <c r="DME49" s="471"/>
      <c r="DMF49" s="472"/>
      <c r="DMG49" s="473"/>
      <c r="DMH49" s="474"/>
      <c r="DMI49" s="471"/>
      <c r="DMJ49" s="472"/>
      <c r="DMK49" s="473"/>
      <c r="DML49" s="474"/>
      <c r="DMM49" s="471"/>
      <c r="DMN49" s="472"/>
      <c r="DMO49" s="473"/>
      <c r="DMP49" s="474"/>
      <c r="DMQ49" s="471"/>
      <c r="DMR49" s="472"/>
      <c r="DMS49" s="473"/>
      <c r="DMT49" s="474"/>
      <c r="DMU49" s="471"/>
      <c r="DMV49" s="472"/>
      <c r="DMW49" s="473"/>
      <c r="DMX49" s="474"/>
      <c r="DMY49" s="471"/>
      <c r="DMZ49" s="472"/>
      <c r="DNA49" s="473"/>
      <c r="DNB49" s="474"/>
      <c r="DNC49" s="471"/>
      <c r="DND49" s="472"/>
      <c r="DNE49" s="473"/>
      <c r="DNF49" s="474"/>
      <c r="DNG49" s="471"/>
      <c r="DNH49" s="472"/>
      <c r="DNI49" s="473"/>
      <c r="DNJ49" s="474"/>
      <c r="DNK49" s="471"/>
      <c r="DNL49" s="472"/>
      <c r="DNM49" s="473"/>
      <c r="DNN49" s="474"/>
      <c r="DNO49" s="471"/>
      <c r="DNP49" s="472"/>
      <c r="DNQ49" s="473"/>
      <c r="DNR49" s="474"/>
      <c r="DNS49" s="471"/>
      <c r="DNT49" s="472"/>
      <c r="DNU49" s="473"/>
      <c r="DNV49" s="474"/>
      <c r="DNW49" s="471"/>
      <c r="DNX49" s="472"/>
      <c r="DNY49" s="473"/>
      <c r="DNZ49" s="474"/>
      <c r="DOA49" s="471"/>
      <c r="DOB49" s="472"/>
      <c r="DOC49" s="473"/>
      <c r="DOD49" s="474"/>
      <c r="DOE49" s="471"/>
      <c r="DOF49" s="472"/>
      <c r="DOG49" s="473"/>
      <c r="DOH49" s="474"/>
      <c r="DOI49" s="471"/>
      <c r="DOJ49" s="472"/>
      <c r="DOK49" s="473"/>
      <c r="DOL49" s="474"/>
      <c r="DOM49" s="471"/>
      <c r="DON49" s="472"/>
      <c r="DOO49" s="473"/>
      <c r="DOP49" s="474"/>
      <c r="DOQ49" s="471"/>
      <c r="DOR49" s="472"/>
      <c r="DOS49" s="473"/>
      <c r="DOT49" s="474"/>
      <c r="DOU49" s="471"/>
      <c r="DOV49" s="472"/>
      <c r="DOW49" s="473"/>
      <c r="DOX49" s="474"/>
      <c r="DOY49" s="471"/>
      <c r="DOZ49" s="472"/>
      <c r="DPA49" s="473"/>
      <c r="DPB49" s="474"/>
      <c r="DPC49" s="471"/>
      <c r="DPD49" s="472"/>
      <c r="DPE49" s="473"/>
      <c r="DPF49" s="474"/>
      <c r="DPG49" s="471"/>
      <c r="DPH49" s="472"/>
      <c r="DPI49" s="473"/>
      <c r="DPJ49" s="474"/>
      <c r="DPK49" s="471"/>
      <c r="DPL49" s="472"/>
      <c r="DPM49" s="473"/>
      <c r="DPN49" s="474"/>
      <c r="DPO49" s="471"/>
      <c r="DPP49" s="472"/>
      <c r="DPQ49" s="473"/>
      <c r="DPR49" s="474"/>
      <c r="DPS49" s="471"/>
      <c r="DPT49" s="472"/>
      <c r="DPU49" s="473"/>
      <c r="DPV49" s="474"/>
      <c r="DPW49" s="471"/>
      <c r="DPX49" s="472"/>
      <c r="DPY49" s="473"/>
      <c r="DPZ49" s="474"/>
      <c r="DQA49" s="471"/>
      <c r="DQB49" s="472"/>
      <c r="DQC49" s="473"/>
      <c r="DQD49" s="474"/>
      <c r="DQE49" s="471"/>
      <c r="DQF49" s="472"/>
      <c r="DQG49" s="473"/>
      <c r="DQH49" s="474"/>
      <c r="DQI49" s="471"/>
      <c r="DQJ49" s="472"/>
      <c r="DQK49" s="473"/>
      <c r="DQL49" s="474"/>
      <c r="DQM49" s="471"/>
      <c r="DQN49" s="472"/>
      <c r="DQO49" s="473"/>
      <c r="DQP49" s="474"/>
      <c r="DQQ49" s="471"/>
      <c r="DQR49" s="472"/>
      <c r="DQS49" s="473"/>
      <c r="DQT49" s="474"/>
      <c r="DQU49" s="471"/>
      <c r="DQV49" s="472"/>
      <c r="DQW49" s="473"/>
      <c r="DQX49" s="474"/>
      <c r="DQY49" s="471"/>
      <c r="DQZ49" s="472"/>
      <c r="DRA49" s="473"/>
      <c r="DRB49" s="474"/>
      <c r="DRC49" s="471"/>
      <c r="DRD49" s="472"/>
      <c r="DRE49" s="473"/>
      <c r="DRF49" s="474"/>
      <c r="DRG49" s="471"/>
      <c r="DRH49" s="472"/>
      <c r="DRI49" s="473"/>
      <c r="DRJ49" s="474"/>
      <c r="DRK49" s="471"/>
      <c r="DRL49" s="472"/>
      <c r="DRM49" s="473"/>
      <c r="DRN49" s="474"/>
      <c r="DRO49" s="471"/>
      <c r="DRP49" s="472"/>
      <c r="DRQ49" s="473"/>
      <c r="DRR49" s="474"/>
      <c r="DRS49" s="471"/>
      <c r="DRT49" s="472"/>
      <c r="DRU49" s="473"/>
      <c r="DRV49" s="474"/>
      <c r="DRW49" s="471"/>
      <c r="DRX49" s="472"/>
      <c r="DRY49" s="473"/>
      <c r="DRZ49" s="474"/>
      <c r="DSA49" s="471"/>
      <c r="DSB49" s="472"/>
      <c r="DSC49" s="473"/>
      <c r="DSD49" s="474"/>
      <c r="DSE49" s="471"/>
      <c r="DSF49" s="472"/>
      <c r="DSG49" s="473"/>
      <c r="DSH49" s="474"/>
      <c r="DSI49" s="471"/>
      <c r="DSJ49" s="472"/>
      <c r="DSK49" s="473"/>
      <c r="DSL49" s="474"/>
      <c r="DSM49" s="471"/>
      <c r="DSN49" s="472"/>
      <c r="DSO49" s="473"/>
      <c r="DSP49" s="474"/>
      <c r="DSQ49" s="471"/>
      <c r="DSR49" s="472"/>
      <c r="DSS49" s="473"/>
      <c r="DST49" s="474"/>
      <c r="DSU49" s="471"/>
      <c r="DSV49" s="472"/>
      <c r="DSW49" s="473"/>
      <c r="DSX49" s="474"/>
      <c r="DSY49" s="471"/>
      <c r="DSZ49" s="472"/>
      <c r="DTA49" s="473"/>
      <c r="DTB49" s="474"/>
      <c r="DTC49" s="471"/>
      <c r="DTD49" s="472"/>
      <c r="DTE49" s="473"/>
      <c r="DTF49" s="474"/>
      <c r="DTG49" s="471"/>
      <c r="DTH49" s="472"/>
      <c r="DTI49" s="473"/>
      <c r="DTJ49" s="474"/>
      <c r="DTK49" s="471"/>
      <c r="DTL49" s="472"/>
      <c r="DTM49" s="473"/>
      <c r="DTN49" s="474"/>
      <c r="DTO49" s="471"/>
      <c r="DTP49" s="472"/>
      <c r="DTQ49" s="473"/>
      <c r="DTR49" s="474"/>
      <c r="DTS49" s="471"/>
      <c r="DTT49" s="472"/>
      <c r="DTU49" s="473"/>
      <c r="DTV49" s="474"/>
      <c r="DTW49" s="471"/>
      <c r="DTX49" s="472"/>
      <c r="DTY49" s="473"/>
      <c r="DTZ49" s="474"/>
      <c r="DUA49" s="471"/>
      <c r="DUB49" s="472"/>
      <c r="DUC49" s="473"/>
      <c r="DUD49" s="474"/>
      <c r="DUE49" s="471"/>
      <c r="DUF49" s="472"/>
      <c r="DUG49" s="473"/>
      <c r="DUH49" s="474"/>
      <c r="DUI49" s="471"/>
      <c r="DUJ49" s="472"/>
      <c r="DUK49" s="473"/>
      <c r="DUL49" s="474"/>
      <c r="DUM49" s="471"/>
      <c r="DUN49" s="472"/>
      <c r="DUO49" s="473"/>
      <c r="DUP49" s="474"/>
      <c r="DUQ49" s="471"/>
      <c r="DUR49" s="472"/>
      <c r="DUS49" s="473"/>
      <c r="DUT49" s="474"/>
      <c r="DUU49" s="471"/>
      <c r="DUV49" s="472"/>
      <c r="DUW49" s="473"/>
      <c r="DUX49" s="474"/>
      <c r="DUY49" s="471"/>
      <c r="DUZ49" s="472"/>
      <c r="DVA49" s="473"/>
      <c r="DVB49" s="474"/>
      <c r="DVC49" s="471"/>
      <c r="DVD49" s="472"/>
      <c r="DVE49" s="473"/>
      <c r="DVF49" s="474"/>
      <c r="DVG49" s="471"/>
      <c r="DVH49" s="472"/>
      <c r="DVI49" s="473"/>
      <c r="DVJ49" s="474"/>
      <c r="DVK49" s="471"/>
      <c r="DVL49" s="472"/>
      <c r="DVM49" s="473"/>
      <c r="DVN49" s="474"/>
      <c r="DVO49" s="471"/>
      <c r="DVP49" s="472"/>
      <c r="DVQ49" s="473"/>
      <c r="DVR49" s="474"/>
      <c r="DVS49" s="471"/>
      <c r="DVT49" s="472"/>
      <c r="DVU49" s="473"/>
      <c r="DVV49" s="474"/>
      <c r="DVW49" s="471"/>
      <c r="DVX49" s="472"/>
      <c r="DVY49" s="473"/>
      <c r="DVZ49" s="474"/>
      <c r="DWA49" s="471"/>
      <c r="DWB49" s="472"/>
      <c r="DWC49" s="473"/>
      <c r="DWD49" s="474"/>
      <c r="DWE49" s="471"/>
      <c r="DWF49" s="472"/>
      <c r="DWG49" s="473"/>
      <c r="DWH49" s="474"/>
      <c r="DWI49" s="471"/>
      <c r="DWJ49" s="472"/>
      <c r="DWK49" s="473"/>
      <c r="DWL49" s="474"/>
      <c r="DWM49" s="471"/>
      <c r="DWN49" s="472"/>
      <c r="DWO49" s="473"/>
      <c r="DWP49" s="474"/>
      <c r="DWQ49" s="471"/>
      <c r="DWR49" s="472"/>
      <c r="DWS49" s="473"/>
      <c r="DWT49" s="474"/>
      <c r="DWU49" s="471"/>
      <c r="DWV49" s="472"/>
      <c r="DWW49" s="473"/>
      <c r="DWX49" s="474"/>
      <c r="DWY49" s="471"/>
      <c r="DWZ49" s="472"/>
      <c r="DXA49" s="473"/>
      <c r="DXB49" s="474"/>
      <c r="DXC49" s="471"/>
      <c r="DXD49" s="472"/>
      <c r="DXE49" s="473"/>
      <c r="DXF49" s="474"/>
      <c r="DXG49" s="471"/>
      <c r="DXH49" s="472"/>
      <c r="DXI49" s="473"/>
      <c r="DXJ49" s="474"/>
      <c r="DXK49" s="471"/>
      <c r="DXL49" s="472"/>
      <c r="DXM49" s="473"/>
      <c r="DXN49" s="474"/>
      <c r="DXO49" s="471"/>
      <c r="DXP49" s="472"/>
      <c r="DXQ49" s="473"/>
      <c r="DXR49" s="474"/>
      <c r="DXS49" s="471"/>
      <c r="DXT49" s="472"/>
      <c r="DXU49" s="473"/>
      <c r="DXV49" s="474"/>
      <c r="DXW49" s="471"/>
      <c r="DXX49" s="472"/>
      <c r="DXY49" s="473"/>
      <c r="DXZ49" s="474"/>
      <c r="DYA49" s="471"/>
      <c r="DYB49" s="472"/>
      <c r="DYC49" s="473"/>
      <c r="DYD49" s="474"/>
      <c r="DYE49" s="471"/>
      <c r="DYF49" s="472"/>
      <c r="DYG49" s="473"/>
      <c r="DYH49" s="474"/>
      <c r="DYI49" s="471"/>
      <c r="DYJ49" s="472"/>
      <c r="DYK49" s="473"/>
      <c r="DYL49" s="474"/>
      <c r="DYM49" s="471"/>
      <c r="DYN49" s="472"/>
      <c r="DYO49" s="473"/>
      <c r="DYP49" s="474"/>
      <c r="DYQ49" s="471"/>
      <c r="DYR49" s="472"/>
      <c r="DYS49" s="473"/>
      <c r="DYT49" s="474"/>
      <c r="DYU49" s="471"/>
      <c r="DYV49" s="472"/>
      <c r="DYW49" s="473"/>
      <c r="DYX49" s="474"/>
      <c r="DYY49" s="471"/>
      <c r="DYZ49" s="472"/>
      <c r="DZA49" s="473"/>
      <c r="DZB49" s="474"/>
      <c r="DZC49" s="471"/>
      <c r="DZD49" s="472"/>
      <c r="DZE49" s="473"/>
      <c r="DZF49" s="474"/>
      <c r="DZG49" s="471"/>
      <c r="DZH49" s="472"/>
      <c r="DZI49" s="473"/>
      <c r="DZJ49" s="474"/>
      <c r="DZK49" s="471"/>
      <c r="DZL49" s="472"/>
      <c r="DZM49" s="473"/>
      <c r="DZN49" s="474"/>
      <c r="DZO49" s="471"/>
      <c r="DZP49" s="472"/>
      <c r="DZQ49" s="473"/>
      <c r="DZR49" s="474"/>
      <c r="DZS49" s="471"/>
      <c r="DZT49" s="472"/>
      <c r="DZU49" s="473"/>
      <c r="DZV49" s="474"/>
      <c r="DZW49" s="471"/>
      <c r="DZX49" s="472"/>
      <c r="DZY49" s="473"/>
      <c r="DZZ49" s="474"/>
      <c r="EAA49" s="471"/>
      <c r="EAB49" s="472"/>
      <c r="EAC49" s="473"/>
      <c r="EAD49" s="474"/>
      <c r="EAE49" s="471"/>
      <c r="EAF49" s="472"/>
      <c r="EAG49" s="473"/>
      <c r="EAH49" s="474"/>
      <c r="EAI49" s="471"/>
      <c r="EAJ49" s="472"/>
      <c r="EAK49" s="473"/>
      <c r="EAL49" s="474"/>
      <c r="EAM49" s="471"/>
      <c r="EAN49" s="472"/>
      <c r="EAO49" s="473"/>
      <c r="EAP49" s="474"/>
      <c r="EAQ49" s="471"/>
      <c r="EAR49" s="472"/>
      <c r="EAS49" s="473"/>
      <c r="EAT49" s="474"/>
      <c r="EAU49" s="471"/>
      <c r="EAV49" s="472"/>
      <c r="EAW49" s="473"/>
      <c r="EAX49" s="474"/>
      <c r="EAY49" s="471"/>
      <c r="EAZ49" s="472"/>
      <c r="EBA49" s="473"/>
      <c r="EBB49" s="474"/>
      <c r="EBC49" s="471"/>
      <c r="EBD49" s="472"/>
      <c r="EBE49" s="473"/>
      <c r="EBF49" s="474"/>
      <c r="EBG49" s="471"/>
      <c r="EBH49" s="472"/>
      <c r="EBI49" s="473"/>
      <c r="EBJ49" s="474"/>
      <c r="EBK49" s="471"/>
      <c r="EBL49" s="472"/>
      <c r="EBM49" s="473"/>
      <c r="EBN49" s="474"/>
      <c r="EBO49" s="471"/>
      <c r="EBP49" s="472"/>
      <c r="EBQ49" s="473"/>
      <c r="EBR49" s="474"/>
      <c r="EBS49" s="471"/>
      <c r="EBT49" s="472"/>
      <c r="EBU49" s="473"/>
      <c r="EBV49" s="474"/>
      <c r="EBW49" s="471"/>
      <c r="EBX49" s="472"/>
      <c r="EBY49" s="473"/>
      <c r="EBZ49" s="474"/>
      <c r="ECA49" s="471"/>
      <c r="ECB49" s="472"/>
      <c r="ECC49" s="473"/>
      <c r="ECD49" s="474"/>
      <c r="ECE49" s="471"/>
      <c r="ECF49" s="472"/>
      <c r="ECG49" s="473"/>
      <c r="ECH49" s="474"/>
      <c r="ECI49" s="471"/>
      <c r="ECJ49" s="472"/>
      <c r="ECK49" s="473"/>
      <c r="ECL49" s="474"/>
      <c r="ECM49" s="471"/>
      <c r="ECN49" s="472"/>
      <c r="ECO49" s="473"/>
      <c r="ECP49" s="474"/>
      <c r="ECQ49" s="471"/>
      <c r="ECR49" s="472"/>
      <c r="ECS49" s="473"/>
      <c r="ECT49" s="474"/>
      <c r="ECU49" s="471"/>
      <c r="ECV49" s="472"/>
      <c r="ECW49" s="473"/>
      <c r="ECX49" s="474"/>
      <c r="ECY49" s="471"/>
      <c r="ECZ49" s="472"/>
      <c r="EDA49" s="473"/>
      <c r="EDB49" s="474"/>
      <c r="EDC49" s="471"/>
      <c r="EDD49" s="472"/>
      <c r="EDE49" s="473"/>
      <c r="EDF49" s="474"/>
      <c r="EDG49" s="471"/>
      <c r="EDH49" s="472"/>
      <c r="EDI49" s="473"/>
      <c r="EDJ49" s="474"/>
      <c r="EDK49" s="471"/>
      <c r="EDL49" s="472"/>
      <c r="EDM49" s="473"/>
      <c r="EDN49" s="474"/>
      <c r="EDO49" s="471"/>
      <c r="EDP49" s="472"/>
      <c r="EDQ49" s="473"/>
      <c r="EDR49" s="474"/>
      <c r="EDS49" s="471"/>
      <c r="EDT49" s="472"/>
      <c r="EDU49" s="473"/>
      <c r="EDV49" s="474"/>
      <c r="EDW49" s="471"/>
      <c r="EDX49" s="472"/>
      <c r="EDY49" s="473"/>
      <c r="EDZ49" s="474"/>
      <c r="EEA49" s="471"/>
      <c r="EEB49" s="472"/>
      <c r="EEC49" s="473"/>
      <c r="EED49" s="474"/>
      <c r="EEE49" s="471"/>
      <c r="EEF49" s="472"/>
      <c r="EEG49" s="473"/>
      <c r="EEH49" s="474"/>
      <c r="EEI49" s="471"/>
      <c r="EEJ49" s="472"/>
      <c r="EEK49" s="473"/>
      <c r="EEL49" s="474"/>
      <c r="EEM49" s="471"/>
      <c r="EEN49" s="472"/>
      <c r="EEO49" s="473"/>
      <c r="EEP49" s="474"/>
      <c r="EEQ49" s="471"/>
      <c r="EER49" s="472"/>
      <c r="EES49" s="473"/>
      <c r="EET49" s="474"/>
      <c r="EEU49" s="471"/>
      <c r="EEV49" s="472"/>
      <c r="EEW49" s="473"/>
      <c r="EEX49" s="474"/>
      <c r="EEY49" s="471"/>
      <c r="EEZ49" s="472"/>
      <c r="EFA49" s="473"/>
      <c r="EFB49" s="474"/>
      <c r="EFC49" s="471"/>
      <c r="EFD49" s="472"/>
      <c r="EFE49" s="473"/>
      <c r="EFF49" s="474"/>
      <c r="EFG49" s="471"/>
      <c r="EFH49" s="472"/>
      <c r="EFI49" s="473"/>
      <c r="EFJ49" s="474"/>
      <c r="EFK49" s="471"/>
      <c r="EFL49" s="472"/>
      <c r="EFM49" s="473"/>
      <c r="EFN49" s="474"/>
      <c r="EFO49" s="471"/>
      <c r="EFP49" s="472"/>
      <c r="EFQ49" s="473"/>
      <c r="EFR49" s="474"/>
      <c r="EFS49" s="471"/>
      <c r="EFT49" s="472"/>
      <c r="EFU49" s="473"/>
      <c r="EFV49" s="474"/>
      <c r="EFW49" s="471"/>
      <c r="EFX49" s="472"/>
      <c r="EFY49" s="473"/>
      <c r="EFZ49" s="474"/>
      <c r="EGA49" s="471"/>
      <c r="EGB49" s="472"/>
      <c r="EGC49" s="473"/>
      <c r="EGD49" s="474"/>
      <c r="EGE49" s="471"/>
      <c r="EGF49" s="472"/>
      <c r="EGG49" s="473"/>
      <c r="EGH49" s="474"/>
      <c r="EGI49" s="471"/>
      <c r="EGJ49" s="472"/>
      <c r="EGK49" s="473"/>
      <c r="EGL49" s="474"/>
      <c r="EGM49" s="471"/>
      <c r="EGN49" s="472"/>
      <c r="EGO49" s="473"/>
      <c r="EGP49" s="474"/>
      <c r="EGQ49" s="471"/>
      <c r="EGR49" s="472"/>
      <c r="EGS49" s="473"/>
      <c r="EGT49" s="474"/>
      <c r="EGU49" s="471"/>
      <c r="EGV49" s="472"/>
      <c r="EGW49" s="473"/>
      <c r="EGX49" s="474"/>
      <c r="EGY49" s="471"/>
      <c r="EGZ49" s="472"/>
      <c r="EHA49" s="473"/>
      <c r="EHB49" s="474"/>
      <c r="EHC49" s="471"/>
      <c r="EHD49" s="472"/>
      <c r="EHE49" s="473"/>
      <c r="EHF49" s="474"/>
      <c r="EHG49" s="471"/>
      <c r="EHH49" s="472"/>
      <c r="EHI49" s="473"/>
      <c r="EHJ49" s="474"/>
      <c r="EHK49" s="471"/>
      <c r="EHL49" s="472"/>
      <c r="EHM49" s="473"/>
      <c r="EHN49" s="474"/>
      <c r="EHO49" s="471"/>
      <c r="EHP49" s="472"/>
      <c r="EHQ49" s="473"/>
      <c r="EHR49" s="474"/>
      <c r="EHS49" s="471"/>
      <c r="EHT49" s="472"/>
      <c r="EHU49" s="473"/>
      <c r="EHV49" s="474"/>
      <c r="EHW49" s="471"/>
      <c r="EHX49" s="472"/>
      <c r="EHY49" s="473"/>
      <c r="EHZ49" s="474"/>
      <c r="EIA49" s="471"/>
      <c r="EIB49" s="472"/>
      <c r="EIC49" s="473"/>
      <c r="EID49" s="474"/>
      <c r="EIE49" s="471"/>
      <c r="EIF49" s="472"/>
      <c r="EIG49" s="473"/>
      <c r="EIH49" s="474"/>
      <c r="EII49" s="471"/>
      <c r="EIJ49" s="472"/>
      <c r="EIK49" s="473"/>
      <c r="EIL49" s="474"/>
      <c r="EIM49" s="471"/>
      <c r="EIN49" s="472"/>
      <c r="EIO49" s="473"/>
      <c r="EIP49" s="474"/>
      <c r="EIQ49" s="471"/>
      <c r="EIR49" s="472"/>
      <c r="EIS49" s="473"/>
      <c r="EIT49" s="474"/>
      <c r="EIU49" s="471"/>
      <c r="EIV49" s="472"/>
      <c r="EIW49" s="473"/>
      <c r="EIX49" s="474"/>
      <c r="EIY49" s="471"/>
      <c r="EIZ49" s="472"/>
      <c r="EJA49" s="473"/>
      <c r="EJB49" s="474"/>
      <c r="EJC49" s="471"/>
      <c r="EJD49" s="472"/>
      <c r="EJE49" s="473"/>
      <c r="EJF49" s="474"/>
      <c r="EJG49" s="471"/>
      <c r="EJH49" s="472"/>
      <c r="EJI49" s="473"/>
      <c r="EJJ49" s="474"/>
      <c r="EJK49" s="471"/>
      <c r="EJL49" s="472"/>
      <c r="EJM49" s="473"/>
      <c r="EJN49" s="474"/>
      <c r="EJO49" s="471"/>
      <c r="EJP49" s="472"/>
      <c r="EJQ49" s="473"/>
      <c r="EJR49" s="474"/>
      <c r="EJS49" s="471"/>
      <c r="EJT49" s="472"/>
      <c r="EJU49" s="473"/>
      <c r="EJV49" s="474"/>
      <c r="EJW49" s="471"/>
      <c r="EJX49" s="472"/>
      <c r="EJY49" s="473"/>
      <c r="EJZ49" s="474"/>
      <c r="EKA49" s="471"/>
      <c r="EKB49" s="472"/>
      <c r="EKC49" s="473"/>
      <c r="EKD49" s="474"/>
      <c r="EKE49" s="471"/>
      <c r="EKF49" s="472"/>
      <c r="EKG49" s="473"/>
      <c r="EKH49" s="474"/>
      <c r="EKI49" s="471"/>
      <c r="EKJ49" s="472"/>
      <c r="EKK49" s="473"/>
      <c r="EKL49" s="474"/>
      <c r="EKM49" s="471"/>
      <c r="EKN49" s="472"/>
      <c r="EKO49" s="473"/>
      <c r="EKP49" s="474"/>
      <c r="EKQ49" s="471"/>
      <c r="EKR49" s="472"/>
      <c r="EKS49" s="473"/>
      <c r="EKT49" s="474"/>
      <c r="EKU49" s="471"/>
      <c r="EKV49" s="472"/>
      <c r="EKW49" s="473"/>
      <c r="EKX49" s="474"/>
      <c r="EKY49" s="471"/>
      <c r="EKZ49" s="472"/>
      <c r="ELA49" s="473"/>
      <c r="ELB49" s="474"/>
      <c r="ELC49" s="471"/>
      <c r="ELD49" s="472"/>
      <c r="ELE49" s="473"/>
      <c r="ELF49" s="474"/>
      <c r="ELG49" s="471"/>
      <c r="ELH49" s="472"/>
      <c r="ELI49" s="473"/>
      <c r="ELJ49" s="474"/>
      <c r="ELK49" s="471"/>
      <c r="ELL49" s="472"/>
      <c r="ELM49" s="473"/>
      <c r="ELN49" s="474"/>
      <c r="ELO49" s="471"/>
      <c r="ELP49" s="472"/>
      <c r="ELQ49" s="473"/>
      <c r="ELR49" s="474"/>
      <c r="ELS49" s="471"/>
      <c r="ELT49" s="472"/>
      <c r="ELU49" s="473"/>
      <c r="ELV49" s="474"/>
      <c r="ELW49" s="471"/>
      <c r="ELX49" s="472"/>
      <c r="ELY49" s="473"/>
      <c r="ELZ49" s="474"/>
      <c r="EMA49" s="471"/>
      <c r="EMB49" s="472"/>
      <c r="EMC49" s="473"/>
      <c r="EMD49" s="474"/>
      <c r="EME49" s="471"/>
      <c r="EMF49" s="472"/>
      <c r="EMG49" s="473"/>
      <c r="EMH49" s="474"/>
      <c r="EMI49" s="471"/>
      <c r="EMJ49" s="472"/>
      <c r="EMK49" s="473"/>
      <c r="EML49" s="474"/>
      <c r="EMM49" s="471"/>
      <c r="EMN49" s="472"/>
      <c r="EMO49" s="473"/>
      <c r="EMP49" s="474"/>
      <c r="EMQ49" s="471"/>
      <c r="EMR49" s="472"/>
      <c r="EMS49" s="473"/>
      <c r="EMT49" s="474"/>
      <c r="EMU49" s="471"/>
      <c r="EMV49" s="472"/>
      <c r="EMW49" s="473"/>
      <c r="EMX49" s="474"/>
      <c r="EMY49" s="471"/>
      <c r="EMZ49" s="472"/>
      <c r="ENA49" s="473"/>
      <c r="ENB49" s="474"/>
      <c r="ENC49" s="471"/>
      <c r="END49" s="472"/>
      <c r="ENE49" s="473"/>
      <c r="ENF49" s="474"/>
      <c r="ENG49" s="471"/>
      <c r="ENH49" s="472"/>
      <c r="ENI49" s="473"/>
      <c r="ENJ49" s="474"/>
      <c r="ENK49" s="471"/>
      <c r="ENL49" s="472"/>
      <c r="ENM49" s="473"/>
      <c r="ENN49" s="474"/>
      <c r="ENO49" s="471"/>
      <c r="ENP49" s="472"/>
      <c r="ENQ49" s="473"/>
      <c r="ENR49" s="474"/>
      <c r="ENS49" s="471"/>
      <c r="ENT49" s="472"/>
      <c r="ENU49" s="473"/>
      <c r="ENV49" s="474"/>
      <c r="ENW49" s="471"/>
      <c r="ENX49" s="472"/>
      <c r="ENY49" s="473"/>
      <c r="ENZ49" s="474"/>
      <c r="EOA49" s="471"/>
      <c r="EOB49" s="472"/>
      <c r="EOC49" s="473"/>
      <c r="EOD49" s="474"/>
      <c r="EOE49" s="471"/>
      <c r="EOF49" s="472"/>
      <c r="EOG49" s="473"/>
      <c r="EOH49" s="474"/>
      <c r="EOI49" s="471"/>
      <c r="EOJ49" s="472"/>
      <c r="EOK49" s="473"/>
      <c r="EOL49" s="474"/>
      <c r="EOM49" s="471"/>
      <c r="EON49" s="472"/>
      <c r="EOO49" s="473"/>
      <c r="EOP49" s="474"/>
      <c r="EOQ49" s="471"/>
      <c r="EOR49" s="472"/>
      <c r="EOS49" s="473"/>
      <c r="EOT49" s="474"/>
      <c r="EOU49" s="471"/>
      <c r="EOV49" s="472"/>
      <c r="EOW49" s="473"/>
      <c r="EOX49" s="474"/>
      <c r="EOY49" s="471"/>
      <c r="EOZ49" s="472"/>
      <c r="EPA49" s="473"/>
      <c r="EPB49" s="474"/>
      <c r="EPC49" s="471"/>
      <c r="EPD49" s="472"/>
      <c r="EPE49" s="473"/>
      <c r="EPF49" s="474"/>
      <c r="EPG49" s="471"/>
      <c r="EPH49" s="472"/>
      <c r="EPI49" s="473"/>
      <c r="EPJ49" s="474"/>
      <c r="EPK49" s="471"/>
      <c r="EPL49" s="472"/>
      <c r="EPM49" s="473"/>
      <c r="EPN49" s="474"/>
      <c r="EPO49" s="471"/>
      <c r="EPP49" s="472"/>
      <c r="EPQ49" s="473"/>
      <c r="EPR49" s="474"/>
      <c r="EPS49" s="471"/>
      <c r="EPT49" s="472"/>
      <c r="EPU49" s="473"/>
      <c r="EPV49" s="474"/>
      <c r="EPW49" s="471"/>
      <c r="EPX49" s="472"/>
      <c r="EPY49" s="473"/>
      <c r="EPZ49" s="474"/>
      <c r="EQA49" s="471"/>
      <c r="EQB49" s="472"/>
      <c r="EQC49" s="473"/>
      <c r="EQD49" s="474"/>
      <c r="EQE49" s="471"/>
      <c r="EQF49" s="472"/>
      <c r="EQG49" s="473"/>
      <c r="EQH49" s="474"/>
      <c r="EQI49" s="471"/>
      <c r="EQJ49" s="472"/>
      <c r="EQK49" s="473"/>
      <c r="EQL49" s="474"/>
      <c r="EQM49" s="471"/>
      <c r="EQN49" s="472"/>
      <c r="EQO49" s="473"/>
      <c r="EQP49" s="474"/>
      <c r="EQQ49" s="471"/>
      <c r="EQR49" s="472"/>
      <c r="EQS49" s="473"/>
      <c r="EQT49" s="474"/>
      <c r="EQU49" s="471"/>
      <c r="EQV49" s="472"/>
      <c r="EQW49" s="473"/>
      <c r="EQX49" s="474"/>
      <c r="EQY49" s="471"/>
      <c r="EQZ49" s="472"/>
      <c r="ERA49" s="473"/>
      <c r="ERB49" s="474"/>
      <c r="ERC49" s="471"/>
      <c r="ERD49" s="472"/>
      <c r="ERE49" s="473"/>
      <c r="ERF49" s="474"/>
      <c r="ERG49" s="471"/>
      <c r="ERH49" s="472"/>
      <c r="ERI49" s="473"/>
      <c r="ERJ49" s="474"/>
      <c r="ERK49" s="471"/>
      <c r="ERL49" s="472"/>
      <c r="ERM49" s="473"/>
      <c r="ERN49" s="474"/>
      <c r="ERO49" s="471"/>
      <c r="ERP49" s="472"/>
      <c r="ERQ49" s="473"/>
      <c r="ERR49" s="474"/>
      <c r="ERS49" s="471"/>
      <c r="ERT49" s="472"/>
      <c r="ERU49" s="473"/>
      <c r="ERV49" s="474"/>
      <c r="ERW49" s="471"/>
      <c r="ERX49" s="472"/>
      <c r="ERY49" s="473"/>
      <c r="ERZ49" s="474"/>
      <c r="ESA49" s="471"/>
      <c r="ESB49" s="472"/>
      <c r="ESC49" s="473"/>
      <c r="ESD49" s="474"/>
      <c r="ESE49" s="471"/>
      <c r="ESF49" s="472"/>
      <c r="ESG49" s="473"/>
      <c r="ESH49" s="474"/>
      <c r="ESI49" s="471"/>
      <c r="ESJ49" s="472"/>
      <c r="ESK49" s="473"/>
      <c r="ESL49" s="474"/>
      <c r="ESM49" s="471"/>
      <c r="ESN49" s="472"/>
      <c r="ESO49" s="473"/>
      <c r="ESP49" s="474"/>
      <c r="ESQ49" s="471"/>
      <c r="ESR49" s="472"/>
      <c r="ESS49" s="473"/>
      <c r="EST49" s="474"/>
      <c r="ESU49" s="471"/>
      <c r="ESV49" s="472"/>
      <c r="ESW49" s="473"/>
      <c r="ESX49" s="474"/>
      <c r="ESY49" s="471"/>
      <c r="ESZ49" s="472"/>
      <c r="ETA49" s="473"/>
      <c r="ETB49" s="474"/>
      <c r="ETC49" s="471"/>
      <c r="ETD49" s="472"/>
      <c r="ETE49" s="473"/>
      <c r="ETF49" s="474"/>
      <c r="ETG49" s="471"/>
      <c r="ETH49" s="472"/>
      <c r="ETI49" s="473"/>
      <c r="ETJ49" s="474"/>
      <c r="ETK49" s="471"/>
      <c r="ETL49" s="472"/>
      <c r="ETM49" s="473"/>
      <c r="ETN49" s="474"/>
      <c r="ETO49" s="471"/>
      <c r="ETP49" s="472"/>
      <c r="ETQ49" s="473"/>
      <c r="ETR49" s="474"/>
      <c r="ETS49" s="471"/>
      <c r="ETT49" s="472"/>
      <c r="ETU49" s="473"/>
      <c r="ETV49" s="474"/>
      <c r="ETW49" s="471"/>
      <c r="ETX49" s="472"/>
      <c r="ETY49" s="473"/>
      <c r="ETZ49" s="474"/>
      <c r="EUA49" s="471"/>
      <c r="EUB49" s="472"/>
      <c r="EUC49" s="473"/>
      <c r="EUD49" s="474"/>
      <c r="EUE49" s="471"/>
      <c r="EUF49" s="472"/>
      <c r="EUG49" s="473"/>
      <c r="EUH49" s="474"/>
      <c r="EUI49" s="471"/>
      <c r="EUJ49" s="472"/>
      <c r="EUK49" s="473"/>
      <c r="EUL49" s="474"/>
      <c r="EUM49" s="471"/>
      <c r="EUN49" s="472"/>
      <c r="EUO49" s="473"/>
      <c r="EUP49" s="474"/>
      <c r="EUQ49" s="471"/>
      <c r="EUR49" s="472"/>
      <c r="EUS49" s="473"/>
      <c r="EUT49" s="474"/>
      <c r="EUU49" s="471"/>
      <c r="EUV49" s="472"/>
      <c r="EUW49" s="473"/>
      <c r="EUX49" s="474"/>
      <c r="EUY49" s="471"/>
      <c r="EUZ49" s="472"/>
      <c r="EVA49" s="473"/>
      <c r="EVB49" s="474"/>
      <c r="EVC49" s="471"/>
      <c r="EVD49" s="472"/>
      <c r="EVE49" s="473"/>
      <c r="EVF49" s="474"/>
      <c r="EVG49" s="471"/>
      <c r="EVH49" s="472"/>
      <c r="EVI49" s="473"/>
      <c r="EVJ49" s="474"/>
      <c r="EVK49" s="471"/>
      <c r="EVL49" s="472"/>
      <c r="EVM49" s="473"/>
      <c r="EVN49" s="474"/>
      <c r="EVO49" s="471"/>
      <c r="EVP49" s="472"/>
      <c r="EVQ49" s="473"/>
      <c r="EVR49" s="474"/>
      <c r="EVS49" s="471"/>
      <c r="EVT49" s="472"/>
      <c r="EVU49" s="473"/>
      <c r="EVV49" s="474"/>
      <c r="EVW49" s="471"/>
      <c r="EVX49" s="472"/>
      <c r="EVY49" s="473"/>
      <c r="EVZ49" s="474"/>
      <c r="EWA49" s="471"/>
      <c r="EWB49" s="472"/>
      <c r="EWC49" s="473"/>
      <c r="EWD49" s="474"/>
      <c r="EWE49" s="471"/>
      <c r="EWF49" s="472"/>
      <c r="EWG49" s="473"/>
      <c r="EWH49" s="474"/>
      <c r="EWI49" s="471"/>
      <c r="EWJ49" s="472"/>
      <c r="EWK49" s="473"/>
      <c r="EWL49" s="474"/>
      <c r="EWM49" s="471"/>
      <c r="EWN49" s="472"/>
      <c r="EWO49" s="473"/>
      <c r="EWP49" s="474"/>
      <c r="EWQ49" s="471"/>
      <c r="EWR49" s="472"/>
      <c r="EWS49" s="473"/>
      <c r="EWT49" s="474"/>
      <c r="EWU49" s="471"/>
      <c r="EWV49" s="472"/>
      <c r="EWW49" s="473"/>
      <c r="EWX49" s="474"/>
      <c r="EWY49" s="471"/>
      <c r="EWZ49" s="472"/>
      <c r="EXA49" s="473"/>
      <c r="EXB49" s="474"/>
      <c r="EXC49" s="471"/>
      <c r="EXD49" s="472"/>
      <c r="EXE49" s="473"/>
      <c r="EXF49" s="474"/>
      <c r="EXG49" s="471"/>
      <c r="EXH49" s="472"/>
      <c r="EXI49" s="473"/>
      <c r="EXJ49" s="474"/>
      <c r="EXK49" s="471"/>
      <c r="EXL49" s="472"/>
      <c r="EXM49" s="473"/>
      <c r="EXN49" s="474"/>
      <c r="EXO49" s="471"/>
      <c r="EXP49" s="472"/>
      <c r="EXQ49" s="473"/>
      <c r="EXR49" s="474"/>
      <c r="EXS49" s="471"/>
      <c r="EXT49" s="472"/>
      <c r="EXU49" s="473"/>
      <c r="EXV49" s="474"/>
      <c r="EXW49" s="471"/>
      <c r="EXX49" s="472"/>
      <c r="EXY49" s="473"/>
      <c r="EXZ49" s="474"/>
      <c r="EYA49" s="471"/>
      <c r="EYB49" s="472"/>
      <c r="EYC49" s="473"/>
      <c r="EYD49" s="474"/>
      <c r="EYE49" s="471"/>
      <c r="EYF49" s="472"/>
      <c r="EYG49" s="473"/>
      <c r="EYH49" s="474"/>
      <c r="EYI49" s="471"/>
      <c r="EYJ49" s="472"/>
      <c r="EYK49" s="473"/>
      <c r="EYL49" s="474"/>
      <c r="EYM49" s="471"/>
      <c r="EYN49" s="472"/>
      <c r="EYO49" s="473"/>
      <c r="EYP49" s="474"/>
      <c r="EYQ49" s="471"/>
      <c r="EYR49" s="472"/>
      <c r="EYS49" s="473"/>
      <c r="EYT49" s="474"/>
      <c r="EYU49" s="471"/>
      <c r="EYV49" s="472"/>
      <c r="EYW49" s="473"/>
      <c r="EYX49" s="474"/>
      <c r="EYY49" s="471"/>
      <c r="EYZ49" s="472"/>
      <c r="EZA49" s="473"/>
      <c r="EZB49" s="474"/>
      <c r="EZC49" s="471"/>
      <c r="EZD49" s="472"/>
      <c r="EZE49" s="473"/>
      <c r="EZF49" s="474"/>
      <c r="EZG49" s="471"/>
      <c r="EZH49" s="472"/>
      <c r="EZI49" s="473"/>
      <c r="EZJ49" s="474"/>
      <c r="EZK49" s="471"/>
      <c r="EZL49" s="472"/>
      <c r="EZM49" s="473"/>
      <c r="EZN49" s="474"/>
      <c r="EZO49" s="471"/>
      <c r="EZP49" s="472"/>
      <c r="EZQ49" s="473"/>
      <c r="EZR49" s="474"/>
      <c r="EZS49" s="471"/>
      <c r="EZT49" s="472"/>
      <c r="EZU49" s="473"/>
      <c r="EZV49" s="474"/>
      <c r="EZW49" s="471"/>
      <c r="EZX49" s="472"/>
      <c r="EZY49" s="473"/>
      <c r="EZZ49" s="474"/>
      <c r="FAA49" s="471"/>
      <c r="FAB49" s="472"/>
      <c r="FAC49" s="473"/>
      <c r="FAD49" s="474"/>
      <c r="FAE49" s="471"/>
      <c r="FAF49" s="472"/>
      <c r="FAG49" s="473"/>
      <c r="FAH49" s="474"/>
      <c r="FAI49" s="471"/>
      <c r="FAJ49" s="472"/>
      <c r="FAK49" s="473"/>
      <c r="FAL49" s="474"/>
      <c r="FAM49" s="471"/>
      <c r="FAN49" s="472"/>
      <c r="FAO49" s="473"/>
      <c r="FAP49" s="474"/>
      <c r="FAQ49" s="471"/>
      <c r="FAR49" s="472"/>
      <c r="FAS49" s="473"/>
      <c r="FAT49" s="474"/>
      <c r="FAU49" s="471"/>
      <c r="FAV49" s="472"/>
      <c r="FAW49" s="473"/>
      <c r="FAX49" s="474"/>
      <c r="FAY49" s="471"/>
      <c r="FAZ49" s="472"/>
      <c r="FBA49" s="473"/>
      <c r="FBB49" s="474"/>
      <c r="FBC49" s="471"/>
      <c r="FBD49" s="472"/>
      <c r="FBE49" s="473"/>
      <c r="FBF49" s="474"/>
      <c r="FBG49" s="471"/>
      <c r="FBH49" s="472"/>
      <c r="FBI49" s="473"/>
      <c r="FBJ49" s="474"/>
      <c r="FBK49" s="471"/>
      <c r="FBL49" s="472"/>
      <c r="FBM49" s="473"/>
      <c r="FBN49" s="474"/>
      <c r="FBO49" s="471"/>
      <c r="FBP49" s="472"/>
      <c r="FBQ49" s="473"/>
      <c r="FBR49" s="474"/>
      <c r="FBS49" s="471"/>
      <c r="FBT49" s="472"/>
      <c r="FBU49" s="473"/>
      <c r="FBV49" s="474"/>
      <c r="FBW49" s="471"/>
      <c r="FBX49" s="472"/>
      <c r="FBY49" s="473"/>
      <c r="FBZ49" s="474"/>
      <c r="FCA49" s="471"/>
      <c r="FCB49" s="472"/>
      <c r="FCC49" s="473"/>
      <c r="FCD49" s="474"/>
      <c r="FCE49" s="471"/>
      <c r="FCF49" s="472"/>
      <c r="FCG49" s="473"/>
      <c r="FCH49" s="474"/>
      <c r="FCI49" s="471"/>
      <c r="FCJ49" s="472"/>
      <c r="FCK49" s="473"/>
      <c r="FCL49" s="474"/>
      <c r="FCM49" s="471"/>
      <c r="FCN49" s="472"/>
      <c r="FCO49" s="473"/>
      <c r="FCP49" s="474"/>
      <c r="FCQ49" s="471"/>
      <c r="FCR49" s="472"/>
      <c r="FCS49" s="473"/>
      <c r="FCT49" s="474"/>
      <c r="FCU49" s="471"/>
      <c r="FCV49" s="472"/>
      <c r="FCW49" s="473"/>
      <c r="FCX49" s="474"/>
      <c r="FCY49" s="471"/>
      <c r="FCZ49" s="472"/>
      <c r="FDA49" s="473"/>
      <c r="FDB49" s="474"/>
      <c r="FDC49" s="471"/>
      <c r="FDD49" s="472"/>
      <c r="FDE49" s="473"/>
      <c r="FDF49" s="474"/>
      <c r="FDG49" s="471"/>
      <c r="FDH49" s="472"/>
      <c r="FDI49" s="473"/>
      <c r="FDJ49" s="474"/>
      <c r="FDK49" s="471"/>
      <c r="FDL49" s="472"/>
      <c r="FDM49" s="473"/>
      <c r="FDN49" s="474"/>
      <c r="FDO49" s="471"/>
      <c r="FDP49" s="472"/>
      <c r="FDQ49" s="473"/>
      <c r="FDR49" s="474"/>
      <c r="FDS49" s="471"/>
      <c r="FDT49" s="472"/>
      <c r="FDU49" s="473"/>
      <c r="FDV49" s="474"/>
      <c r="FDW49" s="471"/>
      <c r="FDX49" s="472"/>
      <c r="FDY49" s="473"/>
      <c r="FDZ49" s="474"/>
      <c r="FEA49" s="471"/>
      <c r="FEB49" s="472"/>
      <c r="FEC49" s="473"/>
      <c r="FED49" s="474"/>
      <c r="FEE49" s="471"/>
      <c r="FEF49" s="472"/>
      <c r="FEG49" s="473"/>
      <c r="FEH49" s="474"/>
      <c r="FEI49" s="471"/>
      <c r="FEJ49" s="472"/>
      <c r="FEK49" s="473"/>
      <c r="FEL49" s="474"/>
      <c r="FEM49" s="471"/>
      <c r="FEN49" s="472"/>
      <c r="FEO49" s="473"/>
      <c r="FEP49" s="474"/>
      <c r="FEQ49" s="471"/>
      <c r="FER49" s="472"/>
      <c r="FES49" s="473"/>
      <c r="FET49" s="474"/>
      <c r="FEU49" s="471"/>
      <c r="FEV49" s="472"/>
      <c r="FEW49" s="473"/>
      <c r="FEX49" s="474"/>
      <c r="FEY49" s="471"/>
      <c r="FEZ49" s="472"/>
      <c r="FFA49" s="473"/>
      <c r="FFB49" s="474"/>
      <c r="FFC49" s="471"/>
      <c r="FFD49" s="472"/>
      <c r="FFE49" s="473"/>
      <c r="FFF49" s="474"/>
      <c r="FFG49" s="471"/>
      <c r="FFH49" s="472"/>
      <c r="FFI49" s="473"/>
      <c r="FFJ49" s="474"/>
      <c r="FFK49" s="471"/>
      <c r="FFL49" s="472"/>
      <c r="FFM49" s="473"/>
      <c r="FFN49" s="474"/>
      <c r="FFO49" s="471"/>
      <c r="FFP49" s="472"/>
      <c r="FFQ49" s="473"/>
      <c r="FFR49" s="474"/>
      <c r="FFS49" s="471"/>
      <c r="FFT49" s="472"/>
      <c r="FFU49" s="473"/>
      <c r="FFV49" s="474"/>
      <c r="FFW49" s="471"/>
      <c r="FFX49" s="472"/>
      <c r="FFY49" s="473"/>
      <c r="FFZ49" s="474"/>
      <c r="FGA49" s="471"/>
      <c r="FGB49" s="472"/>
      <c r="FGC49" s="473"/>
      <c r="FGD49" s="474"/>
      <c r="FGE49" s="471"/>
      <c r="FGF49" s="472"/>
      <c r="FGG49" s="473"/>
      <c r="FGH49" s="474"/>
      <c r="FGI49" s="471"/>
      <c r="FGJ49" s="472"/>
      <c r="FGK49" s="473"/>
      <c r="FGL49" s="474"/>
      <c r="FGM49" s="471"/>
      <c r="FGN49" s="472"/>
      <c r="FGO49" s="473"/>
      <c r="FGP49" s="474"/>
      <c r="FGQ49" s="471"/>
      <c r="FGR49" s="472"/>
      <c r="FGS49" s="473"/>
      <c r="FGT49" s="474"/>
      <c r="FGU49" s="471"/>
      <c r="FGV49" s="472"/>
      <c r="FGW49" s="473"/>
      <c r="FGX49" s="474"/>
      <c r="FGY49" s="471"/>
      <c r="FGZ49" s="472"/>
      <c r="FHA49" s="473"/>
      <c r="FHB49" s="474"/>
      <c r="FHC49" s="471"/>
      <c r="FHD49" s="472"/>
      <c r="FHE49" s="473"/>
      <c r="FHF49" s="474"/>
      <c r="FHG49" s="471"/>
      <c r="FHH49" s="472"/>
      <c r="FHI49" s="473"/>
      <c r="FHJ49" s="474"/>
      <c r="FHK49" s="471"/>
      <c r="FHL49" s="472"/>
      <c r="FHM49" s="473"/>
      <c r="FHN49" s="474"/>
      <c r="FHO49" s="471"/>
      <c r="FHP49" s="472"/>
      <c r="FHQ49" s="473"/>
      <c r="FHR49" s="474"/>
      <c r="FHS49" s="471"/>
      <c r="FHT49" s="472"/>
      <c r="FHU49" s="473"/>
      <c r="FHV49" s="474"/>
      <c r="FHW49" s="471"/>
      <c r="FHX49" s="472"/>
      <c r="FHY49" s="473"/>
      <c r="FHZ49" s="474"/>
      <c r="FIA49" s="471"/>
      <c r="FIB49" s="472"/>
      <c r="FIC49" s="473"/>
      <c r="FID49" s="474"/>
      <c r="FIE49" s="471"/>
      <c r="FIF49" s="472"/>
      <c r="FIG49" s="473"/>
      <c r="FIH49" s="474"/>
      <c r="FII49" s="471"/>
      <c r="FIJ49" s="472"/>
      <c r="FIK49" s="473"/>
      <c r="FIL49" s="474"/>
      <c r="FIM49" s="471"/>
      <c r="FIN49" s="472"/>
      <c r="FIO49" s="473"/>
      <c r="FIP49" s="474"/>
      <c r="FIQ49" s="471"/>
      <c r="FIR49" s="472"/>
      <c r="FIS49" s="473"/>
      <c r="FIT49" s="474"/>
      <c r="FIU49" s="471"/>
      <c r="FIV49" s="472"/>
      <c r="FIW49" s="473"/>
      <c r="FIX49" s="474"/>
      <c r="FIY49" s="471"/>
      <c r="FIZ49" s="472"/>
      <c r="FJA49" s="473"/>
      <c r="FJB49" s="474"/>
      <c r="FJC49" s="471"/>
      <c r="FJD49" s="472"/>
      <c r="FJE49" s="473"/>
      <c r="FJF49" s="474"/>
      <c r="FJG49" s="471"/>
      <c r="FJH49" s="472"/>
      <c r="FJI49" s="473"/>
      <c r="FJJ49" s="474"/>
      <c r="FJK49" s="471"/>
      <c r="FJL49" s="472"/>
      <c r="FJM49" s="473"/>
      <c r="FJN49" s="474"/>
      <c r="FJO49" s="471"/>
      <c r="FJP49" s="472"/>
      <c r="FJQ49" s="473"/>
      <c r="FJR49" s="474"/>
      <c r="FJS49" s="471"/>
      <c r="FJT49" s="472"/>
      <c r="FJU49" s="473"/>
      <c r="FJV49" s="474"/>
      <c r="FJW49" s="471"/>
      <c r="FJX49" s="472"/>
      <c r="FJY49" s="473"/>
      <c r="FJZ49" s="474"/>
      <c r="FKA49" s="471"/>
      <c r="FKB49" s="472"/>
      <c r="FKC49" s="473"/>
      <c r="FKD49" s="474"/>
      <c r="FKE49" s="471"/>
      <c r="FKF49" s="472"/>
      <c r="FKG49" s="473"/>
      <c r="FKH49" s="474"/>
      <c r="FKI49" s="471"/>
      <c r="FKJ49" s="472"/>
      <c r="FKK49" s="473"/>
      <c r="FKL49" s="474"/>
      <c r="FKM49" s="471"/>
      <c r="FKN49" s="472"/>
      <c r="FKO49" s="473"/>
      <c r="FKP49" s="474"/>
      <c r="FKQ49" s="471"/>
      <c r="FKR49" s="472"/>
      <c r="FKS49" s="473"/>
      <c r="FKT49" s="474"/>
      <c r="FKU49" s="471"/>
      <c r="FKV49" s="472"/>
      <c r="FKW49" s="473"/>
      <c r="FKX49" s="474"/>
      <c r="FKY49" s="471"/>
      <c r="FKZ49" s="472"/>
      <c r="FLA49" s="473"/>
      <c r="FLB49" s="474"/>
      <c r="FLC49" s="471"/>
      <c r="FLD49" s="472"/>
      <c r="FLE49" s="473"/>
      <c r="FLF49" s="474"/>
      <c r="FLG49" s="471"/>
      <c r="FLH49" s="472"/>
      <c r="FLI49" s="473"/>
      <c r="FLJ49" s="474"/>
      <c r="FLK49" s="471"/>
      <c r="FLL49" s="472"/>
      <c r="FLM49" s="473"/>
      <c r="FLN49" s="474"/>
      <c r="FLO49" s="471"/>
      <c r="FLP49" s="472"/>
      <c r="FLQ49" s="473"/>
      <c r="FLR49" s="474"/>
      <c r="FLS49" s="471"/>
      <c r="FLT49" s="472"/>
      <c r="FLU49" s="473"/>
      <c r="FLV49" s="474"/>
      <c r="FLW49" s="471"/>
      <c r="FLX49" s="472"/>
      <c r="FLY49" s="473"/>
      <c r="FLZ49" s="474"/>
      <c r="FMA49" s="471"/>
      <c r="FMB49" s="472"/>
      <c r="FMC49" s="473"/>
      <c r="FMD49" s="474"/>
      <c r="FME49" s="471"/>
      <c r="FMF49" s="472"/>
      <c r="FMG49" s="473"/>
      <c r="FMH49" s="474"/>
      <c r="FMI49" s="471"/>
      <c r="FMJ49" s="472"/>
      <c r="FMK49" s="473"/>
      <c r="FML49" s="474"/>
      <c r="FMM49" s="471"/>
      <c r="FMN49" s="472"/>
      <c r="FMO49" s="473"/>
      <c r="FMP49" s="474"/>
      <c r="FMQ49" s="471"/>
      <c r="FMR49" s="472"/>
      <c r="FMS49" s="473"/>
      <c r="FMT49" s="474"/>
      <c r="FMU49" s="471"/>
      <c r="FMV49" s="472"/>
      <c r="FMW49" s="473"/>
      <c r="FMX49" s="474"/>
      <c r="FMY49" s="471"/>
      <c r="FMZ49" s="472"/>
      <c r="FNA49" s="473"/>
      <c r="FNB49" s="474"/>
      <c r="FNC49" s="471"/>
      <c r="FND49" s="472"/>
      <c r="FNE49" s="473"/>
      <c r="FNF49" s="474"/>
      <c r="FNG49" s="471"/>
      <c r="FNH49" s="472"/>
      <c r="FNI49" s="473"/>
      <c r="FNJ49" s="474"/>
      <c r="FNK49" s="471"/>
      <c r="FNL49" s="472"/>
      <c r="FNM49" s="473"/>
      <c r="FNN49" s="474"/>
      <c r="FNO49" s="471"/>
      <c r="FNP49" s="472"/>
      <c r="FNQ49" s="473"/>
      <c r="FNR49" s="474"/>
      <c r="FNS49" s="471"/>
      <c r="FNT49" s="472"/>
      <c r="FNU49" s="473"/>
      <c r="FNV49" s="474"/>
      <c r="FNW49" s="471"/>
      <c r="FNX49" s="472"/>
      <c r="FNY49" s="473"/>
      <c r="FNZ49" s="474"/>
      <c r="FOA49" s="471"/>
      <c r="FOB49" s="472"/>
      <c r="FOC49" s="473"/>
      <c r="FOD49" s="474"/>
      <c r="FOE49" s="471"/>
      <c r="FOF49" s="472"/>
      <c r="FOG49" s="473"/>
      <c r="FOH49" s="474"/>
      <c r="FOI49" s="471"/>
      <c r="FOJ49" s="472"/>
      <c r="FOK49" s="473"/>
      <c r="FOL49" s="474"/>
      <c r="FOM49" s="471"/>
      <c r="FON49" s="472"/>
      <c r="FOO49" s="473"/>
      <c r="FOP49" s="474"/>
      <c r="FOQ49" s="471"/>
      <c r="FOR49" s="472"/>
      <c r="FOS49" s="473"/>
      <c r="FOT49" s="474"/>
      <c r="FOU49" s="471"/>
      <c r="FOV49" s="472"/>
      <c r="FOW49" s="473"/>
      <c r="FOX49" s="474"/>
      <c r="FOY49" s="471"/>
      <c r="FOZ49" s="472"/>
      <c r="FPA49" s="473"/>
      <c r="FPB49" s="474"/>
      <c r="FPC49" s="471"/>
      <c r="FPD49" s="472"/>
      <c r="FPE49" s="473"/>
      <c r="FPF49" s="474"/>
      <c r="FPG49" s="471"/>
      <c r="FPH49" s="472"/>
      <c r="FPI49" s="473"/>
      <c r="FPJ49" s="474"/>
      <c r="FPK49" s="471"/>
      <c r="FPL49" s="472"/>
      <c r="FPM49" s="473"/>
      <c r="FPN49" s="474"/>
      <c r="FPO49" s="471"/>
      <c r="FPP49" s="472"/>
      <c r="FPQ49" s="473"/>
      <c r="FPR49" s="474"/>
      <c r="FPS49" s="471"/>
      <c r="FPT49" s="472"/>
      <c r="FPU49" s="473"/>
      <c r="FPV49" s="474"/>
      <c r="FPW49" s="471"/>
      <c r="FPX49" s="472"/>
      <c r="FPY49" s="473"/>
      <c r="FPZ49" s="474"/>
      <c r="FQA49" s="471"/>
      <c r="FQB49" s="472"/>
      <c r="FQC49" s="473"/>
      <c r="FQD49" s="474"/>
      <c r="FQE49" s="471"/>
      <c r="FQF49" s="472"/>
      <c r="FQG49" s="473"/>
      <c r="FQH49" s="474"/>
      <c r="FQI49" s="471"/>
      <c r="FQJ49" s="472"/>
      <c r="FQK49" s="473"/>
      <c r="FQL49" s="474"/>
      <c r="FQM49" s="471"/>
      <c r="FQN49" s="472"/>
      <c r="FQO49" s="473"/>
      <c r="FQP49" s="474"/>
      <c r="FQQ49" s="471"/>
      <c r="FQR49" s="472"/>
      <c r="FQS49" s="473"/>
      <c r="FQT49" s="474"/>
      <c r="FQU49" s="471"/>
      <c r="FQV49" s="472"/>
      <c r="FQW49" s="473"/>
      <c r="FQX49" s="474"/>
      <c r="FQY49" s="471"/>
      <c r="FQZ49" s="472"/>
      <c r="FRA49" s="473"/>
      <c r="FRB49" s="474"/>
      <c r="FRC49" s="471"/>
      <c r="FRD49" s="472"/>
      <c r="FRE49" s="473"/>
      <c r="FRF49" s="474"/>
      <c r="FRG49" s="471"/>
      <c r="FRH49" s="472"/>
      <c r="FRI49" s="473"/>
      <c r="FRJ49" s="474"/>
      <c r="FRK49" s="471"/>
      <c r="FRL49" s="472"/>
      <c r="FRM49" s="473"/>
      <c r="FRN49" s="474"/>
      <c r="FRO49" s="471"/>
      <c r="FRP49" s="472"/>
      <c r="FRQ49" s="473"/>
      <c r="FRR49" s="474"/>
      <c r="FRS49" s="471"/>
      <c r="FRT49" s="472"/>
      <c r="FRU49" s="473"/>
      <c r="FRV49" s="474"/>
      <c r="FRW49" s="471"/>
      <c r="FRX49" s="472"/>
      <c r="FRY49" s="473"/>
      <c r="FRZ49" s="474"/>
      <c r="FSA49" s="471"/>
      <c r="FSB49" s="472"/>
      <c r="FSC49" s="473"/>
      <c r="FSD49" s="474"/>
      <c r="FSE49" s="471"/>
      <c r="FSF49" s="472"/>
      <c r="FSG49" s="473"/>
      <c r="FSH49" s="474"/>
      <c r="FSI49" s="471"/>
      <c r="FSJ49" s="472"/>
      <c r="FSK49" s="473"/>
      <c r="FSL49" s="474"/>
      <c r="FSM49" s="471"/>
      <c r="FSN49" s="472"/>
      <c r="FSO49" s="473"/>
      <c r="FSP49" s="474"/>
      <c r="FSQ49" s="471"/>
      <c r="FSR49" s="472"/>
      <c r="FSS49" s="473"/>
      <c r="FST49" s="474"/>
      <c r="FSU49" s="471"/>
      <c r="FSV49" s="472"/>
      <c r="FSW49" s="473"/>
      <c r="FSX49" s="474"/>
      <c r="FSY49" s="471"/>
      <c r="FSZ49" s="472"/>
      <c r="FTA49" s="473"/>
      <c r="FTB49" s="474"/>
      <c r="FTC49" s="471"/>
      <c r="FTD49" s="472"/>
      <c r="FTE49" s="473"/>
      <c r="FTF49" s="474"/>
      <c r="FTG49" s="471"/>
      <c r="FTH49" s="472"/>
      <c r="FTI49" s="473"/>
      <c r="FTJ49" s="474"/>
      <c r="FTK49" s="471"/>
      <c r="FTL49" s="472"/>
      <c r="FTM49" s="473"/>
      <c r="FTN49" s="474"/>
      <c r="FTO49" s="471"/>
      <c r="FTP49" s="472"/>
      <c r="FTQ49" s="473"/>
      <c r="FTR49" s="474"/>
      <c r="FTS49" s="471"/>
      <c r="FTT49" s="472"/>
      <c r="FTU49" s="473"/>
      <c r="FTV49" s="474"/>
      <c r="FTW49" s="471"/>
      <c r="FTX49" s="472"/>
      <c r="FTY49" s="473"/>
      <c r="FTZ49" s="474"/>
      <c r="FUA49" s="471"/>
      <c r="FUB49" s="472"/>
      <c r="FUC49" s="473"/>
      <c r="FUD49" s="474"/>
      <c r="FUE49" s="471"/>
      <c r="FUF49" s="472"/>
      <c r="FUG49" s="473"/>
      <c r="FUH49" s="474"/>
      <c r="FUI49" s="471"/>
      <c r="FUJ49" s="472"/>
      <c r="FUK49" s="473"/>
      <c r="FUL49" s="474"/>
      <c r="FUM49" s="471"/>
      <c r="FUN49" s="472"/>
      <c r="FUO49" s="473"/>
      <c r="FUP49" s="474"/>
      <c r="FUQ49" s="471"/>
      <c r="FUR49" s="472"/>
      <c r="FUS49" s="473"/>
      <c r="FUT49" s="474"/>
      <c r="FUU49" s="471"/>
      <c r="FUV49" s="472"/>
      <c r="FUW49" s="473"/>
      <c r="FUX49" s="474"/>
      <c r="FUY49" s="471"/>
      <c r="FUZ49" s="472"/>
      <c r="FVA49" s="473"/>
      <c r="FVB49" s="474"/>
      <c r="FVC49" s="471"/>
      <c r="FVD49" s="472"/>
      <c r="FVE49" s="473"/>
      <c r="FVF49" s="474"/>
      <c r="FVG49" s="471"/>
      <c r="FVH49" s="472"/>
      <c r="FVI49" s="473"/>
      <c r="FVJ49" s="474"/>
      <c r="FVK49" s="471"/>
      <c r="FVL49" s="472"/>
      <c r="FVM49" s="473"/>
      <c r="FVN49" s="474"/>
      <c r="FVO49" s="471"/>
      <c r="FVP49" s="472"/>
      <c r="FVQ49" s="473"/>
      <c r="FVR49" s="474"/>
      <c r="FVS49" s="471"/>
      <c r="FVT49" s="472"/>
      <c r="FVU49" s="473"/>
      <c r="FVV49" s="474"/>
      <c r="FVW49" s="471"/>
      <c r="FVX49" s="472"/>
      <c r="FVY49" s="473"/>
      <c r="FVZ49" s="474"/>
      <c r="FWA49" s="471"/>
      <c r="FWB49" s="472"/>
      <c r="FWC49" s="473"/>
      <c r="FWD49" s="474"/>
      <c r="FWE49" s="471"/>
      <c r="FWF49" s="472"/>
      <c r="FWG49" s="473"/>
      <c r="FWH49" s="474"/>
      <c r="FWI49" s="471"/>
      <c r="FWJ49" s="472"/>
      <c r="FWK49" s="473"/>
      <c r="FWL49" s="474"/>
      <c r="FWM49" s="471"/>
      <c r="FWN49" s="472"/>
      <c r="FWO49" s="473"/>
      <c r="FWP49" s="474"/>
      <c r="FWQ49" s="471"/>
      <c r="FWR49" s="472"/>
      <c r="FWS49" s="473"/>
      <c r="FWT49" s="474"/>
      <c r="FWU49" s="471"/>
      <c r="FWV49" s="472"/>
      <c r="FWW49" s="473"/>
      <c r="FWX49" s="474"/>
      <c r="FWY49" s="471"/>
      <c r="FWZ49" s="472"/>
      <c r="FXA49" s="473"/>
      <c r="FXB49" s="474"/>
      <c r="FXC49" s="471"/>
      <c r="FXD49" s="472"/>
      <c r="FXE49" s="473"/>
      <c r="FXF49" s="474"/>
      <c r="FXG49" s="471"/>
      <c r="FXH49" s="472"/>
      <c r="FXI49" s="473"/>
      <c r="FXJ49" s="474"/>
      <c r="FXK49" s="471"/>
      <c r="FXL49" s="472"/>
      <c r="FXM49" s="473"/>
      <c r="FXN49" s="474"/>
      <c r="FXO49" s="471"/>
      <c r="FXP49" s="472"/>
      <c r="FXQ49" s="473"/>
      <c r="FXR49" s="474"/>
      <c r="FXS49" s="471"/>
      <c r="FXT49" s="472"/>
      <c r="FXU49" s="473"/>
      <c r="FXV49" s="474"/>
      <c r="FXW49" s="471"/>
      <c r="FXX49" s="472"/>
      <c r="FXY49" s="473"/>
      <c r="FXZ49" s="474"/>
      <c r="FYA49" s="471"/>
      <c r="FYB49" s="472"/>
      <c r="FYC49" s="473"/>
      <c r="FYD49" s="474"/>
      <c r="FYE49" s="471"/>
      <c r="FYF49" s="472"/>
      <c r="FYG49" s="473"/>
      <c r="FYH49" s="474"/>
      <c r="FYI49" s="471"/>
      <c r="FYJ49" s="472"/>
      <c r="FYK49" s="473"/>
      <c r="FYL49" s="474"/>
      <c r="FYM49" s="471"/>
      <c r="FYN49" s="472"/>
      <c r="FYO49" s="473"/>
      <c r="FYP49" s="474"/>
      <c r="FYQ49" s="471"/>
      <c r="FYR49" s="472"/>
      <c r="FYS49" s="473"/>
      <c r="FYT49" s="474"/>
      <c r="FYU49" s="471"/>
      <c r="FYV49" s="472"/>
      <c r="FYW49" s="473"/>
      <c r="FYX49" s="474"/>
      <c r="FYY49" s="471"/>
      <c r="FYZ49" s="472"/>
      <c r="FZA49" s="473"/>
      <c r="FZB49" s="474"/>
      <c r="FZC49" s="471"/>
      <c r="FZD49" s="472"/>
      <c r="FZE49" s="473"/>
      <c r="FZF49" s="474"/>
      <c r="FZG49" s="471"/>
      <c r="FZH49" s="472"/>
      <c r="FZI49" s="473"/>
      <c r="FZJ49" s="474"/>
      <c r="FZK49" s="471"/>
      <c r="FZL49" s="472"/>
      <c r="FZM49" s="473"/>
      <c r="FZN49" s="474"/>
      <c r="FZO49" s="471"/>
      <c r="FZP49" s="472"/>
      <c r="FZQ49" s="473"/>
      <c r="FZR49" s="474"/>
      <c r="FZS49" s="471"/>
      <c r="FZT49" s="472"/>
      <c r="FZU49" s="473"/>
      <c r="FZV49" s="474"/>
      <c r="FZW49" s="471"/>
      <c r="FZX49" s="472"/>
      <c r="FZY49" s="473"/>
      <c r="FZZ49" s="474"/>
      <c r="GAA49" s="471"/>
      <c r="GAB49" s="472"/>
      <c r="GAC49" s="473"/>
      <c r="GAD49" s="474"/>
      <c r="GAE49" s="471"/>
      <c r="GAF49" s="472"/>
      <c r="GAG49" s="473"/>
      <c r="GAH49" s="474"/>
      <c r="GAI49" s="471"/>
      <c r="GAJ49" s="472"/>
      <c r="GAK49" s="473"/>
      <c r="GAL49" s="474"/>
      <c r="GAM49" s="471"/>
      <c r="GAN49" s="472"/>
      <c r="GAO49" s="473"/>
      <c r="GAP49" s="474"/>
      <c r="GAQ49" s="471"/>
      <c r="GAR49" s="472"/>
      <c r="GAS49" s="473"/>
      <c r="GAT49" s="474"/>
      <c r="GAU49" s="471"/>
      <c r="GAV49" s="472"/>
      <c r="GAW49" s="473"/>
      <c r="GAX49" s="474"/>
      <c r="GAY49" s="471"/>
      <c r="GAZ49" s="472"/>
      <c r="GBA49" s="473"/>
      <c r="GBB49" s="474"/>
      <c r="GBC49" s="471"/>
      <c r="GBD49" s="472"/>
      <c r="GBE49" s="473"/>
      <c r="GBF49" s="474"/>
      <c r="GBG49" s="471"/>
      <c r="GBH49" s="472"/>
      <c r="GBI49" s="473"/>
      <c r="GBJ49" s="474"/>
      <c r="GBK49" s="471"/>
      <c r="GBL49" s="472"/>
      <c r="GBM49" s="473"/>
      <c r="GBN49" s="474"/>
      <c r="GBO49" s="471"/>
      <c r="GBP49" s="472"/>
      <c r="GBQ49" s="473"/>
      <c r="GBR49" s="474"/>
      <c r="GBS49" s="471"/>
      <c r="GBT49" s="472"/>
      <c r="GBU49" s="473"/>
      <c r="GBV49" s="474"/>
      <c r="GBW49" s="471"/>
      <c r="GBX49" s="472"/>
      <c r="GBY49" s="473"/>
      <c r="GBZ49" s="474"/>
      <c r="GCA49" s="471"/>
      <c r="GCB49" s="472"/>
      <c r="GCC49" s="473"/>
      <c r="GCD49" s="474"/>
      <c r="GCE49" s="471"/>
      <c r="GCF49" s="472"/>
      <c r="GCG49" s="473"/>
      <c r="GCH49" s="474"/>
      <c r="GCI49" s="471"/>
      <c r="GCJ49" s="472"/>
      <c r="GCK49" s="473"/>
      <c r="GCL49" s="474"/>
      <c r="GCM49" s="471"/>
      <c r="GCN49" s="472"/>
      <c r="GCO49" s="473"/>
      <c r="GCP49" s="474"/>
      <c r="GCQ49" s="471"/>
      <c r="GCR49" s="472"/>
      <c r="GCS49" s="473"/>
      <c r="GCT49" s="474"/>
      <c r="GCU49" s="471"/>
      <c r="GCV49" s="472"/>
      <c r="GCW49" s="473"/>
      <c r="GCX49" s="474"/>
      <c r="GCY49" s="471"/>
      <c r="GCZ49" s="472"/>
      <c r="GDA49" s="473"/>
      <c r="GDB49" s="474"/>
      <c r="GDC49" s="471"/>
      <c r="GDD49" s="472"/>
      <c r="GDE49" s="473"/>
      <c r="GDF49" s="474"/>
      <c r="GDG49" s="471"/>
      <c r="GDH49" s="472"/>
      <c r="GDI49" s="473"/>
      <c r="GDJ49" s="474"/>
      <c r="GDK49" s="471"/>
      <c r="GDL49" s="472"/>
      <c r="GDM49" s="473"/>
      <c r="GDN49" s="474"/>
      <c r="GDO49" s="471"/>
      <c r="GDP49" s="472"/>
      <c r="GDQ49" s="473"/>
      <c r="GDR49" s="474"/>
      <c r="GDS49" s="471"/>
      <c r="GDT49" s="472"/>
      <c r="GDU49" s="473"/>
      <c r="GDV49" s="474"/>
      <c r="GDW49" s="471"/>
      <c r="GDX49" s="472"/>
      <c r="GDY49" s="473"/>
      <c r="GDZ49" s="474"/>
      <c r="GEA49" s="471"/>
      <c r="GEB49" s="472"/>
      <c r="GEC49" s="473"/>
      <c r="GED49" s="474"/>
      <c r="GEE49" s="471"/>
      <c r="GEF49" s="472"/>
      <c r="GEG49" s="473"/>
      <c r="GEH49" s="474"/>
      <c r="GEI49" s="471"/>
      <c r="GEJ49" s="472"/>
      <c r="GEK49" s="473"/>
      <c r="GEL49" s="474"/>
      <c r="GEM49" s="471"/>
      <c r="GEN49" s="472"/>
      <c r="GEO49" s="473"/>
      <c r="GEP49" s="474"/>
      <c r="GEQ49" s="471"/>
      <c r="GER49" s="472"/>
      <c r="GES49" s="473"/>
      <c r="GET49" s="474"/>
      <c r="GEU49" s="471"/>
      <c r="GEV49" s="472"/>
      <c r="GEW49" s="473"/>
      <c r="GEX49" s="474"/>
      <c r="GEY49" s="471"/>
      <c r="GEZ49" s="472"/>
      <c r="GFA49" s="473"/>
      <c r="GFB49" s="474"/>
      <c r="GFC49" s="471"/>
      <c r="GFD49" s="472"/>
      <c r="GFE49" s="473"/>
      <c r="GFF49" s="474"/>
      <c r="GFG49" s="471"/>
      <c r="GFH49" s="472"/>
      <c r="GFI49" s="473"/>
      <c r="GFJ49" s="474"/>
      <c r="GFK49" s="471"/>
      <c r="GFL49" s="472"/>
      <c r="GFM49" s="473"/>
      <c r="GFN49" s="474"/>
      <c r="GFO49" s="471"/>
      <c r="GFP49" s="472"/>
      <c r="GFQ49" s="473"/>
      <c r="GFR49" s="474"/>
      <c r="GFS49" s="471"/>
      <c r="GFT49" s="472"/>
      <c r="GFU49" s="473"/>
      <c r="GFV49" s="474"/>
      <c r="GFW49" s="471"/>
      <c r="GFX49" s="472"/>
      <c r="GFY49" s="473"/>
      <c r="GFZ49" s="474"/>
      <c r="GGA49" s="471"/>
      <c r="GGB49" s="472"/>
      <c r="GGC49" s="473"/>
      <c r="GGD49" s="474"/>
      <c r="GGE49" s="471"/>
      <c r="GGF49" s="472"/>
      <c r="GGG49" s="473"/>
      <c r="GGH49" s="474"/>
      <c r="GGI49" s="471"/>
      <c r="GGJ49" s="472"/>
      <c r="GGK49" s="473"/>
      <c r="GGL49" s="474"/>
      <c r="GGM49" s="471"/>
      <c r="GGN49" s="472"/>
      <c r="GGO49" s="473"/>
      <c r="GGP49" s="474"/>
      <c r="GGQ49" s="471"/>
      <c r="GGR49" s="472"/>
      <c r="GGS49" s="473"/>
      <c r="GGT49" s="474"/>
      <c r="GGU49" s="471"/>
      <c r="GGV49" s="472"/>
      <c r="GGW49" s="473"/>
      <c r="GGX49" s="474"/>
      <c r="GGY49" s="471"/>
      <c r="GGZ49" s="472"/>
      <c r="GHA49" s="473"/>
      <c r="GHB49" s="474"/>
      <c r="GHC49" s="471"/>
      <c r="GHD49" s="472"/>
      <c r="GHE49" s="473"/>
      <c r="GHF49" s="474"/>
      <c r="GHG49" s="471"/>
      <c r="GHH49" s="472"/>
      <c r="GHI49" s="473"/>
      <c r="GHJ49" s="474"/>
      <c r="GHK49" s="471"/>
      <c r="GHL49" s="472"/>
      <c r="GHM49" s="473"/>
      <c r="GHN49" s="474"/>
      <c r="GHO49" s="471"/>
      <c r="GHP49" s="472"/>
      <c r="GHQ49" s="473"/>
      <c r="GHR49" s="474"/>
      <c r="GHS49" s="471"/>
      <c r="GHT49" s="472"/>
      <c r="GHU49" s="473"/>
      <c r="GHV49" s="474"/>
      <c r="GHW49" s="471"/>
      <c r="GHX49" s="472"/>
      <c r="GHY49" s="473"/>
      <c r="GHZ49" s="474"/>
      <c r="GIA49" s="471"/>
      <c r="GIB49" s="472"/>
      <c r="GIC49" s="473"/>
      <c r="GID49" s="474"/>
      <c r="GIE49" s="471"/>
      <c r="GIF49" s="472"/>
      <c r="GIG49" s="473"/>
      <c r="GIH49" s="474"/>
      <c r="GII49" s="471"/>
      <c r="GIJ49" s="472"/>
      <c r="GIK49" s="473"/>
      <c r="GIL49" s="474"/>
      <c r="GIM49" s="471"/>
      <c r="GIN49" s="472"/>
      <c r="GIO49" s="473"/>
      <c r="GIP49" s="474"/>
      <c r="GIQ49" s="471"/>
      <c r="GIR49" s="472"/>
      <c r="GIS49" s="473"/>
      <c r="GIT49" s="474"/>
      <c r="GIU49" s="471"/>
      <c r="GIV49" s="472"/>
      <c r="GIW49" s="473"/>
      <c r="GIX49" s="474"/>
      <c r="GIY49" s="471"/>
      <c r="GIZ49" s="472"/>
      <c r="GJA49" s="473"/>
      <c r="GJB49" s="474"/>
      <c r="GJC49" s="471"/>
      <c r="GJD49" s="472"/>
      <c r="GJE49" s="473"/>
      <c r="GJF49" s="474"/>
      <c r="GJG49" s="471"/>
      <c r="GJH49" s="472"/>
      <c r="GJI49" s="473"/>
      <c r="GJJ49" s="474"/>
      <c r="GJK49" s="471"/>
      <c r="GJL49" s="472"/>
      <c r="GJM49" s="473"/>
      <c r="GJN49" s="474"/>
      <c r="GJO49" s="471"/>
      <c r="GJP49" s="472"/>
      <c r="GJQ49" s="473"/>
      <c r="GJR49" s="474"/>
      <c r="GJS49" s="471"/>
      <c r="GJT49" s="472"/>
      <c r="GJU49" s="473"/>
      <c r="GJV49" s="474"/>
      <c r="GJW49" s="471"/>
      <c r="GJX49" s="472"/>
      <c r="GJY49" s="473"/>
      <c r="GJZ49" s="474"/>
      <c r="GKA49" s="471"/>
      <c r="GKB49" s="472"/>
      <c r="GKC49" s="473"/>
      <c r="GKD49" s="474"/>
      <c r="GKE49" s="471"/>
      <c r="GKF49" s="472"/>
      <c r="GKG49" s="473"/>
      <c r="GKH49" s="474"/>
      <c r="GKI49" s="471"/>
      <c r="GKJ49" s="472"/>
      <c r="GKK49" s="473"/>
      <c r="GKL49" s="474"/>
      <c r="GKM49" s="471"/>
      <c r="GKN49" s="472"/>
      <c r="GKO49" s="473"/>
      <c r="GKP49" s="474"/>
      <c r="GKQ49" s="471"/>
      <c r="GKR49" s="472"/>
      <c r="GKS49" s="473"/>
      <c r="GKT49" s="474"/>
      <c r="GKU49" s="471"/>
      <c r="GKV49" s="472"/>
      <c r="GKW49" s="473"/>
      <c r="GKX49" s="474"/>
      <c r="GKY49" s="471"/>
      <c r="GKZ49" s="472"/>
      <c r="GLA49" s="473"/>
      <c r="GLB49" s="474"/>
      <c r="GLC49" s="471"/>
      <c r="GLD49" s="472"/>
      <c r="GLE49" s="473"/>
      <c r="GLF49" s="474"/>
      <c r="GLG49" s="471"/>
      <c r="GLH49" s="472"/>
      <c r="GLI49" s="473"/>
      <c r="GLJ49" s="474"/>
      <c r="GLK49" s="471"/>
      <c r="GLL49" s="472"/>
      <c r="GLM49" s="473"/>
      <c r="GLN49" s="474"/>
      <c r="GLO49" s="471"/>
      <c r="GLP49" s="472"/>
      <c r="GLQ49" s="473"/>
      <c r="GLR49" s="474"/>
      <c r="GLS49" s="471"/>
      <c r="GLT49" s="472"/>
      <c r="GLU49" s="473"/>
      <c r="GLV49" s="474"/>
      <c r="GLW49" s="471"/>
      <c r="GLX49" s="472"/>
      <c r="GLY49" s="473"/>
      <c r="GLZ49" s="474"/>
      <c r="GMA49" s="471"/>
      <c r="GMB49" s="472"/>
      <c r="GMC49" s="473"/>
      <c r="GMD49" s="474"/>
      <c r="GME49" s="471"/>
      <c r="GMF49" s="472"/>
      <c r="GMG49" s="473"/>
      <c r="GMH49" s="474"/>
      <c r="GMI49" s="471"/>
      <c r="GMJ49" s="472"/>
      <c r="GMK49" s="473"/>
      <c r="GML49" s="474"/>
      <c r="GMM49" s="471"/>
      <c r="GMN49" s="472"/>
      <c r="GMO49" s="473"/>
      <c r="GMP49" s="474"/>
      <c r="GMQ49" s="471"/>
      <c r="GMR49" s="472"/>
      <c r="GMS49" s="473"/>
      <c r="GMT49" s="474"/>
      <c r="GMU49" s="471"/>
      <c r="GMV49" s="472"/>
      <c r="GMW49" s="473"/>
      <c r="GMX49" s="474"/>
      <c r="GMY49" s="471"/>
      <c r="GMZ49" s="472"/>
      <c r="GNA49" s="473"/>
      <c r="GNB49" s="474"/>
      <c r="GNC49" s="471"/>
      <c r="GND49" s="472"/>
      <c r="GNE49" s="473"/>
      <c r="GNF49" s="474"/>
      <c r="GNG49" s="471"/>
      <c r="GNH49" s="472"/>
      <c r="GNI49" s="473"/>
      <c r="GNJ49" s="474"/>
      <c r="GNK49" s="471"/>
      <c r="GNL49" s="472"/>
      <c r="GNM49" s="473"/>
      <c r="GNN49" s="474"/>
      <c r="GNO49" s="471"/>
      <c r="GNP49" s="472"/>
      <c r="GNQ49" s="473"/>
      <c r="GNR49" s="474"/>
      <c r="GNS49" s="471"/>
      <c r="GNT49" s="472"/>
      <c r="GNU49" s="473"/>
      <c r="GNV49" s="474"/>
      <c r="GNW49" s="471"/>
      <c r="GNX49" s="472"/>
      <c r="GNY49" s="473"/>
      <c r="GNZ49" s="474"/>
      <c r="GOA49" s="471"/>
      <c r="GOB49" s="472"/>
      <c r="GOC49" s="473"/>
      <c r="GOD49" s="474"/>
      <c r="GOE49" s="471"/>
      <c r="GOF49" s="472"/>
      <c r="GOG49" s="473"/>
      <c r="GOH49" s="474"/>
      <c r="GOI49" s="471"/>
      <c r="GOJ49" s="472"/>
      <c r="GOK49" s="473"/>
      <c r="GOL49" s="474"/>
      <c r="GOM49" s="471"/>
      <c r="GON49" s="472"/>
      <c r="GOO49" s="473"/>
      <c r="GOP49" s="474"/>
      <c r="GOQ49" s="471"/>
      <c r="GOR49" s="472"/>
      <c r="GOS49" s="473"/>
      <c r="GOT49" s="474"/>
      <c r="GOU49" s="471"/>
      <c r="GOV49" s="472"/>
      <c r="GOW49" s="473"/>
      <c r="GOX49" s="474"/>
      <c r="GOY49" s="471"/>
      <c r="GOZ49" s="472"/>
      <c r="GPA49" s="473"/>
      <c r="GPB49" s="474"/>
      <c r="GPC49" s="471"/>
      <c r="GPD49" s="472"/>
      <c r="GPE49" s="473"/>
      <c r="GPF49" s="474"/>
      <c r="GPG49" s="471"/>
      <c r="GPH49" s="472"/>
      <c r="GPI49" s="473"/>
      <c r="GPJ49" s="474"/>
      <c r="GPK49" s="471"/>
      <c r="GPL49" s="472"/>
      <c r="GPM49" s="473"/>
      <c r="GPN49" s="474"/>
      <c r="GPO49" s="471"/>
      <c r="GPP49" s="472"/>
      <c r="GPQ49" s="473"/>
      <c r="GPR49" s="474"/>
      <c r="GPS49" s="471"/>
      <c r="GPT49" s="472"/>
      <c r="GPU49" s="473"/>
      <c r="GPV49" s="474"/>
      <c r="GPW49" s="471"/>
      <c r="GPX49" s="472"/>
      <c r="GPY49" s="473"/>
      <c r="GPZ49" s="474"/>
      <c r="GQA49" s="471"/>
      <c r="GQB49" s="472"/>
      <c r="GQC49" s="473"/>
      <c r="GQD49" s="474"/>
      <c r="GQE49" s="471"/>
      <c r="GQF49" s="472"/>
      <c r="GQG49" s="473"/>
      <c r="GQH49" s="474"/>
      <c r="GQI49" s="471"/>
      <c r="GQJ49" s="472"/>
      <c r="GQK49" s="473"/>
      <c r="GQL49" s="474"/>
      <c r="GQM49" s="471"/>
      <c r="GQN49" s="472"/>
      <c r="GQO49" s="473"/>
      <c r="GQP49" s="474"/>
      <c r="GQQ49" s="471"/>
      <c r="GQR49" s="472"/>
      <c r="GQS49" s="473"/>
      <c r="GQT49" s="474"/>
      <c r="GQU49" s="471"/>
      <c r="GQV49" s="472"/>
      <c r="GQW49" s="473"/>
      <c r="GQX49" s="474"/>
      <c r="GQY49" s="471"/>
      <c r="GQZ49" s="472"/>
      <c r="GRA49" s="473"/>
      <c r="GRB49" s="474"/>
      <c r="GRC49" s="471"/>
      <c r="GRD49" s="472"/>
      <c r="GRE49" s="473"/>
      <c r="GRF49" s="474"/>
      <c r="GRG49" s="471"/>
      <c r="GRH49" s="472"/>
      <c r="GRI49" s="473"/>
      <c r="GRJ49" s="474"/>
      <c r="GRK49" s="471"/>
      <c r="GRL49" s="472"/>
      <c r="GRM49" s="473"/>
      <c r="GRN49" s="474"/>
      <c r="GRO49" s="471"/>
      <c r="GRP49" s="472"/>
      <c r="GRQ49" s="473"/>
      <c r="GRR49" s="474"/>
      <c r="GRS49" s="471"/>
      <c r="GRT49" s="472"/>
      <c r="GRU49" s="473"/>
      <c r="GRV49" s="474"/>
      <c r="GRW49" s="471"/>
      <c r="GRX49" s="472"/>
      <c r="GRY49" s="473"/>
      <c r="GRZ49" s="474"/>
      <c r="GSA49" s="471"/>
      <c r="GSB49" s="472"/>
      <c r="GSC49" s="473"/>
      <c r="GSD49" s="474"/>
      <c r="GSE49" s="471"/>
      <c r="GSF49" s="472"/>
      <c r="GSG49" s="473"/>
      <c r="GSH49" s="474"/>
      <c r="GSI49" s="471"/>
      <c r="GSJ49" s="472"/>
      <c r="GSK49" s="473"/>
      <c r="GSL49" s="474"/>
      <c r="GSM49" s="471"/>
      <c r="GSN49" s="472"/>
      <c r="GSO49" s="473"/>
      <c r="GSP49" s="474"/>
      <c r="GSQ49" s="471"/>
      <c r="GSR49" s="472"/>
      <c r="GSS49" s="473"/>
      <c r="GST49" s="474"/>
      <c r="GSU49" s="471"/>
      <c r="GSV49" s="472"/>
      <c r="GSW49" s="473"/>
      <c r="GSX49" s="474"/>
      <c r="GSY49" s="471"/>
      <c r="GSZ49" s="472"/>
      <c r="GTA49" s="473"/>
      <c r="GTB49" s="474"/>
      <c r="GTC49" s="471"/>
      <c r="GTD49" s="472"/>
      <c r="GTE49" s="473"/>
      <c r="GTF49" s="474"/>
      <c r="GTG49" s="471"/>
      <c r="GTH49" s="472"/>
      <c r="GTI49" s="473"/>
      <c r="GTJ49" s="474"/>
      <c r="GTK49" s="471"/>
      <c r="GTL49" s="472"/>
      <c r="GTM49" s="473"/>
      <c r="GTN49" s="474"/>
      <c r="GTO49" s="471"/>
      <c r="GTP49" s="472"/>
      <c r="GTQ49" s="473"/>
      <c r="GTR49" s="474"/>
      <c r="GTS49" s="471"/>
      <c r="GTT49" s="472"/>
      <c r="GTU49" s="473"/>
      <c r="GTV49" s="474"/>
      <c r="GTW49" s="471"/>
      <c r="GTX49" s="472"/>
      <c r="GTY49" s="473"/>
      <c r="GTZ49" s="474"/>
      <c r="GUA49" s="471"/>
      <c r="GUB49" s="472"/>
      <c r="GUC49" s="473"/>
      <c r="GUD49" s="474"/>
      <c r="GUE49" s="471"/>
      <c r="GUF49" s="472"/>
      <c r="GUG49" s="473"/>
      <c r="GUH49" s="474"/>
      <c r="GUI49" s="471"/>
      <c r="GUJ49" s="472"/>
      <c r="GUK49" s="473"/>
      <c r="GUL49" s="474"/>
      <c r="GUM49" s="471"/>
      <c r="GUN49" s="472"/>
      <c r="GUO49" s="473"/>
      <c r="GUP49" s="474"/>
      <c r="GUQ49" s="471"/>
      <c r="GUR49" s="472"/>
      <c r="GUS49" s="473"/>
      <c r="GUT49" s="474"/>
      <c r="GUU49" s="471"/>
      <c r="GUV49" s="472"/>
      <c r="GUW49" s="473"/>
      <c r="GUX49" s="474"/>
      <c r="GUY49" s="471"/>
      <c r="GUZ49" s="472"/>
      <c r="GVA49" s="473"/>
      <c r="GVB49" s="474"/>
      <c r="GVC49" s="471"/>
      <c r="GVD49" s="472"/>
      <c r="GVE49" s="473"/>
      <c r="GVF49" s="474"/>
      <c r="GVG49" s="471"/>
      <c r="GVH49" s="472"/>
      <c r="GVI49" s="473"/>
      <c r="GVJ49" s="474"/>
      <c r="GVK49" s="471"/>
      <c r="GVL49" s="472"/>
      <c r="GVM49" s="473"/>
      <c r="GVN49" s="474"/>
      <c r="GVO49" s="471"/>
      <c r="GVP49" s="472"/>
      <c r="GVQ49" s="473"/>
      <c r="GVR49" s="474"/>
      <c r="GVS49" s="471"/>
      <c r="GVT49" s="472"/>
      <c r="GVU49" s="473"/>
      <c r="GVV49" s="474"/>
      <c r="GVW49" s="471"/>
      <c r="GVX49" s="472"/>
      <c r="GVY49" s="473"/>
      <c r="GVZ49" s="474"/>
      <c r="GWA49" s="471"/>
      <c r="GWB49" s="472"/>
      <c r="GWC49" s="473"/>
      <c r="GWD49" s="474"/>
      <c r="GWE49" s="471"/>
      <c r="GWF49" s="472"/>
      <c r="GWG49" s="473"/>
      <c r="GWH49" s="474"/>
      <c r="GWI49" s="471"/>
      <c r="GWJ49" s="472"/>
      <c r="GWK49" s="473"/>
      <c r="GWL49" s="474"/>
      <c r="GWM49" s="471"/>
      <c r="GWN49" s="472"/>
      <c r="GWO49" s="473"/>
      <c r="GWP49" s="474"/>
      <c r="GWQ49" s="471"/>
      <c r="GWR49" s="472"/>
      <c r="GWS49" s="473"/>
      <c r="GWT49" s="474"/>
      <c r="GWU49" s="471"/>
      <c r="GWV49" s="472"/>
      <c r="GWW49" s="473"/>
      <c r="GWX49" s="474"/>
      <c r="GWY49" s="471"/>
      <c r="GWZ49" s="472"/>
      <c r="GXA49" s="473"/>
      <c r="GXB49" s="474"/>
      <c r="GXC49" s="471"/>
      <c r="GXD49" s="472"/>
      <c r="GXE49" s="473"/>
      <c r="GXF49" s="474"/>
      <c r="GXG49" s="471"/>
      <c r="GXH49" s="472"/>
      <c r="GXI49" s="473"/>
      <c r="GXJ49" s="474"/>
      <c r="GXK49" s="471"/>
      <c r="GXL49" s="472"/>
      <c r="GXM49" s="473"/>
      <c r="GXN49" s="474"/>
      <c r="GXO49" s="471"/>
      <c r="GXP49" s="472"/>
      <c r="GXQ49" s="473"/>
      <c r="GXR49" s="474"/>
      <c r="GXS49" s="471"/>
      <c r="GXT49" s="472"/>
      <c r="GXU49" s="473"/>
      <c r="GXV49" s="474"/>
      <c r="GXW49" s="471"/>
      <c r="GXX49" s="472"/>
      <c r="GXY49" s="473"/>
      <c r="GXZ49" s="474"/>
      <c r="GYA49" s="471"/>
      <c r="GYB49" s="472"/>
      <c r="GYC49" s="473"/>
      <c r="GYD49" s="474"/>
      <c r="GYE49" s="471"/>
      <c r="GYF49" s="472"/>
      <c r="GYG49" s="473"/>
      <c r="GYH49" s="474"/>
      <c r="GYI49" s="471"/>
      <c r="GYJ49" s="472"/>
      <c r="GYK49" s="473"/>
      <c r="GYL49" s="474"/>
      <c r="GYM49" s="471"/>
      <c r="GYN49" s="472"/>
      <c r="GYO49" s="473"/>
      <c r="GYP49" s="474"/>
      <c r="GYQ49" s="471"/>
      <c r="GYR49" s="472"/>
      <c r="GYS49" s="473"/>
      <c r="GYT49" s="474"/>
      <c r="GYU49" s="471"/>
      <c r="GYV49" s="472"/>
      <c r="GYW49" s="473"/>
      <c r="GYX49" s="474"/>
      <c r="GYY49" s="471"/>
      <c r="GYZ49" s="472"/>
      <c r="GZA49" s="473"/>
      <c r="GZB49" s="474"/>
      <c r="GZC49" s="471"/>
      <c r="GZD49" s="472"/>
      <c r="GZE49" s="473"/>
      <c r="GZF49" s="474"/>
      <c r="GZG49" s="471"/>
      <c r="GZH49" s="472"/>
      <c r="GZI49" s="473"/>
      <c r="GZJ49" s="474"/>
      <c r="GZK49" s="471"/>
      <c r="GZL49" s="472"/>
      <c r="GZM49" s="473"/>
      <c r="GZN49" s="474"/>
      <c r="GZO49" s="471"/>
      <c r="GZP49" s="472"/>
      <c r="GZQ49" s="473"/>
      <c r="GZR49" s="474"/>
      <c r="GZS49" s="471"/>
      <c r="GZT49" s="472"/>
      <c r="GZU49" s="473"/>
      <c r="GZV49" s="474"/>
      <c r="GZW49" s="471"/>
      <c r="GZX49" s="472"/>
      <c r="GZY49" s="473"/>
      <c r="GZZ49" s="474"/>
      <c r="HAA49" s="471"/>
      <c r="HAB49" s="472"/>
      <c r="HAC49" s="473"/>
      <c r="HAD49" s="474"/>
      <c r="HAE49" s="471"/>
      <c r="HAF49" s="472"/>
      <c r="HAG49" s="473"/>
      <c r="HAH49" s="474"/>
      <c r="HAI49" s="471"/>
      <c r="HAJ49" s="472"/>
      <c r="HAK49" s="473"/>
      <c r="HAL49" s="474"/>
      <c r="HAM49" s="471"/>
      <c r="HAN49" s="472"/>
      <c r="HAO49" s="473"/>
      <c r="HAP49" s="474"/>
      <c r="HAQ49" s="471"/>
      <c r="HAR49" s="472"/>
      <c r="HAS49" s="473"/>
      <c r="HAT49" s="474"/>
      <c r="HAU49" s="471"/>
      <c r="HAV49" s="472"/>
      <c r="HAW49" s="473"/>
      <c r="HAX49" s="474"/>
      <c r="HAY49" s="471"/>
      <c r="HAZ49" s="472"/>
      <c r="HBA49" s="473"/>
      <c r="HBB49" s="474"/>
      <c r="HBC49" s="471"/>
      <c r="HBD49" s="472"/>
      <c r="HBE49" s="473"/>
      <c r="HBF49" s="474"/>
      <c r="HBG49" s="471"/>
      <c r="HBH49" s="472"/>
      <c r="HBI49" s="473"/>
      <c r="HBJ49" s="474"/>
      <c r="HBK49" s="471"/>
      <c r="HBL49" s="472"/>
      <c r="HBM49" s="473"/>
      <c r="HBN49" s="474"/>
      <c r="HBO49" s="471"/>
      <c r="HBP49" s="472"/>
      <c r="HBQ49" s="473"/>
      <c r="HBR49" s="474"/>
      <c r="HBS49" s="471"/>
      <c r="HBT49" s="472"/>
      <c r="HBU49" s="473"/>
      <c r="HBV49" s="474"/>
      <c r="HBW49" s="471"/>
      <c r="HBX49" s="472"/>
      <c r="HBY49" s="473"/>
      <c r="HBZ49" s="474"/>
      <c r="HCA49" s="471"/>
      <c r="HCB49" s="472"/>
      <c r="HCC49" s="473"/>
      <c r="HCD49" s="474"/>
      <c r="HCE49" s="471"/>
      <c r="HCF49" s="472"/>
      <c r="HCG49" s="473"/>
      <c r="HCH49" s="474"/>
      <c r="HCI49" s="471"/>
      <c r="HCJ49" s="472"/>
      <c r="HCK49" s="473"/>
      <c r="HCL49" s="474"/>
      <c r="HCM49" s="471"/>
      <c r="HCN49" s="472"/>
      <c r="HCO49" s="473"/>
      <c r="HCP49" s="474"/>
      <c r="HCQ49" s="471"/>
      <c r="HCR49" s="472"/>
      <c r="HCS49" s="473"/>
      <c r="HCT49" s="474"/>
      <c r="HCU49" s="471"/>
      <c r="HCV49" s="472"/>
      <c r="HCW49" s="473"/>
      <c r="HCX49" s="474"/>
      <c r="HCY49" s="471"/>
      <c r="HCZ49" s="472"/>
      <c r="HDA49" s="473"/>
      <c r="HDB49" s="474"/>
      <c r="HDC49" s="471"/>
      <c r="HDD49" s="472"/>
      <c r="HDE49" s="473"/>
      <c r="HDF49" s="474"/>
      <c r="HDG49" s="471"/>
      <c r="HDH49" s="472"/>
      <c r="HDI49" s="473"/>
      <c r="HDJ49" s="474"/>
      <c r="HDK49" s="471"/>
      <c r="HDL49" s="472"/>
      <c r="HDM49" s="473"/>
      <c r="HDN49" s="474"/>
      <c r="HDO49" s="471"/>
      <c r="HDP49" s="472"/>
      <c r="HDQ49" s="473"/>
      <c r="HDR49" s="474"/>
      <c r="HDS49" s="471"/>
      <c r="HDT49" s="472"/>
      <c r="HDU49" s="473"/>
      <c r="HDV49" s="474"/>
      <c r="HDW49" s="471"/>
      <c r="HDX49" s="472"/>
      <c r="HDY49" s="473"/>
      <c r="HDZ49" s="474"/>
      <c r="HEA49" s="471"/>
      <c r="HEB49" s="472"/>
      <c r="HEC49" s="473"/>
      <c r="HED49" s="474"/>
      <c r="HEE49" s="471"/>
      <c r="HEF49" s="472"/>
      <c r="HEG49" s="473"/>
      <c r="HEH49" s="474"/>
      <c r="HEI49" s="471"/>
      <c r="HEJ49" s="472"/>
      <c r="HEK49" s="473"/>
      <c r="HEL49" s="474"/>
      <c r="HEM49" s="471"/>
      <c r="HEN49" s="472"/>
      <c r="HEO49" s="473"/>
      <c r="HEP49" s="474"/>
      <c r="HEQ49" s="471"/>
      <c r="HER49" s="472"/>
      <c r="HES49" s="473"/>
      <c r="HET49" s="474"/>
      <c r="HEU49" s="471"/>
      <c r="HEV49" s="472"/>
      <c r="HEW49" s="473"/>
      <c r="HEX49" s="474"/>
      <c r="HEY49" s="471"/>
      <c r="HEZ49" s="472"/>
      <c r="HFA49" s="473"/>
      <c r="HFB49" s="474"/>
      <c r="HFC49" s="471"/>
      <c r="HFD49" s="472"/>
      <c r="HFE49" s="473"/>
      <c r="HFF49" s="474"/>
      <c r="HFG49" s="471"/>
      <c r="HFH49" s="472"/>
      <c r="HFI49" s="473"/>
      <c r="HFJ49" s="474"/>
      <c r="HFK49" s="471"/>
      <c r="HFL49" s="472"/>
      <c r="HFM49" s="473"/>
      <c r="HFN49" s="474"/>
      <c r="HFO49" s="471"/>
      <c r="HFP49" s="472"/>
      <c r="HFQ49" s="473"/>
      <c r="HFR49" s="474"/>
      <c r="HFS49" s="471"/>
      <c r="HFT49" s="472"/>
      <c r="HFU49" s="473"/>
      <c r="HFV49" s="474"/>
      <c r="HFW49" s="471"/>
      <c r="HFX49" s="472"/>
      <c r="HFY49" s="473"/>
      <c r="HFZ49" s="474"/>
      <c r="HGA49" s="471"/>
      <c r="HGB49" s="472"/>
      <c r="HGC49" s="473"/>
      <c r="HGD49" s="474"/>
      <c r="HGE49" s="471"/>
      <c r="HGF49" s="472"/>
      <c r="HGG49" s="473"/>
      <c r="HGH49" s="474"/>
      <c r="HGI49" s="471"/>
      <c r="HGJ49" s="472"/>
      <c r="HGK49" s="473"/>
      <c r="HGL49" s="474"/>
      <c r="HGM49" s="471"/>
      <c r="HGN49" s="472"/>
      <c r="HGO49" s="473"/>
      <c r="HGP49" s="474"/>
      <c r="HGQ49" s="471"/>
      <c r="HGR49" s="472"/>
      <c r="HGS49" s="473"/>
      <c r="HGT49" s="474"/>
      <c r="HGU49" s="471"/>
      <c r="HGV49" s="472"/>
      <c r="HGW49" s="473"/>
      <c r="HGX49" s="474"/>
      <c r="HGY49" s="471"/>
      <c r="HGZ49" s="472"/>
      <c r="HHA49" s="473"/>
      <c r="HHB49" s="474"/>
      <c r="HHC49" s="471"/>
      <c r="HHD49" s="472"/>
      <c r="HHE49" s="473"/>
      <c r="HHF49" s="474"/>
      <c r="HHG49" s="471"/>
      <c r="HHH49" s="472"/>
      <c r="HHI49" s="473"/>
      <c r="HHJ49" s="474"/>
      <c r="HHK49" s="471"/>
      <c r="HHL49" s="472"/>
      <c r="HHM49" s="473"/>
      <c r="HHN49" s="474"/>
      <c r="HHO49" s="471"/>
      <c r="HHP49" s="472"/>
      <c r="HHQ49" s="473"/>
      <c r="HHR49" s="474"/>
      <c r="HHS49" s="471"/>
      <c r="HHT49" s="472"/>
      <c r="HHU49" s="473"/>
      <c r="HHV49" s="474"/>
      <c r="HHW49" s="471"/>
      <c r="HHX49" s="472"/>
      <c r="HHY49" s="473"/>
      <c r="HHZ49" s="474"/>
      <c r="HIA49" s="471"/>
      <c r="HIB49" s="472"/>
      <c r="HIC49" s="473"/>
      <c r="HID49" s="474"/>
      <c r="HIE49" s="471"/>
      <c r="HIF49" s="472"/>
      <c r="HIG49" s="473"/>
      <c r="HIH49" s="474"/>
      <c r="HII49" s="471"/>
      <c r="HIJ49" s="472"/>
      <c r="HIK49" s="473"/>
      <c r="HIL49" s="474"/>
      <c r="HIM49" s="471"/>
      <c r="HIN49" s="472"/>
      <c r="HIO49" s="473"/>
      <c r="HIP49" s="474"/>
      <c r="HIQ49" s="471"/>
      <c r="HIR49" s="472"/>
      <c r="HIS49" s="473"/>
      <c r="HIT49" s="474"/>
      <c r="HIU49" s="471"/>
      <c r="HIV49" s="472"/>
      <c r="HIW49" s="473"/>
      <c r="HIX49" s="474"/>
      <c r="HIY49" s="471"/>
      <c r="HIZ49" s="472"/>
      <c r="HJA49" s="473"/>
      <c r="HJB49" s="474"/>
      <c r="HJC49" s="471"/>
      <c r="HJD49" s="472"/>
      <c r="HJE49" s="473"/>
      <c r="HJF49" s="474"/>
      <c r="HJG49" s="471"/>
      <c r="HJH49" s="472"/>
      <c r="HJI49" s="473"/>
      <c r="HJJ49" s="474"/>
      <c r="HJK49" s="471"/>
      <c r="HJL49" s="472"/>
      <c r="HJM49" s="473"/>
      <c r="HJN49" s="474"/>
      <c r="HJO49" s="471"/>
      <c r="HJP49" s="472"/>
      <c r="HJQ49" s="473"/>
      <c r="HJR49" s="474"/>
      <c r="HJS49" s="471"/>
      <c r="HJT49" s="472"/>
      <c r="HJU49" s="473"/>
      <c r="HJV49" s="474"/>
      <c r="HJW49" s="471"/>
      <c r="HJX49" s="472"/>
      <c r="HJY49" s="473"/>
      <c r="HJZ49" s="474"/>
      <c r="HKA49" s="471"/>
      <c r="HKB49" s="472"/>
      <c r="HKC49" s="473"/>
      <c r="HKD49" s="474"/>
      <c r="HKE49" s="471"/>
      <c r="HKF49" s="472"/>
      <c r="HKG49" s="473"/>
      <c r="HKH49" s="474"/>
      <c r="HKI49" s="471"/>
      <c r="HKJ49" s="472"/>
      <c r="HKK49" s="473"/>
      <c r="HKL49" s="474"/>
      <c r="HKM49" s="471"/>
      <c r="HKN49" s="472"/>
      <c r="HKO49" s="473"/>
      <c r="HKP49" s="474"/>
      <c r="HKQ49" s="471"/>
      <c r="HKR49" s="472"/>
      <c r="HKS49" s="473"/>
      <c r="HKT49" s="474"/>
      <c r="HKU49" s="471"/>
      <c r="HKV49" s="472"/>
      <c r="HKW49" s="473"/>
      <c r="HKX49" s="474"/>
      <c r="HKY49" s="471"/>
      <c r="HKZ49" s="472"/>
      <c r="HLA49" s="473"/>
      <c r="HLB49" s="474"/>
      <c r="HLC49" s="471"/>
      <c r="HLD49" s="472"/>
      <c r="HLE49" s="473"/>
      <c r="HLF49" s="474"/>
      <c r="HLG49" s="471"/>
      <c r="HLH49" s="472"/>
      <c r="HLI49" s="473"/>
      <c r="HLJ49" s="474"/>
      <c r="HLK49" s="471"/>
      <c r="HLL49" s="472"/>
      <c r="HLM49" s="473"/>
      <c r="HLN49" s="474"/>
      <c r="HLO49" s="471"/>
      <c r="HLP49" s="472"/>
      <c r="HLQ49" s="473"/>
      <c r="HLR49" s="474"/>
      <c r="HLS49" s="471"/>
      <c r="HLT49" s="472"/>
      <c r="HLU49" s="473"/>
      <c r="HLV49" s="474"/>
      <c r="HLW49" s="471"/>
      <c r="HLX49" s="472"/>
      <c r="HLY49" s="473"/>
      <c r="HLZ49" s="474"/>
      <c r="HMA49" s="471"/>
      <c r="HMB49" s="472"/>
      <c r="HMC49" s="473"/>
      <c r="HMD49" s="474"/>
      <c r="HME49" s="471"/>
      <c r="HMF49" s="472"/>
      <c r="HMG49" s="473"/>
      <c r="HMH49" s="474"/>
      <c r="HMI49" s="471"/>
      <c r="HMJ49" s="472"/>
      <c r="HMK49" s="473"/>
      <c r="HML49" s="474"/>
      <c r="HMM49" s="471"/>
      <c r="HMN49" s="472"/>
      <c r="HMO49" s="473"/>
      <c r="HMP49" s="474"/>
      <c r="HMQ49" s="471"/>
      <c r="HMR49" s="472"/>
      <c r="HMS49" s="473"/>
      <c r="HMT49" s="474"/>
      <c r="HMU49" s="471"/>
      <c r="HMV49" s="472"/>
      <c r="HMW49" s="473"/>
      <c r="HMX49" s="474"/>
      <c r="HMY49" s="471"/>
      <c r="HMZ49" s="472"/>
      <c r="HNA49" s="473"/>
      <c r="HNB49" s="474"/>
      <c r="HNC49" s="471"/>
      <c r="HND49" s="472"/>
      <c r="HNE49" s="473"/>
      <c r="HNF49" s="474"/>
      <c r="HNG49" s="471"/>
      <c r="HNH49" s="472"/>
      <c r="HNI49" s="473"/>
      <c r="HNJ49" s="474"/>
      <c r="HNK49" s="471"/>
      <c r="HNL49" s="472"/>
      <c r="HNM49" s="473"/>
      <c r="HNN49" s="474"/>
      <c r="HNO49" s="471"/>
      <c r="HNP49" s="472"/>
      <c r="HNQ49" s="473"/>
      <c r="HNR49" s="474"/>
      <c r="HNS49" s="471"/>
      <c r="HNT49" s="472"/>
      <c r="HNU49" s="473"/>
      <c r="HNV49" s="474"/>
      <c r="HNW49" s="471"/>
      <c r="HNX49" s="472"/>
      <c r="HNY49" s="473"/>
      <c r="HNZ49" s="474"/>
      <c r="HOA49" s="471"/>
      <c r="HOB49" s="472"/>
      <c r="HOC49" s="473"/>
      <c r="HOD49" s="474"/>
      <c r="HOE49" s="471"/>
      <c r="HOF49" s="472"/>
      <c r="HOG49" s="473"/>
      <c r="HOH49" s="474"/>
      <c r="HOI49" s="471"/>
      <c r="HOJ49" s="472"/>
      <c r="HOK49" s="473"/>
      <c r="HOL49" s="474"/>
      <c r="HOM49" s="471"/>
      <c r="HON49" s="472"/>
      <c r="HOO49" s="473"/>
      <c r="HOP49" s="474"/>
      <c r="HOQ49" s="471"/>
      <c r="HOR49" s="472"/>
      <c r="HOS49" s="473"/>
      <c r="HOT49" s="474"/>
      <c r="HOU49" s="471"/>
      <c r="HOV49" s="472"/>
      <c r="HOW49" s="473"/>
      <c r="HOX49" s="474"/>
      <c r="HOY49" s="471"/>
      <c r="HOZ49" s="472"/>
      <c r="HPA49" s="473"/>
      <c r="HPB49" s="474"/>
      <c r="HPC49" s="471"/>
      <c r="HPD49" s="472"/>
      <c r="HPE49" s="473"/>
      <c r="HPF49" s="474"/>
      <c r="HPG49" s="471"/>
      <c r="HPH49" s="472"/>
      <c r="HPI49" s="473"/>
      <c r="HPJ49" s="474"/>
      <c r="HPK49" s="471"/>
      <c r="HPL49" s="472"/>
      <c r="HPM49" s="473"/>
      <c r="HPN49" s="474"/>
      <c r="HPO49" s="471"/>
      <c r="HPP49" s="472"/>
      <c r="HPQ49" s="473"/>
      <c r="HPR49" s="474"/>
      <c r="HPS49" s="471"/>
      <c r="HPT49" s="472"/>
      <c r="HPU49" s="473"/>
      <c r="HPV49" s="474"/>
      <c r="HPW49" s="471"/>
      <c r="HPX49" s="472"/>
      <c r="HPY49" s="473"/>
      <c r="HPZ49" s="474"/>
      <c r="HQA49" s="471"/>
      <c r="HQB49" s="472"/>
      <c r="HQC49" s="473"/>
      <c r="HQD49" s="474"/>
      <c r="HQE49" s="471"/>
      <c r="HQF49" s="472"/>
      <c r="HQG49" s="473"/>
      <c r="HQH49" s="474"/>
      <c r="HQI49" s="471"/>
      <c r="HQJ49" s="472"/>
      <c r="HQK49" s="473"/>
      <c r="HQL49" s="474"/>
      <c r="HQM49" s="471"/>
      <c r="HQN49" s="472"/>
      <c r="HQO49" s="473"/>
      <c r="HQP49" s="474"/>
      <c r="HQQ49" s="471"/>
      <c r="HQR49" s="472"/>
      <c r="HQS49" s="473"/>
      <c r="HQT49" s="474"/>
      <c r="HQU49" s="471"/>
      <c r="HQV49" s="472"/>
      <c r="HQW49" s="473"/>
      <c r="HQX49" s="474"/>
      <c r="HQY49" s="471"/>
      <c r="HQZ49" s="472"/>
      <c r="HRA49" s="473"/>
      <c r="HRB49" s="474"/>
      <c r="HRC49" s="471"/>
      <c r="HRD49" s="472"/>
      <c r="HRE49" s="473"/>
      <c r="HRF49" s="474"/>
      <c r="HRG49" s="471"/>
      <c r="HRH49" s="472"/>
      <c r="HRI49" s="473"/>
      <c r="HRJ49" s="474"/>
      <c r="HRK49" s="471"/>
      <c r="HRL49" s="472"/>
      <c r="HRM49" s="473"/>
      <c r="HRN49" s="474"/>
      <c r="HRO49" s="471"/>
      <c r="HRP49" s="472"/>
      <c r="HRQ49" s="473"/>
      <c r="HRR49" s="474"/>
      <c r="HRS49" s="471"/>
      <c r="HRT49" s="472"/>
      <c r="HRU49" s="473"/>
      <c r="HRV49" s="474"/>
      <c r="HRW49" s="471"/>
      <c r="HRX49" s="472"/>
      <c r="HRY49" s="473"/>
      <c r="HRZ49" s="474"/>
      <c r="HSA49" s="471"/>
      <c r="HSB49" s="472"/>
      <c r="HSC49" s="473"/>
      <c r="HSD49" s="474"/>
      <c r="HSE49" s="471"/>
      <c r="HSF49" s="472"/>
      <c r="HSG49" s="473"/>
      <c r="HSH49" s="474"/>
      <c r="HSI49" s="471"/>
      <c r="HSJ49" s="472"/>
      <c r="HSK49" s="473"/>
      <c r="HSL49" s="474"/>
      <c r="HSM49" s="471"/>
      <c r="HSN49" s="472"/>
      <c r="HSO49" s="473"/>
      <c r="HSP49" s="474"/>
      <c r="HSQ49" s="471"/>
      <c r="HSR49" s="472"/>
      <c r="HSS49" s="473"/>
      <c r="HST49" s="474"/>
      <c r="HSU49" s="471"/>
      <c r="HSV49" s="472"/>
      <c r="HSW49" s="473"/>
      <c r="HSX49" s="474"/>
      <c r="HSY49" s="471"/>
      <c r="HSZ49" s="472"/>
      <c r="HTA49" s="473"/>
      <c r="HTB49" s="474"/>
      <c r="HTC49" s="471"/>
      <c r="HTD49" s="472"/>
      <c r="HTE49" s="473"/>
      <c r="HTF49" s="474"/>
      <c r="HTG49" s="471"/>
      <c r="HTH49" s="472"/>
      <c r="HTI49" s="473"/>
      <c r="HTJ49" s="474"/>
      <c r="HTK49" s="471"/>
      <c r="HTL49" s="472"/>
      <c r="HTM49" s="473"/>
      <c r="HTN49" s="474"/>
      <c r="HTO49" s="471"/>
      <c r="HTP49" s="472"/>
      <c r="HTQ49" s="473"/>
      <c r="HTR49" s="474"/>
      <c r="HTS49" s="471"/>
      <c r="HTT49" s="472"/>
      <c r="HTU49" s="473"/>
      <c r="HTV49" s="474"/>
      <c r="HTW49" s="471"/>
      <c r="HTX49" s="472"/>
      <c r="HTY49" s="473"/>
      <c r="HTZ49" s="474"/>
      <c r="HUA49" s="471"/>
      <c r="HUB49" s="472"/>
      <c r="HUC49" s="473"/>
      <c r="HUD49" s="474"/>
      <c r="HUE49" s="471"/>
      <c r="HUF49" s="472"/>
      <c r="HUG49" s="473"/>
      <c r="HUH49" s="474"/>
      <c r="HUI49" s="471"/>
      <c r="HUJ49" s="472"/>
      <c r="HUK49" s="473"/>
      <c r="HUL49" s="474"/>
      <c r="HUM49" s="471"/>
      <c r="HUN49" s="472"/>
      <c r="HUO49" s="473"/>
      <c r="HUP49" s="474"/>
      <c r="HUQ49" s="471"/>
      <c r="HUR49" s="472"/>
      <c r="HUS49" s="473"/>
      <c r="HUT49" s="474"/>
      <c r="HUU49" s="471"/>
      <c r="HUV49" s="472"/>
      <c r="HUW49" s="473"/>
      <c r="HUX49" s="474"/>
      <c r="HUY49" s="471"/>
      <c r="HUZ49" s="472"/>
      <c r="HVA49" s="473"/>
      <c r="HVB49" s="474"/>
      <c r="HVC49" s="471"/>
      <c r="HVD49" s="472"/>
      <c r="HVE49" s="473"/>
      <c r="HVF49" s="474"/>
      <c r="HVG49" s="471"/>
      <c r="HVH49" s="472"/>
      <c r="HVI49" s="473"/>
      <c r="HVJ49" s="474"/>
      <c r="HVK49" s="471"/>
      <c r="HVL49" s="472"/>
      <c r="HVM49" s="473"/>
      <c r="HVN49" s="474"/>
      <c r="HVO49" s="471"/>
      <c r="HVP49" s="472"/>
      <c r="HVQ49" s="473"/>
      <c r="HVR49" s="474"/>
      <c r="HVS49" s="471"/>
      <c r="HVT49" s="472"/>
      <c r="HVU49" s="473"/>
      <c r="HVV49" s="474"/>
      <c r="HVW49" s="471"/>
      <c r="HVX49" s="472"/>
      <c r="HVY49" s="473"/>
      <c r="HVZ49" s="474"/>
      <c r="HWA49" s="471"/>
      <c r="HWB49" s="472"/>
      <c r="HWC49" s="473"/>
      <c r="HWD49" s="474"/>
      <c r="HWE49" s="471"/>
      <c r="HWF49" s="472"/>
      <c r="HWG49" s="473"/>
      <c r="HWH49" s="474"/>
      <c r="HWI49" s="471"/>
      <c r="HWJ49" s="472"/>
      <c r="HWK49" s="473"/>
      <c r="HWL49" s="474"/>
      <c r="HWM49" s="471"/>
      <c r="HWN49" s="472"/>
      <c r="HWO49" s="473"/>
      <c r="HWP49" s="474"/>
      <c r="HWQ49" s="471"/>
      <c r="HWR49" s="472"/>
      <c r="HWS49" s="473"/>
      <c r="HWT49" s="474"/>
      <c r="HWU49" s="471"/>
      <c r="HWV49" s="472"/>
      <c r="HWW49" s="473"/>
      <c r="HWX49" s="474"/>
      <c r="HWY49" s="471"/>
      <c r="HWZ49" s="472"/>
      <c r="HXA49" s="473"/>
      <c r="HXB49" s="474"/>
      <c r="HXC49" s="471"/>
      <c r="HXD49" s="472"/>
      <c r="HXE49" s="473"/>
      <c r="HXF49" s="474"/>
      <c r="HXG49" s="471"/>
      <c r="HXH49" s="472"/>
      <c r="HXI49" s="473"/>
      <c r="HXJ49" s="474"/>
      <c r="HXK49" s="471"/>
      <c r="HXL49" s="472"/>
      <c r="HXM49" s="473"/>
      <c r="HXN49" s="474"/>
      <c r="HXO49" s="471"/>
      <c r="HXP49" s="472"/>
      <c r="HXQ49" s="473"/>
      <c r="HXR49" s="474"/>
      <c r="HXS49" s="471"/>
      <c r="HXT49" s="472"/>
      <c r="HXU49" s="473"/>
      <c r="HXV49" s="474"/>
      <c r="HXW49" s="471"/>
      <c r="HXX49" s="472"/>
      <c r="HXY49" s="473"/>
      <c r="HXZ49" s="474"/>
      <c r="HYA49" s="471"/>
      <c r="HYB49" s="472"/>
      <c r="HYC49" s="473"/>
      <c r="HYD49" s="474"/>
      <c r="HYE49" s="471"/>
      <c r="HYF49" s="472"/>
      <c r="HYG49" s="473"/>
      <c r="HYH49" s="474"/>
      <c r="HYI49" s="471"/>
      <c r="HYJ49" s="472"/>
      <c r="HYK49" s="473"/>
      <c r="HYL49" s="474"/>
      <c r="HYM49" s="471"/>
      <c r="HYN49" s="472"/>
      <c r="HYO49" s="473"/>
      <c r="HYP49" s="474"/>
      <c r="HYQ49" s="471"/>
      <c r="HYR49" s="472"/>
      <c r="HYS49" s="473"/>
      <c r="HYT49" s="474"/>
      <c r="HYU49" s="471"/>
      <c r="HYV49" s="472"/>
      <c r="HYW49" s="473"/>
      <c r="HYX49" s="474"/>
      <c r="HYY49" s="471"/>
      <c r="HYZ49" s="472"/>
      <c r="HZA49" s="473"/>
      <c r="HZB49" s="474"/>
      <c r="HZC49" s="471"/>
      <c r="HZD49" s="472"/>
      <c r="HZE49" s="473"/>
      <c r="HZF49" s="474"/>
      <c r="HZG49" s="471"/>
      <c r="HZH49" s="472"/>
      <c r="HZI49" s="473"/>
      <c r="HZJ49" s="474"/>
      <c r="HZK49" s="471"/>
      <c r="HZL49" s="472"/>
      <c r="HZM49" s="473"/>
      <c r="HZN49" s="474"/>
      <c r="HZO49" s="471"/>
      <c r="HZP49" s="472"/>
      <c r="HZQ49" s="473"/>
      <c r="HZR49" s="474"/>
      <c r="HZS49" s="471"/>
      <c r="HZT49" s="472"/>
      <c r="HZU49" s="473"/>
      <c r="HZV49" s="474"/>
      <c r="HZW49" s="471"/>
      <c r="HZX49" s="472"/>
      <c r="HZY49" s="473"/>
      <c r="HZZ49" s="474"/>
      <c r="IAA49" s="471"/>
      <c r="IAB49" s="472"/>
      <c r="IAC49" s="473"/>
      <c r="IAD49" s="474"/>
      <c r="IAE49" s="471"/>
      <c r="IAF49" s="472"/>
      <c r="IAG49" s="473"/>
      <c r="IAH49" s="474"/>
      <c r="IAI49" s="471"/>
      <c r="IAJ49" s="472"/>
      <c r="IAK49" s="473"/>
      <c r="IAL49" s="474"/>
      <c r="IAM49" s="471"/>
      <c r="IAN49" s="472"/>
      <c r="IAO49" s="473"/>
      <c r="IAP49" s="474"/>
      <c r="IAQ49" s="471"/>
      <c r="IAR49" s="472"/>
      <c r="IAS49" s="473"/>
      <c r="IAT49" s="474"/>
      <c r="IAU49" s="471"/>
      <c r="IAV49" s="472"/>
      <c r="IAW49" s="473"/>
      <c r="IAX49" s="474"/>
      <c r="IAY49" s="471"/>
      <c r="IAZ49" s="472"/>
      <c r="IBA49" s="473"/>
      <c r="IBB49" s="474"/>
      <c r="IBC49" s="471"/>
      <c r="IBD49" s="472"/>
      <c r="IBE49" s="473"/>
      <c r="IBF49" s="474"/>
      <c r="IBG49" s="471"/>
      <c r="IBH49" s="472"/>
      <c r="IBI49" s="473"/>
      <c r="IBJ49" s="474"/>
      <c r="IBK49" s="471"/>
      <c r="IBL49" s="472"/>
      <c r="IBM49" s="473"/>
      <c r="IBN49" s="474"/>
      <c r="IBO49" s="471"/>
      <c r="IBP49" s="472"/>
      <c r="IBQ49" s="473"/>
      <c r="IBR49" s="474"/>
      <c r="IBS49" s="471"/>
      <c r="IBT49" s="472"/>
      <c r="IBU49" s="473"/>
      <c r="IBV49" s="474"/>
      <c r="IBW49" s="471"/>
      <c r="IBX49" s="472"/>
      <c r="IBY49" s="473"/>
      <c r="IBZ49" s="474"/>
      <c r="ICA49" s="471"/>
      <c r="ICB49" s="472"/>
      <c r="ICC49" s="473"/>
      <c r="ICD49" s="474"/>
      <c r="ICE49" s="471"/>
      <c r="ICF49" s="472"/>
      <c r="ICG49" s="473"/>
      <c r="ICH49" s="474"/>
      <c r="ICI49" s="471"/>
      <c r="ICJ49" s="472"/>
      <c r="ICK49" s="473"/>
      <c r="ICL49" s="474"/>
      <c r="ICM49" s="471"/>
      <c r="ICN49" s="472"/>
      <c r="ICO49" s="473"/>
      <c r="ICP49" s="474"/>
      <c r="ICQ49" s="471"/>
      <c r="ICR49" s="472"/>
      <c r="ICS49" s="473"/>
      <c r="ICT49" s="474"/>
      <c r="ICU49" s="471"/>
      <c r="ICV49" s="472"/>
      <c r="ICW49" s="473"/>
      <c r="ICX49" s="474"/>
      <c r="ICY49" s="471"/>
      <c r="ICZ49" s="472"/>
      <c r="IDA49" s="473"/>
      <c r="IDB49" s="474"/>
      <c r="IDC49" s="471"/>
      <c r="IDD49" s="472"/>
      <c r="IDE49" s="473"/>
      <c r="IDF49" s="474"/>
      <c r="IDG49" s="471"/>
      <c r="IDH49" s="472"/>
      <c r="IDI49" s="473"/>
      <c r="IDJ49" s="474"/>
      <c r="IDK49" s="471"/>
      <c r="IDL49" s="472"/>
      <c r="IDM49" s="473"/>
      <c r="IDN49" s="474"/>
      <c r="IDO49" s="471"/>
      <c r="IDP49" s="472"/>
      <c r="IDQ49" s="473"/>
      <c r="IDR49" s="474"/>
      <c r="IDS49" s="471"/>
      <c r="IDT49" s="472"/>
      <c r="IDU49" s="473"/>
      <c r="IDV49" s="474"/>
      <c r="IDW49" s="471"/>
      <c r="IDX49" s="472"/>
      <c r="IDY49" s="473"/>
      <c r="IDZ49" s="474"/>
      <c r="IEA49" s="471"/>
      <c r="IEB49" s="472"/>
      <c r="IEC49" s="473"/>
      <c r="IED49" s="474"/>
      <c r="IEE49" s="471"/>
      <c r="IEF49" s="472"/>
      <c r="IEG49" s="473"/>
      <c r="IEH49" s="474"/>
      <c r="IEI49" s="471"/>
      <c r="IEJ49" s="472"/>
      <c r="IEK49" s="473"/>
      <c r="IEL49" s="474"/>
      <c r="IEM49" s="471"/>
      <c r="IEN49" s="472"/>
      <c r="IEO49" s="473"/>
      <c r="IEP49" s="474"/>
      <c r="IEQ49" s="471"/>
      <c r="IER49" s="472"/>
      <c r="IES49" s="473"/>
      <c r="IET49" s="474"/>
      <c r="IEU49" s="471"/>
      <c r="IEV49" s="472"/>
      <c r="IEW49" s="473"/>
      <c r="IEX49" s="474"/>
      <c r="IEY49" s="471"/>
      <c r="IEZ49" s="472"/>
      <c r="IFA49" s="473"/>
      <c r="IFB49" s="474"/>
      <c r="IFC49" s="471"/>
      <c r="IFD49" s="472"/>
      <c r="IFE49" s="473"/>
      <c r="IFF49" s="474"/>
      <c r="IFG49" s="471"/>
      <c r="IFH49" s="472"/>
      <c r="IFI49" s="473"/>
      <c r="IFJ49" s="474"/>
      <c r="IFK49" s="471"/>
      <c r="IFL49" s="472"/>
      <c r="IFM49" s="473"/>
      <c r="IFN49" s="474"/>
      <c r="IFO49" s="471"/>
      <c r="IFP49" s="472"/>
      <c r="IFQ49" s="473"/>
      <c r="IFR49" s="474"/>
      <c r="IFS49" s="471"/>
      <c r="IFT49" s="472"/>
      <c r="IFU49" s="473"/>
      <c r="IFV49" s="474"/>
      <c r="IFW49" s="471"/>
      <c r="IFX49" s="472"/>
      <c r="IFY49" s="473"/>
      <c r="IFZ49" s="474"/>
      <c r="IGA49" s="471"/>
      <c r="IGB49" s="472"/>
      <c r="IGC49" s="473"/>
      <c r="IGD49" s="474"/>
      <c r="IGE49" s="471"/>
      <c r="IGF49" s="472"/>
      <c r="IGG49" s="473"/>
      <c r="IGH49" s="474"/>
      <c r="IGI49" s="471"/>
      <c r="IGJ49" s="472"/>
      <c r="IGK49" s="473"/>
      <c r="IGL49" s="474"/>
      <c r="IGM49" s="471"/>
      <c r="IGN49" s="472"/>
      <c r="IGO49" s="473"/>
      <c r="IGP49" s="474"/>
      <c r="IGQ49" s="471"/>
      <c r="IGR49" s="472"/>
      <c r="IGS49" s="473"/>
      <c r="IGT49" s="474"/>
      <c r="IGU49" s="471"/>
      <c r="IGV49" s="472"/>
      <c r="IGW49" s="473"/>
      <c r="IGX49" s="474"/>
      <c r="IGY49" s="471"/>
      <c r="IGZ49" s="472"/>
      <c r="IHA49" s="473"/>
      <c r="IHB49" s="474"/>
      <c r="IHC49" s="471"/>
      <c r="IHD49" s="472"/>
      <c r="IHE49" s="473"/>
      <c r="IHF49" s="474"/>
      <c r="IHG49" s="471"/>
      <c r="IHH49" s="472"/>
      <c r="IHI49" s="473"/>
      <c r="IHJ49" s="474"/>
      <c r="IHK49" s="471"/>
      <c r="IHL49" s="472"/>
      <c r="IHM49" s="473"/>
      <c r="IHN49" s="474"/>
      <c r="IHO49" s="471"/>
      <c r="IHP49" s="472"/>
      <c r="IHQ49" s="473"/>
      <c r="IHR49" s="474"/>
      <c r="IHS49" s="471"/>
      <c r="IHT49" s="472"/>
      <c r="IHU49" s="473"/>
      <c r="IHV49" s="474"/>
      <c r="IHW49" s="471"/>
      <c r="IHX49" s="472"/>
      <c r="IHY49" s="473"/>
      <c r="IHZ49" s="474"/>
      <c r="IIA49" s="471"/>
      <c r="IIB49" s="472"/>
      <c r="IIC49" s="473"/>
      <c r="IID49" s="474"/>
      <c r="IIE49" s="471"/>
      <c r="IIF49" s="472"/>
      <c r="IIG49" s="473"/>
      <c r="IIH49" s="474"/>
      <c r="III49" s="471"/>
      <c r="IIJ49" s="472"/>
      <c r="IIK49" s="473"/>
      <c r="IIL49" s="474"/>
      <c r="IIM49" s="471"/>
      <c r="IIN49" s="472"/>
      <c r="IIO49" s="473"/>
      <c r="IIP49" s="474"/>
      <c r="IIQ49" s="471"/>
      <c r="IIR49" s="472"/>
      <c r="IIS49" s="473"/>
      <c r="IIT49" s="474"/>
      <c r="IIU49" s="471"/>
      <c r="IIV49" s="472"/>
      <c r="IIW49" s="473"/>
      <c r="IIX49" s="474"/>
      <c r="IIY49" s="471"/>
      <c r="IIZ49" s="472"/>
      <c r="IJA49" s="473"/>
      <c r="IJB49" s="474"/>
      <c r="IJC49" s="471"/>
      <c r="IJD49" s="472"/>
      <c r="IJE49" s="473"/>
      <c r="IJF49" s="474"/>
      <c r="IJG49" s="471"/>
      <c r="IJH49" s="472"/>
      <c r="IJI49" s="473"/>
      <c r="IJJ49" s="474"/>
      <c r="IJK49" s="471"/>
      <c r="IJL49" s="472"/>
      <c r="IJM49" s="473"/>
      <c r="IJN49" s="474"/>
      <c r="IJO49" s="471"/>
      <c r="IJP49" s="472"/>
      <c r="IJQ49" s="473"/>
      <c r="IJR49" s="474"/>
      <c r="IJS49" s="471"/>
      <c r="IJT49" s="472"/>
      <c r="IJU49" s="473"/>
      <c r="IJV49" s="474"/>
      <c r="IJW49" s="471"/>
      <c r="IJX49" s="472"/>
      <c r="IJY49" s="473"/>
      <c r="IJZ49" s="474"/>
      <c r="IKA49" s="471"/>
      <c r="IKB49" s="472"/>
      <c r="IKC49" s="473"/>
      <c r="IKD49" s="474"/>
      <c r="IKE49" s="471"/>
      <c r="IKF49" s="472"/>
      <c r="IKG49" s="473"/>
      <c r="IKH49" s="474"/>
      <c r="IKI49" s="471"/>
      <c r="IKJ49" s="472"/>
      <c r="IKK49" s="473"/>
      <c r="IKL49" s="474"/>
      <c r="IKM49" s="471"/>
      <c r="IKN49" s="472"/>
      <c r="IKO49" s="473"/>
      <c r="IKP49" s="474"/>
      <c r="IKQ49" s="471"/>
      <c r="IKR49" s="472"/>
      <c r="IKS49" s="473"/>
      <c r="IKT49" s="474"/>
      <c r="IKU49" s="471"/>
      <c r="IKV49" s="472"/>
      <c r="IKW49" s="473"/>
      <c r="IKX49" s="474"/>
      <c r="IKY49" s="471"/>
      <c r="IKZ49" s="472"/>
      <c r="ILA49" s="473"/>
      <c r="ILB49" s="474"/>
      <c r="ILC49" s="471"/>
      <c r="ILD49" s="472"/>
      <c r="ILE49" s="473"/>
      <c r="ILF49" s="474"/>
      <c r="ILG49" s="471"/>
      <c r="ILH49" s="472"/>
      <c r="ILI49" s="473"/>
      <c r="ILJ49" s="474"/>
      <c r="ILK49" s="471"/>
      <c r="ILL49" s="472"/>
      <c r="ILM49" s="473"/>
      <c r="ILN49" s="474"/>
      <c r="ILO49" s="471"/>
      <c r="ILP49" s="472"/>
      <c r="ILQ49" s="473"/>
      <c r="ILR49" s="474"/>
      <c r="ILS49" s="471"/>
      <c r="ILT49" s="472"/>
      <c r="ILU49" s="473"/>
      <c r="ILV49" s="474"/>
      <c r="ILW49" s="471"/>
      <c r="ILX49" s="472"/>
      <c r="ILY49" s="473"/>
      <c r="ILZ49" s="474"/>
      <c r="IMA49" s="471"/>
      <c r="IMB49" s="472"/>
      <c r="IMC49" s="473"/>
      <c r="IMD49" s="474"/>
      <c r="IME49" s="471"/>
      <c r="IMF49" s="472"/>
      <c r="IMG49" s="473"/>
      <c r="IMH49" s="474"/>
      <c r="IMI49" s="471"/>
      <c r="IMJ49" s="472"/>
      <c r="IMK49" s="473"/>
      <c r="IML49" s="474"/>
      <c r="IMM49" s="471"/>
      <c r="IMN49" s="472"/>
      <c r="IMO49" s="473"/>
      <c r="IMP49" s="474"/>
      <c r="IMQ49" s="471"/>
      <c r="IMR49" s="472"/>
      <c r="IMS49" s="473"/>
      <c r="IMT49" s="474"/>
      <c r="IMU49" s="471"/>
      <c r="IMV49" s="472"/>
      <c r="IMW49" s="473"/>
      <c r="IMX49" s="474"/>
      <c r="IMY49" s="471"/>
      <c r="IMZ49" s="472"/>
      <c r="INA49" s="473"/>
      <c r="INB49" s="474"/>
      <c r="INC49" s="471"/>
      <c r="IND49" s="472"/>
      <c r="INE49" s="473"/>
      <c r="INF49" s="474"/>
      <c r="ING49" s="471"/>
      <c r="INH49" s="472"/>
      <c r="INI49" s="473"/>
      <c r="INJ49" s="474"/>
      <c r="INK49" s="471"/>
      <c r="INL49" s="472"/>
      <c r="INM49" s="473"/>
      <c r="INN49" s="474"/>
      <c r="INO49" s="471"/>
      <c r="INP49" s="472"/>
      <c r="INQ49" s="473"/>
      <c r="INR49" s="474"/>
      <c r="INS49" s="471"/>
      <c r="INT49" s="472"/>
      <c r="INU49" s="473"/>
      <c r="INV49" s="474"/>
      <c r="INW49" s="471"/>
      <c r="INX49" s="472"/>
      <c r="INY49" s="473"/>
      <c r="INZ49" s="474"/>
      <c r="IOA49" s="471"/>
      <c r="IOB49" s="472"/>
      <c r="IOC49" s="473"/>
      <c r="IOD49" s="474"/>
      <c r="IOE49" s="471"/>
      <c r="IOF49" s="472"/>
      <c r="IOG49" s="473"/>
      <c r="IOH49" s="474"/>
      <c r="IOI49" s="471"/>
      <c r="IOJ49" s="472"/>
      <c r="IOK49" s="473"/>
      <c r="IOL49" s="474"/>
      <c r="IOM49" s="471"/>
      <c r="ION49" s="472"/>
      <c r="IOO49" s="473"/>
      <c r="IOP49" s="474"/>
      <c r="IOQ49" s="471"/>
      <c r="IOR49" s="472"/>
      <c r="IOS49" s="473"/>
      <c r="IOT49" s="474"/>
      <c r="IOU49" s="471"/>
      <c r="IOV49" s="472"/>
      <c r="IOW49" s="473"/>
      <c r="IOX49" s="474"/>
      <c r="IOY49" s="471"/>
      <c r="IOZ49" s="472"/>
      <c r="IPA49" s="473"/>
      <c r="IPB49" s="474"/>
      <c r="IPC49" s="471"/>
      <c r="IPD49" s="472"/>
      <c r="IPE49" s="473"/>
      <c r="IPF49" s="474"/>
      <c r="IPG49" s="471"/>
      <c r="IPH49" s="472"/>
      <c r="IPI49" s="473"/>
      <c r="IPJ49" s="474"/>
      <c r="IPK49" s="471"/>
      <c r="IPL49" s="472"/>
      <c r="IPM49" s="473"/>
      <c r="IPN49" s="474"/>
      <c r="IPO49" s="471"/>
      <c r="IPP49" s="472"/>
      <c r="IPQ49" s="473"/>
      <c r="IPR49" s="474"/>
      <c r="IPS49" s="471"/>
      <c r="IPT49" s="472"/>
      <c r="IPU49" s="473"/>
      <c r="IPV49" s="474"/>
      <c r="IPW49" s="471"/>
      <c r="IPX49" s="472"/>
      <c r="IPY49" s="473"/>
      <c r="IPZ49" s="474"/>
      <c r="IQA49" s="471"/>
      <c r="IQB49" s="472"/>
      <c r="IQC49" s="473"/>
      <c r="IQD49" s="474"/>
      <c r="IQE49" s="471"/>
      <c r="IQF49" s="472"/>
      <c r="IQG49" s="473"/>
      <c r="IQH49" s="474"/>
      <c r="IQI49" s="471"/>
      <c r="IQJ49" s="472"/>
      <c r="IQK49" s="473"/>
      <c r="IQL49" s="474"/>
      <c r="IQM49" s="471"/>
      <c r="IQN49" s="472"/>
      <c r="IQO49" s="473"/>
      <c r="IQP49" s="474"/>
      <c r="IQQ49" s="471"/>
      <c r="IQR49" s="472"/>
      <c r="IQS49" s="473"/>
      <c r="IQT49" s="474"/>
      <c r="IQU49" s="471"/>
      <c r="IQV49" s="472"/>
      <c r="IQW49" s="473"/>
      <c r="IQX49" s="474"/>
      <c r="IQY49" s="471"/>
      <c r="IQZ49" s="472"/>
      <c r="IRA49" s="473"/>
      <c r="IRB49" s="474"/>
      <c r="IRC49" s="471"/>
      <c r="IRD49" s="472"/>
      <c r="IRE49" s="473"/>
      <c r="IRF49" s="474"/>
      <c r="IRG49" s="471"/>
      <c r="IRH49" s="472"/>
      <c r="IRI49" s="473"/>
      <c r="IRJ49" s="474"/>
      <c r="IRK49" s="471"/>
      <c r="IRL49" s="472"/>
      <c r="IRM49" s="473"/>
      <c r="IRN49" s="474"/>
      <c r="IRO49" s="471"/>
      <c r="IRP49" s="472"/>
      <c r="IRQ49" s="473"/>
      <c r="IRR49" s="474"/>
      <c r="IRS49" s="471"/>
      <c r="IRT49" s="472"/>
      <c r="IRU49" s="473"/>
      <c r="IRV49" s="474"/>
      <c r="IRW49" s="471"/>
      <c r="IRX49" s="472"/>
      <c r="IRY49" s="473"/>
      <c r="IRZ49" s="474"/>
      <c r="ISA49" s="471"/>
      <c r="ISB49" s="472"/>
      <c r="ISC49" s="473"/>
      <c r="ISD49" s="474"/>
      <c r="ISE49" s="471"/>
      <c r="ISF49" s="472"/>
      <c r="ISG49" s="473"/>
      <c r="ISH49" s="474"/>
      <c r="ISI49" s="471"/>
      <c r="ISJ49" s="472"/>
      <c r="ISK49" s="473"/>
      <c r="ISL49" s="474"/>
      <c r="ISM49" s="471"/>
      <c r="ISN49" s="472"/>
      <c r="ISO49" s="473"/>
      <c r="ISP49" s="474"/>
      <c r="ISQ49" s="471"/>
      <c r="ISR49" s="472"/>
      <c r="ISS49" s="473"/>
      <c r="IST49" s="474"/>
      <c r="ISU49" s="471"/>
      <c r="ISV49" s="472"/>
      <c r="ISW49" s="473"/>
      <c r="ISX49" s="474"/>
      <c r="ISY49" s="471"/>
      <c r="ISZ49" s="472"/>
      <c r="ITA49" s="473"/>
      <c r="ITB49" s="474"/>
      <c r="ITC49" s="471"/>
      <c r="ITD49" s="472"/>
      <c r="ITE49" s="473"/>
      <c r="ITF49" s="474"/>
      <c r="ITG49" s="471"/>
      <c r="ITH49" s="472"/>
      <c r="ITI49" s="473"/>
      <c r="ITJ49" s="474"/>
      <c r="ITK49" s="471"/>
      <c r="ITL49" s="472"/>
      <c r="ITM49" s="473"/>
      <c r="ITN49" s="474"/>
      <c r="ITO49" s="471"/>
      <c r="ITP49" s="472"/>
      <c r="ITQ49" s="473"/>
      <c r="ITR49" s="474"/>
      <c r="ITS49" s="471"/>
      <c r="ITT49" s="472"/>
      <c r="ITU49" s="473"/>
      <c r="ITV49" s="474"/>
      <c r="ITW49" s="471"/>
      <c r="ITX49" s="472"/>
      <c r="ITY49" s="473"/>
      <c r="ITZ49" s="474"/>
      <c r="IUA49" s="471"/>
      <c r="IUB49" s="472"/>
      <c r="IUC49" s="473"/>
      <c r="IUD49" s="474"/>
      <c r="IUE49" s="471"/>
      <c r="IUF49" s="472"/>
      <c r="IUG49" s="473"/>
      <c r="IUH49" s="474"/>
      <c r="IUI49" s="471"/>
      <c r="IUJ49" s="472"/>
      <c r="IUK49" s="473"/>
      <c r="IUL49" s="474"/>
      <c r="IUM49" s="471"/>
      <c r="IUN49" s="472"/>
      <c r="IUO49" s="473"/>
      <c r="IUP49" s="474"/>
      <c r="IUQ49" s="471"/>
      <c r="IUR49" s="472"/>
      <c r="IUS49" s="473"/>
      <c r="IUT49" s="474"/>
      <c r="IUU49" s="471"/>
      <c r="IUV49" s="472"/>
      <c r="IUW49" s="473"/>
      <c r="IUX49" s="474"/>
      <c r="IUY49" s="471"/>
      <c r="IUZ49" s="472"/>
      <c r="IVA49" s="473"/>
      <c r="IVB49" s="474"/>
      <c r="IVC49" s="471"/>
      <c r="IVD49" s="472"/>
      <c r="IVE49" s="473"/>
      <c r="IVF49" s="474"/>
      <c r="IVG49" s="471"/>
      <c r="IVH49" s="472"/>
      <c r="IVI49" s="473"/>
      <c r="IVJ49" s="474"/>
      <c r="IVK49" s="471"/>
      <c r="IVL49" s="472"/>
      <c r="IVM49" s="473"/>
      <c r="IVN49" s="474"/>
      <c r="IVO49" s="471"/>
      <c r="IVP49" s="472"/>
      <c r="IVQ49" s="473"/>
      <c r="IVR49" s="474"/>
      <c r="IVS49" s="471"/>
      <c r="IVT49" s="472"/>
      <c r="IVU49" s="473"/>
      <c r="IVV49" s="474"/>
      <c r="IVW49" s="471"/>
      <c r="IVX49" s="472"/>
      <c r="IVY49" s="473"/>
      <c r="IVZ49" s="474"/>
      <c r="IWA49" s="471"/>
      <c r="IWB49" s="472"/>
      <c r="IWC49" s="473"/>
      <c r="IWD49" s="474"/>
      <c r="IWE49" s="471"/>
      <c r="IWF49" s="472"/>
      <c r="IWG49" s="473"/>
      <c r="IWH49" s="474"/>
      <c r="IWI49" s="471"/>
      <c r="IWJ49" s="472"/>
      <c r="IWK49" s="473"/>
      <c r="IWL49" s="474"/>
      <c r="IWM49" s="471"/>
      <c r="IWN49" s="472"/>
      <c r="IWO49" s="473"/>
      <c r="IWP49" s="474"/>
      <c r="IWQ49" s="471"/>
      <c r="IWR49" s="472"/>
      <c r="IWS49" s="473"/>
      <c r="IWT49" s="474"/>
      <c r="IWU49" s="471"/>
      <c r="IWV49" s="472"/>
      <c r="IWW49" s="473"/>
      <c r="IWX49" s="474"/>
      <c r="IWY49" s="471"/>
      <c r="IWZ49" s="472"/>
      <c r="IXA49" s="473"/>
      <c r="IXB49" s="474"/>
      <c r="IXC49" s="471"/>
      <c r="IXD49" s="472"/>
      <c r="IXE49" s="473"/>
      <c r="IXF49" s="474"/>
      <c r="IXG49" s="471"/>
      <c r="IXH49" s="472"/>
      <c r="IXI49" s="473"/>
      <c r="IXJ49" s="474"/>
      <c r="IXK49" s="471"/>
      <c r="IXL49" s="472"/>
      <c r="IXM49" s="473"/>
      <c r="IXN49" s="474"/>
      <c r="IXO49" s="471"/>
      <c r="IXP49" s="472"/>
      <c r="IXQ49" s="473"/>
      <c r="IXR49" s="474"/>
      <c r="IXS49" s="471"/>
      <c r="IXT49" s="472"/>
      <c r="IXU49" s="473"/>
      <c r="IXV49" s="474"/>
      <c r="IXW49" s="471"/>
      <c r="IXX49" s="472"/>
      <c r="IXY49" s="473"/>
      <c r="IXZ49" s="474"/>
      <c r="IYA49" s="471"/>
      <c r="IYB49" s="472"/>
      <c r="IYC49" s="473"/>
      <c r="IYD49" s="474"/>
      <c r="IYE49" s="471"/>
      <c r="IYF49" s="472"/>
      <c r="IYG49" s="473"/>
      <c r="IYH49" s="474"/>
      <c r="IYI49" s="471"/>
      <c r="IYJ49" s="472"/>
      <c r="IYK49" s="473"/>
      <c r="IYL49" s="474"/>
      <c r="IYM49" s="471"/>
      <c r="IYN49" s="472"/>
      <c r="IYO49" s="473"/>
      <c r="IYP49" s="474"/>
      <c r="IYQ49" s="471"/>
      <c r="IYR49" s="472"/>
      <c r="IYS49" s="473"/>
      <c r="IYT49" s="474"/>
      <c r="IYU49" s="471"/>
      <c r="IYV49" s="472"/>
      <c r="IYW49" s="473"/>
      <c r="IYX49" s="474"/>
      <c r="IYY49" s="471"/>
      <c r="IYZ49" s="472"/>
      <c r="IZA49" s="473"/>
      <c r="IZB49" s="474"/>
      <c r="IZC49" s="471"/>
      <c r="IZD49" s="472"/>
      <c r="IZE49" s="473"/>
      <c r="IZF49" s="474"/>
      <c r="IZG49" s="471"/>
      <c r="IZH49" s="472"/>
      <c r="IZI49" s="473"/>
      <c r="IZJ49" s="474"/>
      <c r="IZK49" s="471"/>
      <c r="IZL49" s="472"/>
      <c r="IZM49" s="473"/>
      <c r="IZN49" s="474"/>
      <c r="IZO49" s="471"/>
      <c r="IZP49" s="472"/>
      <c r="IZQ49" s="473"/>
      <c r="IZR49" s="474"/>
      <c r="IZS49" s="471"/>
      <c r="IZT49" s="472"/>
      <c r="IZU49" s="473"/>
      <c r="IZV49" s="474"/>
      <c r="IZW49" s="471"/>
      <c r="IZX49" s="472"/>
      <c r="IZY49" s="473"/>
      <c r="IZZ49" s="474"/>
      <c r="JAA49" s="471"/>
      <c r="JAB49" s="472"/>
      <c r="JAC49" s="473"/>
      <c r="JAD49" s="474"/>
      <c r="JAE49" s="471"/>
      <c r="JAF49" s="472"/>
      <c r="JAG49" s="473"/>
      <c r="JAH49" s="474"/>
      <c r="JAI49" s="471"/>
      <c r="JAJ49" s="472"/>
      <c r="JAK49" s="473"/>
      <c r="JAL49" s="474"/>
      <c r="JAM49" s="471"/>
      <c r="JAN49" s="472"/>
      <c r="JAO49" s="473"/>
      <c r="JAP49" s="474"/>
      <c r="JAQ49" s="471"/>
      <c r="JAR49" s="472"/>
      <c r="JAS49" s="473"/>
      <c r="JAT49" s="474"/>
      <c r="JAU49" s="471"/>
      <c r="JAV49" s="472"/>
      <c r="JAW49" s="473"/>
      <c r="JAX49" s="474"/>
      <c r="JAY49" s="471"/>
      <c r="JAZ49" s="472"/>
      <c r="JBA49" s="473"/>
      <c r="JBB49" s="474"/>
      <c r="JBC49" s="471"/>
      <c r="JBD49" s="472"/>
      <c r="JBE49" s="473"/>
      <c r="JBF49" s="474"/>
      <c r="JBG49" s="471"/>
      <c r="JBH49" s="472"/>
      <c r="JBI49" s="473"/>
      <c r="JBJ49" s="474"/>
      <c r="JBK49" s="471"/>
      <c r="JBL49" s="472"/>
      <c r="JBM49" s="473"/>
      <c r="JBN49" s="474"/>
      <c r="JBO49" s="471"/>
      <c r="JBP49" s="472"/>
      <c r="JBQ49" s="473"/>
      <c r="JBR49" s="474"/>
      <c r="JBS49" s="471"/>
      <c r="JBT49" s="472"/>
      <c r="JBU49" s="473"/>
      <c r="JBV49" s="474"/>
      <c r="JBW49" s="471"/>
      <c r="JBX49" s="472"/>
      <c r="JBY49" s="473"/>
      <c r="JBZ49" s="474"/>
      <c r="JCA49" s="471"/>
      <c r="JCB49" s="472"/>
      <c r="JCC49" s="473"/>
      <c r="JCD49" s="474"/>
      <c r="JCE49" s="471"/>
      <c r="JCF49" s="472"/>
      <c r="JCG49" s="473"/>
      <c r="JCH49" s="474"/>
      <c r="JCI49" s="471"/>
      <c r="JCJ49" s="472"/>
      <c r="JCK49" s="473"/>
      <c r="JCL49" s="474"/>
      <c r="JCM49" s="471"/>
      <c r="JCN49" s="472"/>
      <c r="JCO49" s="473"/>
      <c r="JCP49" s="474"/>
      <c r="JCQ49" s="471"/>
      <c r="JCR49" s="472"/>
      <c r="JCS49" s="473"/>
      <c r="JCT49" s="474"/>
      <c r="JCU49" s="471"/>
      <c r="JCV49" s="472"/>
      <c r="JCW49" s="473"/>
      <c r="JCX49" s="474"/>
      <c r="JCY49" s="471"/>
      <c r="JCZ49" s="472"/>
      <c r="JDA49" s="473"/>
      <c r="JDB49" s="474"/>
      <c r="JDC49" s="471"/>
      <c r="JDD49" s="472"/>
      <c r="JDE49" s="473"/>
      <c r="JDF49" s="474"/>
      <c r="JDG49" s="471"/>
      <c r="JDH49" s="472"/>
      <c r="JDI49" s="473"/>
      <c r="JDJ49" s="474"/>
      <c r="JDK49" s="471"/>
      <c r="JDL49" s="472"/>
      <c r="JDM49" s="473"/>
      <c r="JDN49" s="474"/>
      <c r="JDO49" s="471"/>
      <c r="JDP49" s="472"/>
      <c r="JDQ49" s="473"/>
      <c r="JDR49" s="474"/>
      <c r="JDS49" s="471"/>
      <c r="JDT49" s="472"/>
      <c r="JDU49" s="473"/>
      <c r="JDV49" s="474"/>
      <c r="JDW49" s="471"/>
      <c r="JDX49" s="472"/>
      <c r="JDY49" s="473"/>
      <c r="JDZ49" s="474"/>
      <c r="JEA49" s="471"/>
      <c r="JEB49" s="472"/>
      <c r="JEC49" s="473"/>
      <c r="JED49" s="474"/>
      <c r="JEE49" s="471"/>
      <c r="JEF49" s="472"/>
      <c r="JEG49" s="473"/>
      <c r="JEH49" s="474"/>
      <c r="JEI49" s="471"/>
      <c r="JEJ49" s="472"/>
      <c r="JEK49" s="473"/>
      <c r="JEL49" s="474"/>
      <c r="JEM49" s="471"/>
      <c r="JEN49" s="472"/>
      <c r="JEO49" s="473"/>
      <c r="JEP49" s="474"/>
      <c r="JEQ49" s="471"/>
      <c r="JER49" s="472"/>
      <c r="JES49" s="473"/>
      <c r="JET49" s="474"/>
      <c r="JEU49" s="471"/>
      <c r="JEV49" s="472"/>
      <c r="JEW49" s="473"/>
      <c r="JEX49" s="474"/>
      <c r="JEY49" s="471"/>
      <c r="JEZ49" s="472"/>
      <c r="JFA49" s="473"/>
      <c r="JFB49" s="474"/>
      <c r="JFC49" s="471"/>
      <c r="JFD49" s="472"/>
      <c r="JFE49" s="473"/>
      <c r="JFF49" s="474"/>
      <c r="JFG49" s="471"/>
      <c r="JFH49" s="472"/>
      <c r="JFI49" s="473"/>
      <c r="JFJ49" s="474"/>
      <c r="JFK49" s="471"/>
      <c r="JFL49" s="472"/>
      <c r="JFM49" s="473"/>
      <c r="JFN49" s="474"/>
      <c r="JFO49" s="471"/>
      <c r="JFP49" s="472"/>
      <c r="JFQ49" s="473"/>
      <c r="JFR49" s="474"/>
      <c r="JFS49" s="471"/>
      <c r="JFT49" s="472"/>
      <c r="JFU49" s="473"/>
      <c r="JFV49" s="474"/>
      <c r="JFW49" s="471"/>
      <c r="JFX49" s="472"/>
      <c r="JFY49" s="473"/>
      <c r="JFZ49" s="474"/>
      <c r="JGA49" s="471"/>
      <c r="JGB49" s="472"/>
      <c r="JGC49" s="473"/>
      <c r="JGD49" s="474"/>
      <c r="JGE49" s="471"/>
      <c r="JGF49" s="472"/>
      <c r="JGG49" s="473"/>
      <c r="JGH49" s="474"/>
      <c r="JGI49" s="471"/>
      <c r="JGJ49" s="472"/>
      <c r="JGK49" s="473"/>
      <c r="JGL49" s="474"/>
      <c r="JGM49" s="471"/>
      <c r="JGN49" s="472"/>
      <c r="JGO49" s="473"/>
      <c r="JGP49" s="474"/>
      <c r="JGQ49" s="471"/>
      <c r="JGR49" s="472"/>
      <c r="JGS49" s="473"/>
      <c r="JGT49" s="474"/>
      <c r="JGU49" s="471"/>
      <c r="JGV49" s="472"/>
      <c r="JGW49" s="473"/>
      <c r="JGX49" s="474"/>
      <c r="JGY49" s="471"/>
      <c r="JGZ49" s="472"/>
      <c r="JHA49" s="473"/>
      <c r="JHB49" s="474"/>
      <c r="JHC49" s="471"/>
      <c r="JHD49" s="472"/>
      <c r="JHE49" s="473"/>
      <c r="JHF49" s="474"/>
      <c r="JHG49" s="471"/>
      <c r="JHH49" s="472"/>
      <c r="JHI49" s="473"/>
      <c r="JHJ49" s="474"/>
      <c r="JHK49" s="471"/>
      <c r="JHL49" s="472"/>
      <c r="JHM49" s="473"/>
      <c r="JHN49" s="474"/>
      <c r="JHO49" s="471"/>
      <c r="JHP49" s="472"/>
      <c r="JHQ49" s="473"/>
      <c r="JHR49" s="474"/>
      <c r="JHS49" s="471"/>
      <c r="JHT49" s="472"/>
      <c r="JHU49" s="473"/>
      <c r="JHV49" s="474"/>
      <c r="JHW49" s="471"/>
      <c r="JHX49" s="472"/>
      <c r="JHY49" s="473"/>
      <c r="JHZ49" s="474"/>
      <c r="JIA49" s="471"/>
      <c r="JIB49" s="472"/>
      <c r="JIC49" s="473"/>
      <c r="JID49" s="474"/>
      <c r="JIE49" s="471"/>
      <c r="JIF49" s="472"/>
      <c r="JIG49" s="473"/>
      <c r="JIH49" s="474"/>
      <c r="JII49" s="471"/>
      <c r="JIJ49" s="472"/>
      <c r="JIK49" s="473"/>
      <c r="JIL49" s="474"/>
      <c r="JIM49" s="471"/>
      <c r="JIN49" s="472"/>
      <c r="JIO49" s="473"/>
      <c r="JIP49" s="474"/>
      <c r="JIQ49" s="471"/>
      <c r="JIR49" s="472"/>
      <c r="JIS49" s="473"/>
      <c r="JIT49" s="474"/>
      <c r="JIU49" s="471"/>
      <c r="JIV49" s="472"/>
      <c r="JIW49" s="473"/>
      <c r="JIX49" s="474"/>
      <c r="JIY49" s="471"/>
      <c r="JIZ49" s="472"/>
      <c r="JJA49" s="473"/>
      <c r="JJB49" s="474"/>
      <c r="JJC49" s="471"/>
      <c r="JJD49" s="472"/>
      <c r="JJE49" s="473"/>
      <c r="JJF49" s="474"/>
      <c r="JJG49" s="471"/>
      <c r="JJH49" s="472"/>
      <c r="JJI49" s="473"/>
      <c r="JJJ49" s="474"/>
      <c r="JJK49" s="471"/>
      <c r="JJL49" s="472"/>
      <c r="JJM49" s="473"/>
      <c r="JJN49" s="474"/>
      <c r="JJO49" s="471"/>
      <c r="JJP49" s="472"/>
      <c r="JJQ49" s="473"/>
      <c r="JJR49" s="474"/>
      <c r="JJS49" s="471"/>
      <c r="JJT49" s="472"/>
      <c r="JJU49" s="473"/>
      <c r="JJV49" s="474"/>
      <c r="JJW49" s="471"/>
      <c r="JJX49" s="472"/>
      <c r="JJY49" s="473"/>
      <c r="JJZ49" s="474"/>
      <c r="JKA49" s="471"/>
      <c r="JKB49" s="472"/>
      <c r="JKC49" s="473"/>
      <c r="JKD49" s="474"/>
      <c r="JKE49" s="471"/>
      <c r="JKF49" s="472"/>
      <c r="JKG49" s="473"/>
      <c r="JKH49" s="474"/>
      <c r="JKI49" s="471"/>
      <c r="JKJ49" s="472"/>
      <c r="JKK49" s="473"/>
      <c r="JKL49" s="474"/>
      <c r="JKM49" s="471"/>
      <c r="JKN49" s="472"/>
      <c r="JKO49" s="473"/>
      <c r="JKP49" s="474"/>
      <c r="JKQ49" s="471"/>
      <c r="JKR49" s="472"/>
      <c r="JKS49" s="473"/>
      <c r="JKT49" s="474"/>
      <c r="JKU49" s="471"/>
      <c r="JKV49" s="472"/>
      <c r="JKW49" s="473"/>
      <c r="JKX49" s="474"/>
      <c r="JKY49" s="471"/>
      <c r="JKZ49" s="472"/>
      <c r="JLA49" s="473"/>
      <c r="JLB49" s="474"/>
      <c r="JLC49" s="471"/>
      <c r="JLD49" s="472"/>
      <c r="JLE49" s="473"/>
      <c r="JLF49" s="474"/>
      <c r="JLG49" s="471"/>
      <c r="JLH49" s="472"/>
      <c r="JLI49" s="473"/>
      <c r="JLJ49" s="474"/>
      <c r="JLK49" s="471"/>
      <c r="JLL49" s="472"/>
      <c r="JLM49" s="473"/>
      <c r="JLN49" s="474"/>
      <c r="JLO49" s="471"/>
      <c r="JLP49" s="472"/>
      <c r="JLQ49" s="473"/>
      <c r="JLR49" s="474"/>
      <c r="JLS49" s="471"/>
      <c r="JLT49" s="472"/>
      <c r="JLU49" s="473"/>
      <c r="JLV49" s="474"/>
      <c r="JLW49" s="471"/>
      <c r="JLX49" s="472"/>
      <c r="JLY49" s="473"/>
      <c r="JLZ49" s="474"/>
      <c r="JMA49" s="471"/>
      <c r="JMB49" s="472"/>
      <c r="JMC49" s="473"/>
      <c r="JMD49" s="474"/>
      <c r="JME49" s="471"/>
      <c r="JMF49" s="472"/>
      <c r="JMG49" s="473"/>
      <c r="JMH49" s="474"/>
      <c r="JMI49" s="471"/>
      <c r="JMJ49" s="472"/>
      <c r="JMK49" s="473"/>
      <c r="JML49" s="474"/>
      <c r="JMM49" s="471"/>
      <c r="JMN49" s="472"/>
      <c r="JMO49" s="473"/>
      <c r="JMP49" s="474"/>
      <c r="JMQ49" s="471"/>
      <c r="JMR49" s="472"/>
      <c r="JMS49" s="473"/>
      <c r="JMT49" s="474"/>
      <c r="JMU49" s="471"/>
      <c r="JMV49" s="472"/>
      <c r="JMW49" s="473"/>
      <c r="JMX49" s="474"/>
      <c r="JMY49" s="471"/>
      <c r="JMZ49" s="472"/>
      <c r="JNA49" s="473"/>
      <c r="JNB49" s="474"/>
      <c r="JNC49" s="471"/>
      <c r="JND49" s="472"/>
      <c r="JNE49" s="473"/>
      <c r="JNF49" s="474"/>
      <c r="JNG49" s="471"/>
      <c r="JNH49" s="472"/>
      <c r="JNI49" s="473"/>
      <c r="JNJ49" s="474"/>
      <c r="JNK49" s="471"/>
      <c r="JNL49" s="472"/>
      <c r="JNM49" s="473"/>
      <c r="JNN49" s="474"/>
      <c r="JNO49" s="471"/>
      <c r="JNP49" s="472"/>
      <c r="JNQ49" s="473"/>
      <c r="JNR49" s="474"/>
      <c r="JNS49" s="471"/>
      <c r="JNT49" s="472"/>
      <c r="JNU49" s="473"/>
      <c r="JNV49" s="474"/>
      <c r="JNW49" s="471"/>
      <c r="JNX49" s="472"/>
      <c r="JNY49" s="473"/>
      <c r="JNZ49" s="474"/>
      <c r="JOA49" s="471"/>
      <c r="JOB49" s="472"/>
      <c r="JOC49" s="473"/>
      <c r="JOD49" s="474"/>
      <c r="JOE49" s="471"/>
      <c r="JOF49" s="472"/>
      <c r="JOG49" s="473"/>
      <c r="JOH49" s="474"/>
      <c r="JOI49" s="471"/>
      <c r="JOJ49" s="472"/>
      <c r="JOK49" s="473"/>
      <c r="JOL49" s="474"/>
      <c r="JOM49" s="471"/>
      <c r="JON49" s="472"/>
      <c r="JOO49" s="473"/>
      <c r="JOP49" s="474"/>
      <c r="JOQ49" s="471"/>
      <c r="JOR49" s="472"/>
      <c r="JOS49" s="473"/>
      <c r="JOT49" s="474"/>
      <c r="JOU49" s="471"/>
      <c r="JOV49" s="472"/>
      <c r="JOW49" s="473"/>
      <c r="JOX49" s="474"/>
      <c r="JOY49" s="471"/>
      <c r="JOZ49" s="472"/>
      <c r="JPA49" s="473"/>
      <c r="JPB49" s="474"/>
      <c r="JPC49" s="471"/>
      <c r="JPD49" s="472"/>
      <c r="JPE49" s="473"/>
      <c r="JPF49" s="474"/>
      <c r="JPG49" s="471"/>
      <c r="JPH49" s="472"/>
      <c r="JPI49" s="473"/>
      <c r="JPJ49" s="474"/>
      <c r="JPK49" s="471"/>
      <c r="JPL49" s="472"/>
      <c r="JPM49" s="473"/>
      <c r="JPN49" s="474"/>
      <c r="JPO49" s="471"/>
      <c r="JPP49" s="472"/>
      <c r="JPQ49" s="473"/>
      <c r="JPR49" s="474"/>
      <c r="JPS49" s="471"/>
      <c r="JPT49" s="472"/>
      <c r="JPU49" s="473"/>
      <c r="JPV49" s="474"/>
      <c r="JPW49" s="471"/>
      <c r="JPX49" s="472"/>
      <c r="JPY49" s="473"/>
      <c r="JPZ49" s="474"/>
      <c r="JQA49" s="471"/>
      <c r="JQB49" s="472"/>
      <c r="JQC49" s="473"/>
      <c r="JQD49" s="474"/>
      <c r="JQE49" s="471"/>
      <c r="JQF49" s="472"/>
      <c r="JQG49" s="473"/>
      <c r="JQH49" s="474"/>
      <c r="JQI49" s="471"/>
      <c r="JQJ49" s="472"/>
      <c r="JQK49" s="473"/>
      <c r="JQL49" s="474"/>
      <c r="JQM49" s="471"/>
      <c r="JQN49" s="472"/>
      <c r="JQO49" s="473"/>
      <c r="JQP49" s="474"/>
      <c r="JQQ49" s="471"/>
      <c r="JQR49" s="472"/>
      <c r="JQS49" s="473"/>
      <c r="JQT49" s="474"/>
      <c r="JQU49" s="471"/>
      <c r="JQV49" s="472"/>
      <c r="JQW49" s="473"/>
      <c r="JQX49" s="474"/>
      <c r="JQY49" s="471"/>
      <c r="JQZ49" s="472"/>
      <c r="JRA49" s="473"/>
      <c r="JRB49" s="474"/>
      <c r="JRC49" s="471"/>
      <c r="JRD49" s="472"/>
      <c r="JRE49" s="473"/>
      <c r="JRF49" s="474"/>
      <c r="JRG49" s="471"/>
      <c r="JRH49" s="472"/>
      <c r="JRI49" s="473"/>
      <c r="JRJ49" s="474"/>
      <c r="JRK49" s="471"/>
      <c r="JRL49" s="472"/>
      <c r="JRM49" s="473"/>
      <c r="JRN49" s="474"/>
      <c r="JRO49" s="471"/>
      <c r="JRP49" s="472"/>
      <c r="JRQ49" s="473"/>
      <c r="JRR49" s="474"/>
      <c r="JRS49" s="471"/>
      <c r="JRT49" s="472"/>
      <c r="JRU49" s="473"/>
      <c r="JRV49" s="474"/>
      <c r="JRW49" s="471"/>
      <c r="JRX49" s="472"/>
      <c r="JRY49" s="473"/>
      <c r="JRZ49" s="474"/>
      <c r="JSA49" s="471"/>
      <c r="JSB49" s="472"/>
      <c r="JSC49" s="473"/>
      <c r="JSD49" s="474"/>
      <c r="JSE49" s="471"/>
      <c r="JSF49" s="472"/>
      <c r="JSG49" s="473"/>
      <c r="JSH49" s="474"/>
      <c r="JSI49" s="471"/>
      <c r="JSJ49" s="472"/>
      <c r="JSK49" s="473"/>
      <c r="JSL49" s="474"/>
      <c r="JSM49" s="471"/>
      <c r="JSN49" s="472"/>
      <c r="JSO49" s="473"/>
      <c r="JSP49" s="474"/>
      <c r="JSQ49" s="471"/>
      <c r="JSR49" s="472"/>
      <c r="JSS49" s="473"/>
      <c r="JST49" s="474"/>
      <c r="JSU49" s="471"/>
      <c r="JSV49" s="472"/>
      <c r="JSW49" s="473"/>
      <c r="JSX49" s="474"/>
      <c r="JSY49" s="471"/>
      <c r="JSZ49" s="472"/>
      <c r="JTA49" s="473"/>
      <c r="JTB49" s="474"/>
      <c r="JTC49" s="471"/>
      <c r="JTD49" s="472"/>
      <c r="JTE49" s="473"/>
      <c r="JTF49" s="474"/>
      <c r="JTG49" s="471"/>
      <c r="JTH49" s="472"/>
      <c r="JTI49" s="473"/>
      <c r="JTJ49" s="474"/>
      <c r="JTK49" s="471"/>
      <c r="JTL49" s="472"/>
      <c r="JTM49" s="473"/>
      <c r="JTN49" s="474"/>
      <c r="JTO49" s="471"/>
      <c r="JTP49" s="472"/>
      <c r="JTQ49" s="473"/>
      <c r="JTR49" s="474"/>
      <c r="JTS49" s="471"/>
      <c r="JTT49" s="472"/>
      <c r="JTU49" s="473"/>
      <c r="JTV49" s="474"/>
      <c r="JTW49" s="471"/>
      <c r="JTX49" s="472"/>
      <c r="JTY49" s="473"/>
      <c r="JTZ49" s="474"/>
      <c r="JUA49" s="471"/>
      <c r="JUB49" s="472"/>
      <c r="JUC49" s="473"/>
      <c r="JUD49" s="474"/>
      <c r="JUE49" s="471"/>
      <c r="JUF49" s="472"/>
      <c r="JUG49" s="473"/>
      <c r="JUH49" s="474"/>
      <c r="JUI49" s="471"/>
      <c r="JUJ49" s="472"/>
      <c r="JUK49" s="473"/>
      <c r="JUL49" s="474"/>
      <c r="JUM49" s="471"/>
      <c r="JUN49" s="472"/>
      <c r="JUO49" s="473"/>
      <c r="JUP49" s="474"/>
      <c r="JUQ49" s="471"/>
      <c r="JUR49" s="472"/>
      <c r="JUS49" s="473"/>
      <c r="JUT49" s="474"/>
      <c r="JUU49" s="471"/>
      <c r="JUV49" s="472"/>
      <c r="JUW49" s="473"/>
      <c r="JUX49" s="474"/>
      <c r="JUY49" s="471"/>
      <c r="JUZ49" s="472"/>
      <c r="JVA49" s="473"/>
      <c r="JVB49" s="474"/>
      <c r="JVC49" s="471"/>
      <c r="JVD49" s="472"/>
      <c r="JVE49" s="473"/>
      <c r="JVF49" s="474"/>
      <c r="JVG49" s="471"/>
      <c r="JVH49" s="472"/>
      <c r="JVI49" s="473"/>
      <c r="JVJ49" s="474"/>
      <c r="JVK49" s="471"/>
      <c r="JVL49" s="472"/>
      <c r="JVM49" s="473"/>
      <c r="JVN49" s="474"/>
      <c r="JVO49" s="471"/>
      <c r="JVP49" s="472"/>
      <c r="JVQ49" s="473"/>
      <c r="JVR49" s="474"/>
      <c r="JVS49" s="471"/>
      <c r="JVT49" s="472"/>
      <c r="JVU49" s="473"/>
      <c r="JVV49" s="474"/>
      <c r="JVW49" s="471"/>
      <c r="JVX49" s="472"/>
      <c r="JVY49" s="473"/>
      <c r="JVZ49" s="474"/>
      <c r="JWA49" s="471"/>
      <c r="JWB49" s="472"/>
      <c r="JWC49" s="473"/>
      <c r="JWD49" s="474"/>
      <c r="JWE49" s="471"/>
      <c r="JWF49" s="472"/>
      <c r="JWG49" s="473"/>
      <c r="JWH49" s="474"/>
      <c r="JWI49" s="471"/>
      <c r="JWJ49" s="472"/>
      <c r="JWK49" s="473"/>
      <c r="JWL49" s="474"/>
      <c r="JWM49" s="471"/>
      <c r="JWN49" s="472"/>
      <c r="JWO49" s="473"/>
      <c r="JWP49" s="474"/>
      <c r="JWQ49" s="471"/>
      <c r="JWR49" s="472"/>
      <c r="JWS49" s="473"/>
      <c r="JWT49" s="474"/>
      <c r="JWU49" s="471"/>
      <c r="JWV49" s="472"/>
      <c r="JWW49" s="473"/>
      <c r="JWX49" s="474"/>
      <c r="JWY49" s="471"/>
      <c r="JWZ49" s="472"/>
      <c r="JXA49" s="473"/>
      <c r="JXB49" s="474"/>
      <c r="JXC49" s="471"/>
      <c r="JXD49" s="472"/>
      <c r="JXE49" s="473"/>
      <c r="JXF49" s="474"/>
      <c r="JXG49" s="471"/>
      <c r="JXH49" s="472"/>
      <c r="JXI49" s="473"/>
      <c r="JXJ49" s="474"/>
      <c r="JXK49" s="471"/>
      <c r="JXL49" s="472"/>
      <c r="JXM49" s="473"/>
      <c r="JXN49" s="474"/>
      <c r="JXO49" s="471"/>
      <c r="JXP49" s="472"/>
      <c r="JXQ49" s="473"/>
      <c r="JXR49" s="474"/>
      <c r="JXS49" s="471"/>
      <c r="JXT49" s="472"/>
      <c r="JXU49" s="473"/>
      <c r="JXV49" s="474"/>
      <c r="JXW49" s="471"/>
      <c r="JXX49" s="472"/>
      <c r="JXY49" s="473"/>
      <c r="JXZ49" s="474"/>
      <c r="JYA49" s="471"/>
      <c r="JYB49" s="472"/>
      <c r="JYC49" s="473"/>
      <c r="JYD49" s="474"/>
      <c r="JYE49" s="471"/>
      <c r="JYF49" s="472"/>
      <c r="JYG49" s="473"/>
      <c r="JYH49" s="474"/>
      <c r="JYI49" s="471"/>
      <c r="JYJ49" s="472"/>
      <c r="JYK49" s="473"/>
      <c r="JYL49" s="474"/>
      <c r="JYM49" s="471"/>
      <c r="JYN49" s="472"/>
      <c r="JYO49" s="473"/>
      <c r="JYP49" s="474"/>
      <c r="JYQ49" s="471"/>
      <c r="JYR49" s="472"/>
      <c r="JYS49" s="473"/>
      <c r="JYT49" s="474"/>
      <c r="JYU49" s="471"/>
      <c r="JYV49" s="472"/>
      <c r="JYW49" s="473"/>
      <c r="JYX49" s="474"/>
      <c r="JYY49" s="471"/>
      <c r="JYZ49" s="472"/>
      <c r="JZA49" s="473"/>
      <c r="JZB49" s="474"/>
      <c r="JZC49" s="471"/>
      <c r="JZD49" s="472"/>
      <c r="JZE49" s="473"/>
      <c r="JZF49" s="474"/>
      <c r="JZG49" s="471"/>
      <c r="JZH49" s="472"/>
      <c r="JZI49" s="473"/>
      <c r="JZJ49" s="474"/>
      <c r="JZK49" s="471"/>
      <c r="JZL49" s="472"/>
      <c r="JZM49" s="473"/>
      <c r="JZN49" s="474"/>
      <c r="JZO49" s="471"/>
      <c r="JZP49" s="472"/>
      <c r="JZQ49" s="473"/>
      <c r="JZR49" s="474"/>
      <c r="JZS49" s="471"/>
      <c r="JZT49" s="472"/>
      <c r="JZU49" s="473"/>
      <c r="JZV49" s="474"/>
      <c r="JZW49" s="471"/>
      <c r="JZX49" s="472"/>
      <c r="JZY49" s="473"/>
      <c r="JZZ49" s="474"/>
      <c r="KAA49" s="471"/>
      <c r="KAB49" s="472"/>
      <c r="KAC49" s="473"/>
      <c r="KAD49" s="474"/>
      <c r="KAE49" s="471"/>
      <c r="KAF49" s="472"/>
      <c r="KAG49" s="473"/>
      <c r="KAH49" s="474"/>
      <c r="KAI49" s="471"/>
      <c r="KAJ49" s="472"/>
      <c r="KAK49" s="473"/>
      <c r="KAL49" s="474"/>
      <c r="KAM49" s="471"/>
      <c r="KAN49" s="472"/>
      <c r="KAO49" s="473"/>
      <c r="KAP49" s="474"/>
      <c r="KAQ49" s="471"/>
      <c r="KAR49" s="472"/>
      <c r="KAS49" s="473"/>
      <c r="KAT49" s="474"/>
      <c r="KAU49" s="471"/>
      <c r="KAV49" s="472"/>
      <c r="KAW49" s="473"/>
      <c r="KAX49" s="474"/>
      <c r="KAY49" s="471"/>
      <c r="KAZ49" s="472"/>
      <c r="KBA49" s="473"/>
      <c r="KBB49" s="474"/>
      <c r="KBC49" s="471"/>
      <c r="KBD49" s="472"/>
      <c r="KBE49" s="473"/>
      <c r="KBF49" s="474"/>
      <c r="KBG49" s="471"/>
      <c r="KBH49" s="472"/>
      <c r="KBI49" s="473"/>
      <c r="KBJ49" s="474"/>
      <c r="KBK49" s="471"/>
      <c r="KBL49" s="472"/>
      <c r="KBM49" s="473"/>
      <c r="KBN49" s="474"/>
      <c r="KBO49" s="471"/>
      <c r="KBP49" s="472"/>
      <c r="KBQ49" s="473"/>
      <c r="KBR49" s="474"/>
      <c r="KBS49" s="471"/>
      <c r="KBT49" s="472"/>
      <c r="KBU49" s="473"/>
      <c r="KBV49" s="474"/>
      <c r="KBW49" s="471"/>
      <c r="KBX49" s="472"/>
      <c r="KBY49" s="473"/>
      <c r="KBZ49" s="474"/>
      <c r="KCA49" s="471"/>
      <c r="KCB49" s="472"/>
      <c r="KCC49" s="473"/>
      <c r="KCD49" s="474"/>
      <c r="KCE49" s="471"/>
      <c r="KCF49" s="472"/>
      <c r="KCG49" s="473"/>
      <c r="KCH49" s="474"/>
      <c r="KCI49" s="471"/>
      <c r="KCJ49" s="472"/>
      <c r="KCK49" s="473"/>
      <c r="KCL49" s="474"/>
      <c r="KCM49" s="471"/>
      <c r="KCN49" s="472"/>
      <c r="KCO49" s="473"/>
      <c r="KCP49" s="474"/>
      <c r="KCQ49" s="471"/>
      <c r="KCR49" s="472"/>
      <c r="KCS49" s="473"/>
      <c r="KCT49" s="474"/>
      <c r="KCU49" s="471"/>
      <c r="KCV49" s="472"/>
      <c r="KCW49" s="473"/>
      <c r="KCX49" s="474"/>
      <c r="KCY49" s="471"/>
      <c r="KCZ49" s="472"/>
      <c r="KDA49" s="473"/>
      <c r="KDB49" s="474"/>
      <c r="KDC49" s="471"/>
      <c r="KDD49" s="472"/>
      <c r="KDE49" s="473"/>
      <c r="KDF49" s="474"/>
      <c r="KDG49" s="471"/>
      <c r="KDH49" s="472"/>
      <c r="KDI49" s="473"/>
      <c r="KDJ49" s="474"/>
      <c r="KDK49" s="471"/>
      <c r="KDL49" s="472"/>
      <c r="KDM49" s="473"/>
      <c r="KDN49" s="474"/>
      <c r="KDO49" s="471"/>
      <c r="KDP49" s="472"/>
      <c r="KDQ49" s="473"/>
      <c r="KDR49" s="474"/>
      <c r="KDS49" s="471"/>
      <c r="KDT49" s="472"/>
      <c r="KDU49" s="473"/>
      <c r="KDV49" s="474"/>
      <c r="KDW49" s="471"/>
      <c r="KDX49" s="472"/>
      <c r="KDY49" s="473"/>
      <c r="KDZ49" s="474"/>
      <c r="KEA49" s="471"/>
      <c r="KEB49" s="472"/>
      <c r="KEC49" s="473"/>
      <c r="KED49" s="474"/>
      <c r="KEE49" s="471"/>
      <c r="KEF49" s="472"/>
      <c r="KEG49" s="473"/>
      <c r="KEH49" s="474"/>
      <c r="KEI49" s="471"/>
      <c r="KEJ49" s="472"/>
      <c r="KEK49" s="473"/>
      <c r="KEL49" s="474"/>
      <c r="KEM49" s="471"/>
      <c r="KEN49" s="472"/>
      <c r="KEO49" s="473"/>
      <c r="KEP49" s="474"/>
      <c r="KEQ49" s="471"/>
      <c r="KER49" s="472"/>
      <c r="KES49" s="473"/>
      <c r="KET49" s="474"/>
      <c r="KEU49" s="471"/>
      <c r="KEV49" s="472"/>
      <c r="KEW49" s="473"/>
      <c r="KEX49" s="474"/>
      <c r="KEY49" s="471"/>
      <c r="KEZ49" s="472"/>
      <c r="KFA49" s="473"/>
      <c r="KFB49" s="474"/>
      <c r="KFC49" s="471"/>
      <c r="KFD49" s="472"/>
      <c r="KFE49" s="473"/>
      <c r="KFF49" s="474"/>
      <c r="KFG49" s="471"/>
      <c r="KFH49" s="472"/>
      <c r="KFI49" s="473"/>
      <c r="KFJ49" s="474"/>
      <c r="KFK49" s="471"/>
      <c r="KFL49" s="472"/>
      <c r="KFM49" s="473"/>
      <c r="KFN49" s="474"/>
      <c r="KFO49" s="471"/>
      <c r="KFP49" s="472"/>
      <c r="KFQ49" s="473"/>
      <c r="KFR49" s="474"/>
      <c r="KFS49" s="471"/>
      <c r="KFT49" s="472"/>
      <c r="KFU49" s="473"/>
      <c r="KFV49" s="474"/>
      <c r="KFW49" s="471"/>
      <c r="KFX49" s="472"/>
      <c r="KFY49" s="473"/>
      <c r="KFZ49" s="474"/>
      <c r="KGA49" s="471"/>
      <c r="KGB49" s="472"/>
      <c r="KGC49" s="473"/>
      <c r="KGD49" s="474"/>
      <c r="KGE49" s="471"/>
      <c r="KGF49" s="472"/>
      <c r="KGG49" s="473"/>
      <c r="KGH49" s="474"/>
      <c r="KGI49" s="471"/>
      <c r="KGJ49" s="472"/>
      <c r="KGK49" s="473"/>
      <c r="KGL49" s="474"/>
      <c r="KGM49" s="471"/>
      <c r="KGN49" s="472"/>
      <c r="KGO49" s="473"/>
      <c r="KGP49" s="474"/>
      <c r="KGQ49" s="471"/>
      <c r="KGR49" s="472"/>
      <c r="KGS49" s="473"/>
      <c r="KGT49" s="474"/>
      <c r="KGU49" s="471"/>
      <c r="KGV49" s="472"/>
      <c r="KGW49" s="473"/>
      <c r="KGX49" s="474"/>
      <c r="KGY49" s="471"/>
      <c r="KGZ49" s="472"/>
      <c r="KHA49" s="473"/>
      <c r="KHB49" s="474"/>
      <c r="KHC49" s="471"/>
      <c r="KHD49" s="472"/>
      <c r="KHE49" s="473"/>
      <c r="KHF49" s="474"/>
      <c r="KHG49" s="471"/>
      <c r="KHH49" s="472"/>
      <c r="KHI49" s="473"/>
      <c r="KHJ49" s="474"/>
      <c r="KHK49" s="471"/>
      <c r="KHL49" s="472"/>
      <c r="KHM49" s="473"/>
      <c r="KHN49" s="474"/>
      <c r="KHO49" s="471"/>
      <c r="KHP49" s="472"/>
      <c r="KHQ49" s="473"/>
      <c r="KHR49" s="474"/>
      <c r="KHS49" s="471"/>
      <c r="KHT49" s="472"/>
      <c r="KHU49" s="473"/>
      <c r="KHV49" s="474"/>
      <c r="KHW49" s="471"/>
      <c r="KHX49" s="472"/>
      <c r="KHY49" s="473"/>
      <c r="KHZ49" s="474"/>
      <c r="KIA49" s="471"/>
      <c r="KIB49" s="472"/>
      <c r="KIC49" s="473"/>
      <c r="KID49" s="474"/>
      <c r="KIE49" s="471"/>
      <c r="KIF49" s="472"/>
      <c r="KIG49" s="473"/>
      <c r="KIH49" s="474"/>
      <c r="KII49" s="471"/>
      <c r="KIJ49" s="472"/>
      <c r="KIK49" s="473"/>
      <c r="KIL49" s="474"/>
      <c r="KIM49" s="471"/>
      <c r="KIN49" s="472"/>
      <c r="KIO49" s="473"/>
      <c r="KIP49" s="474"/>
      <c r="KIQ49" s="471"/>
      <c r="KIR49" s="472"/>
      <c r="KIS49" s="473"/>
      <c r="KIT49" s="474"/>
      <c r="KIU49" s="471"/>
      <c r="KIV49" s="472"/>
      <c r="KIW49" s="473"/>
      <c r="KIX49" s="474"/>
      <c r="KIY49" s="471"/>
      <c r="KIZ49" s="472"/>
      <c r="KJA49" s="473"/>
      <c r="KJB49" s="474"/>
      <c r="KJC49" s="471"/>
      <c r="KJD49" s="472"/>
      <c r="KJE49" s="473"/>
      <c r="KJF49" s="474"/>
      <c r="KJG49" s="471"/>
      <c r="KJH49" s="472"/>
      <c r="KJI49" s="473"/>
      <c r="KJJ49" s="474"/>
      <c r="KJK49" s="471"/>
      <c r="KJL49" s="472"/>
      <c r="KJM49" s="473"/>
      <c r="KJN49" s="474"/>
      <c r="KJO49" s="471"/>
      <c r="KJP49" s="472"/>
      <c r="KJQ49" s="473"/>
      <c r="KJR49" s="474"/>
      <c r="KJS49" s="471"/>
      <c r="KJT49" s="472"/>
      <c r="KJU49" s="473"/>
      <c r="KJV49" s="474"/>
      <c r="KJW49" s="471"/>
      <c r="KJX49" s="472"/>
      <c r="KJY49" s="473"/>
      <c r="KJZ49" s="474"/>
      <c r="KKA49" s="471"/>
      <c r="KKB49" s="472"/>
      <c r="KKC49" s="473"/>
      <c r="KKD49" s="474"/>
      <c r="KKE49" s="471"/>
      <c r="KKF49" s="472"/>
      <c r="KKG49" s="473"/>
      <c r="KKH49" s="474"/>
      <c r="KKI49" s="471"/>
      <c r="KKJ49" s="472"/>
      <c r="KKK49" s="473"/>
      <c r="KKL49" s="474"/>
      <c r="KKM49" s="471"/>
      <c r="KKN49" s="472"/>
      <c r="KKO49" s="473"/>
      <c r="KKP49" s="474"/>
      <c r="KKQ49" s="471"/>
      <c r="KKR49" s="472"/>
      <c r="KKS49" s="473"/>
      <c r="KKT49" s="474"/>
      <c r="KKU49" s="471"/>
      <c r="KKV49" s="472"/>
      <c r="KKW49" s="473"/>
      <c r="KKX49" s="474"/>
      <c r="KKY49" s="471"/>
      <c r="KKZ49" s="472"/>
      <c r="KLA49" s="473"/>
      <c r="KLB49" s="474"/>
      <c r="KLC49" s="471"/>
      <c r="KLD49" s="472"/>
      <c r="KLE49" s="473"/>
      <c r="KLF49" s="474"/>
      <c r="KLG49" s="471"/>
      <c r="KLH49" s="472"/>
      <c r="KLI49" s="473"/>
      <c r="KLJ49" s="474"/>
      <c r="KLK49" s="471"/>
      <c r="KLL49" s="472"/>
      <c r="KLM49" s="473"/>
      <c r="KLN49" s="474"/>
      <c r="KLO49" s="471"/>
      <c r="KLP49" s="472"/>
      <c r="KLQ49" s="473"/>
      <c r="KLR49" s="474"/>
      <c r="KLS49" s="471"/>
      <c r="KLT49" s="472"/>
      <c r="KLU49" s="473"/>
      <c r="KLV49" s="474"/>
      <c r="KLW49" s="471"/>
      <c r="KLX49" s="472"/>
      <c r="KLY49" s="473"/>
      <c r="KLZ49" s="474"/>
      <c r="KMA49" s="471"/>
      <c r="KMB49" s="472"/>
      <c r="KMC49" s="473"/>
      <c r="KMD49" s="474"/>
      <c r="KME49" s="471"/>
      <c r="KMF49" s="472"/>
      <c r="KMG49" s="473"/>
      <c r="KMH49" s="474"/>
      <c r="KMI49" s="471"/>
      <c r="KMJ49" s="472"/>
      <c r="KMK49" s="473"/>
      <c r="KML49" s="474"/>
      <c r="KMM49" s="471"/>
      <c r="KMN49" s="472"/>
      <c r="KMO49" s="473"/>
      <c r="KMP49" s="474"/>
      <c r="KMQ49" s="471"/>
      <c r="KMR49" s="472"/>
      <c r="KMS49" s="473"/>
      <c r="KMT49" s="474"/>
      <c r="KMU49" s="471"/>
      <c r="KMV49" s="472"/>
      <c r="KMW49" s="473"/>
      <c r="KMX49" s="474"/>
      <c r="KMY49" s="471"/>
      <c r="KMZ49" s="472"/>
      <c r="KNA49" s="473"/>
      <c r="KNB49" s="474"/>
      <c r="KNC49" s="471"/>
      <c r="KND49" s="472"/>
      <c r="KNE49" s="473"/>
      <c r="KNF49" s="474"/>
      <c r="KNG49" s="471"/>
      <c r="KNH49" s="472"/>
      <c r="KNI49" s="473"/>
      <c r="KNJ49" s="474"/>
      <c r="KNK49" s="471"/>
      <c r="KNL49" s="472"/>
      <c r="KNM49" s="473"/>
      <c r="KNN49" s="474"/>
      <c r="KNO49" s="471"/>
      <c r="KNP49" s="472"/>
      <c r="KNQ49" s="473"/>
      <c r="KNR49" s="474"/>
      <c r="KNS49" s="471"/>
      <c r="KNT49" s="472"/>
      <c r="KNU49" s="473"/>
      <c r="KNV49" s="474"/>
      <c r="KNW49" s="471"/>
      <c r="KNX49" s="472"/>
      <c r="KNY49" s="473"/>
      <c r="KNZ49" s="474"/>
      <c r="KOA49" s="471"/>
      <c r="KOB49" s="472"/>
      <c r="KOC49" s="473"/>
      <c r="KOD49" s="474"/>
      <c r="KOE49" s="471"/>
      <c r="KOF49" s="472"/>
      <c r="KOG49" s="473"/>
      <c r="KOH49" s="474"/>
      <c r="KOI49" s="471"/>
      <c r="KOJ49" s="472"/>
      <c r="KOK49" s="473"/>
      <c r="KOL49" s="474"/>
      <c r="KOM49" s="471"/>
      <c r="KON49" s="472"/>
      <c r="KOO49" s="473"/>
      <c r="KOP49" s="474"/>
      <c r="KOQ49" s="471"/>
      <c r="KOR49" s="472"/>
      <c r="KOS49" s="473"/>
      <c r="KOT49" s="474"/>
      <c r="KOU49" s="471"/>
      <c r="KOV49" s="472"/>
      <c r="KOW49" s="473"/>
      <c r="KOX49" s="474"/>
      <c r="KOY49" s="471"/>
      <c r="KOZ49" s="472"/>
      <c r="KPA49" s="473"/>
      <c r="KPB49" s="474"/>
      <c r="KPC49" s="471"/>
      <c r="KPD49" s="472"/>
      <c r="KPE49" s="473"/>
      <c r="KPF49" s="474"/>
      <c r="KPG49" s="471"/>
      <c r="KPH49" s="472"/>
      <c r="KPI49" s="473"/>
      <c r="KPJ49" s="474"/>
      <c r="KPK49" s="471"/>
      <c r="KPL49" s="472"/>
      <c r="KPM49" s="473"/>
      <c r="KPN49" s="474"/>
      <c r="KPO49" s="471"/>
      <c r="KPP49" s="472"/>
      <c r="KPQ49" s="473"/>
      <c r="KPR49" s="474"/>
      <c r="KPS49" s="471"/>
      <c r="KPT49" s="472"/>
      <c r="KPU49" s="473"/>
      <c r="KPV49" s="474"/>
      <c r="KPW49" s="471"/>
      <c r="KPX49" s="472"/>
      <c r="KPY49" s="473"/>
      <c r="KPZ49" s="474"/>
      <c r="KQA49" s="471"/>
      <c r="KQB49" s="472"/>
      <c r="KQC49" s="473"/>
      <c r="KQD49" s="474"/>
      <c r="KQE49" s="471"/>
      <c r="KQF49" s="472"/>
      <c r="KQG49" s="473"/>
      <c r="KQH49" s="474"/>
      <c r="KQI49" s="471"/>
      <c r="KQJ49" s="472"/>
      <c r="KQK49" s="473"/>
      <c r="KQL49" s="474"/>
      <c r="KQM49" s="471"/>
      <c r="KQN49" s="472"/>
      <c r="KQO49" s="473"/>
      <c r="KQP49" s="474"/>
      <c r="KQQ49" s="471"/>
      <c r="KQR49" s="472"/>
      <c r="KQS49" s="473"/>
      <c r="KQT49" s="474"/>
      <c r="KQU49" s="471"/>
      <c r="KQV49" s="472"/>
      <c r="KQW49" s="473"/>
      <c r="KQX49" s="474"/>
      <c r="KQY49" s="471"/>
      <c r="KQZ49" s="472"/>
      <c r="KRA49" s="473"/>
      <c r="KRB49" s="474"/>
      <c r="KRC49" s="471"/>
      <c r="KRD49" s="472"/>
      <c r="KRE49" s="473"/>
      <c r="KRF49" s="474"/>
      <c r="KRG49" s="471"/>
      <c r="KRH49" s="472"/>
      <c r="KRI49" s="473"/>
      <c r="KRJ49" s="474"/>
      <c r="KRK49" s="471"/>
      <c r="KRL49" s="472"/>
      <c r="KRM49" s="473"/>
      <c r="KRN49" s="474"/>
      <c r="KRO49" s="471"/>
      <c r="KRP49" s="472"/>
      <c r="KRQ49" s="473"/>
      <c r="KRR49" s="474"/>
      <c r="KRS49" s="471"/>
      <c r="KRT49" s="472"/>
      <c r="KRU49" s="473"/>
      <c r="KRV49" s="474"/>
      <c r="KRW49" s="471"/>
      <c r="KRX49" s="472"/>
      <c r="KRY49" s="473"/>
      <c r="KRZ49" s="474"/>
      <c r="KSA49" s="471"/>
      <c r="KSB49" s="472"/>
      <c r="KSC49" s="473"/>
      <c r="KSD49" s="474"/>
      <c r="KSE49" s="471"/>
      <c r="KSF49" s="472"/>
      <c r="KSG49" s="473"/>
      <c r="KSH49" s="474"/>
      <c r="KSI49" s="471"/>
      <c r="KSJ49" s="472"/>
      <c r="KSK49" s="473"/>
      <c r="KSL49" s="474"/>
      <c r="KSM49" s="471"/>
      <c r="KSN49" s="472"/>
      <c r="KSO49" s="473"/>
      <c r="KSP49" s="474"/>
      <c r="KSQ49" s="471"/>
      <c r="KSR49" s="472"/>
      <c r="KSS49" s="473"/>
      <c r="KST49" s="474"/>
      <c r="KSU49" s="471"/>
      <c r="KSV49" s="472"/>
      <c r="KSW49" s="473"/>
      <c r="KSX49" s="474"/>
      <c r="KSY49" s="471"/>
      <c r="KSZ49" s="472"/>
      <c r="KTA49" s="473"/>
      <c r="KTB49" s="474"/>
      <c r="KTC49" s="471"/>
      <c r="KTD49" s="472"/>
      <c r="KTE49" s="473"/>
      <c r="KTF49" s="474"/>
      <c r="KTG49" s="471"/>
      <c r="KTH49" s="472"/>
      <c r="KTI49" s="473"/>
      <c r="KTJ49" s="474"/>
      <c r="KTK49" s="471"/>
      <c r="KTL49" s="472"/>
      <c r="KTM49" s="473"/>
      <c r="KTN49" s="474"/>
      <c r="KTO49" s="471"/>
      <c r="KTP49" s="472"/>
      <c r="KTQ49" s="473"/>
      <c r="KTR49" s="474"/>
      <c r="KTS49" s="471"/>
      <c r="KTT49" s="472"/>
      <c r="KTU49" s="473"/>
      <c r="KTV49" s="474"/>
      <c r="KTW49" s="471"/>
      <c r="KTX49" s="472"/>
      <c r="KTY49" s="473"/>
      <c r="KTZ49" s="474"/>
      <c r="KUA49" s="471"/>
      <c r="KUB49" s="472"/>
      <c r="KUC49" s="473"/>
      <c r="KUD49" s="474"/>
      <c r="KUE49" s="471"/>
      <c r="KUF49" s="472"/>
      <c r="KUG49" s="473"/>
      <c r="KUH49" s="474"/>
      <c r="KUI49" s="471"/>
      <c r="KUJ49" s="472"/>
      <c r="KUK49" s="473"/>
      <c r="KUL49" s="474"/>
      <c r="KUM49" s="471"/>
      <c r="KUN49" s="472"/>
      <c r="KUO49" s="473"/>
      <c r="KUP49" s="474"/>
      <c r="KUQ49" s="471"/>
      <c r="KUR49" s="472"/>
      <c r="KUS49" s="473"/>
      <c r="KUT49" s="474"/>
      <c r="KUU49" s="471"/>
      <c r="KUV49" s="472"/>
      <c r="KUW49" s="473"/>
      <c r="KUX49" s="474"/>
      <c r="KUY49" s="471"/>
      <c r="KUZ49" s="472"/>
      <c r="KVA49" s="473"/>
      <c r="KVB49" s="474"/>
      <c r="KVC49" s="471"/>
      <c r="KVD49" s="472"/>
      <c r="KVE49" s="473"/>
      <c r="KVF49" s="474"/>
      <c r="KVG49" s="471"/>
      <c r="KVH49" s="472"/>
      <c r="KVI49" s="473"/>
      <c r="KVJ49" s="474"/>
      <c r="KVK49" s="471"/>
      <c r="KVL49" s="472"/>
      <c r="KVM49" s="473"/>
      <c r="KVN49" s="474"/>
      <c r="KVO49" s="471"/>
      <c r="KVP49" s="472"/>
      <c r="KVQ49" s="473"/>
      <c r="KVR49" s="474"/>
      <c r="KVS49" s="471"/>
      <c r="KVT49" s="472"/>
      <c r="KVU49" s="473"/>
      <c r="KVV49" s="474"/>
      <c r="KVW49" s="471"/>
      <c r="KVX49" s="472"/>
      <c r="KVY49" s="473"/>
      <c r="KVZ49" s="474"/>
      <c r="KWA49" s="471"/>
      <c r="KWB49" s="472"/>
      <c r="KWC49" s="473"/>
      <c r="KWD49" s="474"/>
      <c r="KWE49" s="471"/>
      <c r="KWF49" s="472"/>
      <c r="KWG49" s="473"/>
      <c r="KWH49" s="474"/>
      <c r="KWI49" s="471"/>
      <c r="KWJ49" s="472"/>
      <c r="KWK49" s="473"/>
      <c r="KWL49" s="474"/>
      <c r="KWM49" s="471"/>
      <c r="KWN49" s="472"/>
      <c r="KWO49" s="473"/>
      <c r="KWP49" s="474"/>
      <c r="KWQ49" s="471"/>
      <c r="KWR49" s="472"/>
      <c r="KWS49" s="473"/>
      <c r="KWT49" s="474"/>
      <c r="KWU49" s="471"/>
      <c r="KWV49" s="472"/>
      <c r="KWW49" s="473"/>
      <c r="KWX49" s="474"/>
      <c r="KWY49" s="471"/>
      <c r="KWZ49" s="472"/>
      <c r="KXA49" s="473"/>
      <c r="KXB49" s="474"/>
      <c r="KXC49" s="471"/>
      <c r="KXD49" s="472"/>
      <c r="KXE49" s="473"/>
      <c r="KXF49" s="474"/>
      <c r="KXG49" s="471"/>
      <c r="KXH49" s="472"/>
      <c r="KXI49" s="473"/>
      <c r="KXJ49" s="474"/>
      <c r="KXK49" s="471"/>
      <c r="KXL49" s="472"/>
      <c r="KXM49" s="473"/>
      <c r="KXN49" s="474"/>
      <c r="KXO49" s="471"/>
      <c r="KXP49" s="472"/>
      <c r="KXQ49" s="473"/>
      <c r="KXR49" s="474"/>
      <c r="KXS49" s="471"/>
      <c r="KXT49" s="472"/>
      <c r="KXU49" s="473"/>
      <c r="KXV49" s="474"/>
      <c r="KXW49" s="471"/>
      <c r="KXX49" s="472"/>
      <c r="KXY49" s="473"/>
      <c r="KXZ49" s="474"/>
      <c r="KYA49" s="471"/>
      <c r="KYB49" s="472"/>
      <c r="KYC49" s="473"/>
      <c r="KYD49" s="474"/>
      <c r="KYE49" s="471"/>
      <c r="KYF49" s="472"/>
      <c r="KYG49" s="473"/>
      <c r="KYH49" s="474"/>
      <c r="KYI49" s="471"/>
      <c r="KYJ49" s="472"/>
      <c r="KYK49" s="473"/>
      <c r="KYL49" s="474"/>
      <c r="KYM49" s="471"/>
      <c r="KYN49" s="472"/>
      <c r="KYO49" s="473"/>
      <c r="KYP49" s="474"/>
      <c r="KYQ49" s="471"/>
      <c r="KYR49" s="472"/>
      <c r="KYS49" s="473"/>
      <c r="KYT49" s="474"/>
      <c r="KYU49" s="471"/>
      <c r="KYV49" s="472"/>
      <c r="KYW49" s="473"/>
      <c r="KYX49" s="474"/>
      <c r="KYY49" s="471"/>
      <c r="KYZ49" s="472"/>
      <c r="KZA49" s="473"/>
      <c r="KZB49" s="474"/>
      <c r="KZC49" s="471"/>
      <c r="KZD49" s="472"/>
      <c r="KZE49" s="473"/>
      <c r="KZF49" s="474"/>
      <c r="KZG49" s="471"/>
      <c r="KZH49" s="472"/>
      <c r="KZI49" s="473"/>
      <c r="KZJ49" s="474"/>
      <c r="KZK49" s="471"/>
      <c r="KZL49" s="472"/>
      <c r="KZM49" s="473"/>
      <c r="KZN49" s="474"/>
      <c r="KZO49" s="471"/>
      <c r="KZP49" s="472"/>
      <c r="KZQ49" s="473"/>
      <c r="KZR49" s="474"/>
      <c r="KZS49" s="471"/>
      <c r="KZT49" s="472"/>
      <c r="KZU49" s="473"/>
      <c r="KZV49" s="474"/>
      <c r="KZW49" s="471"/>
      <c r="KZX49" s="472"/>
      <c r="KZY49" s="473"/>
      <c r="KZZ49" s="474"/>
      <c r="LAA49" s="471"/>
      <c r="LAB49" s="472"/>
      <c r="LAC49" s="473"/>
      <c r="LAD49" s="474"/>
      <c r="LAE49" s="471"/>
      <c r="LAF49" s="472"/>
      <c r="LAG49" s="473"/>
      <c r="LAH49" s="474"/>
      <c r="LAI49" s="471"/>
      <c r="LAJ49" s="472"/>
      <c r="LAK49" s="473"/>
      <c r="LAL49" s="474"/>
      <c r="LAM49" s="471"/>
      <c r="LAN49" s="472"/>
      <c r="LAO49" s="473"/>
      <c r="LAP49" s="474"/>
      <c r="LAQ49" s="471"/>
      <c r="LAR49" s="472"/>
      <c r="LAS49" s="473"/>
      <c r="LAT49" s="474"/>
      <c r="LAU49" s="471"/>
      <c r="LAV49" s="472"/>
      <c r="LAW49" s="473"/>
      <c r="LAX49" s="474"/>
      <c r="LAY49" s="471"/>
      <c r="LAZ49" s="472"/>
      <c r="LBA49" s="473"/>
      <c r="LBB49" s="474"/>
      <c r="LBC49" s="471"/>
      <c r="LBD49" s="472"/>
      <c r="LBE49" s="473"/>
      <c r="LBF49" s="474"/>
      <c r="LBG49" s="471"/>
      <c r="LBH49" s="472"/>
      <c r="LBI49" s="473"/>
      <c r="LBJ49" s="474"/>
      <c r="LBK49" s="471"/>
      <c r="LBL49" s="472"/>
      <c r="LBM49" s="473"/>
      <c r="LBN49" s="474"/>
      <c r="LBO49" s="471"/>
      <c r="LBP49" s="472"/>
      <c r="LBQ49" s="473"/>
      <c r="LBR49" s="474"/>
      <c r="LBS49" s="471"/>
      <c r="LBT49" s="472"/>
      <c r="LBU49" s="473"/>
      <c r="LBV49" s="474"/>
      <c r="LBW49" s="471"/>
      <c r="LBX49" s="472"/>
      <c r="LBY49" s="473"/>
      <c r="LBZ49" s="474"/>
      <c r="LCA49" s="471"/>
      <c r="LCB49" s="472"/>
      <c r="LCC49" s="473"/>
      <c r="LCD49" s="474"/>
      <c r="LCE49" s="471"/>
      <c r="LCF49" s="472"/>
      <c r="LCG49" s="473"/>
      <c r="LCH49" s="474"/>
      <c r="LCI49" s="471"/>
      <c r="LCJ49" s="472"/>
      <c r="LCK49" s="473"/>
      <c r="LCL49" s="474"/>
      <c r="LCM49" s="471"/>
      <c r="LCN49" s="472"/>
      <c r="LCO49" s="473"/>
      <c r="LCP49" s="474"/>
      <c r="LCQ49" s="471"/>
      <c r="LCR49" s="472"/>
      <c r="LCS49" s="473"/>
      <c r="LCT49" s="474"/>
      <c r="LCU49" s="471"/>
      <c r="LCV49" s="472"/>
      <c r="LCW49" s="473"/>
      <c r="LCX49" s="474"/>
      <c r="LCY49" s="471"/>
      <c r="LCZ49" s="472"/>
      <c r="LDA49" s="473"/>
      <c r="LDB49" s="474"/>
      <c r="LDC49" s="471"/>
      <c r="LDD49" s="472"/>
      <c r="LDE49" s="473"/>
      <c r="LDF49" s="474"/>
      <c r="LDG49" s="471"/>
      <c r="LDH49" s="472"/>
      <c r="LDI49" s="473"/>
      <c r="LDJ49" s="474"/>
      <c r="LDK49" s="471"/>
      <c r="LDL49" s="472"/>
      <c r="LDM49" s="473"/>
      <c r="LDN49" s="474"/>
      <c r="LDO49" s="471"/>
      <c r="LDP49" s="472"/>
      <c r="LDQ49" s="473"/>
      <c r="LDR49" s="474"/>
      <c r="LDS49" s="471"/>
      <c r="LDT49" s="472"/>
      <c r="LDU49" s="473"/>
      <c r="LDV49" s="474"/>
      <c r="LDW49" s="471"/>
      <c r="LDX49" s="472"/>
      <c r="LDY49" s="473"/>
      <c r="LDZ49" s="474"/>
      <c r="LEA49" s="471"/>
      <c r="LEB49" s="472"/>
      <c r="LEC49" s="473"/>
      <c r="LED49" s="474"/>
      <c r="LEE49" s="471"/>
      <c r="LEF49" s="472"/>
      <c r="LEG49" s="473"/>
      <c r="LEH49" s="474"/>
      <c r="LEI49" s="471"/>
      <c r="LEJ49" s="472"/>
      <c r="LEK49" s="473"/>
      <c r="LEL49" s="474"/>
      <c r="LEM49" s="471"/>
      <c r="LEN49" s="472"/>
      <c r="LEO49" s="473"/>
      <c r="LEP49" s="474"/>
      <c r="LEQ49" s="471"/>
      <c r="LER49" s="472"/>
      <c r="LES49" s="473"/>
      <c r="LET49" s="474"/>
      <c r="LEU49" s="471"/>
      <c r="LEV49" s="472"/>
      <c r="LEW49" s="473"/>
      <c r="LEX49" s="474"/>
      <c r="LEY49" s="471"/>
      <c r="LEZ49" s="472"/>
      <c r="LFA49" s="473"/>
      <c r="LFB49" s="474"/>
      <c r="LFC49" s="471"/>
      <c r="LFD49" s="472"/>
      <c r="LFE49" s="473"/>
      <c r="LFF49" s="474"/>
      <c r="LFG49" s="471"/>
      <c r="LFH49" s="472"/>
      <c r="LFI49" s="473"/>
      <c r="LFJ49" s="474"/>
      <c r="LFK49" s="471"/>
      <c r="LFL49" s="472"/>
      <c r="LFM49" s="473"/>
      <c r="LFN49" s="474"/>
      <c r="LFO49" s="471"/>
      <c r="LFP49" s="472"/>
      <c r="LFQ49" s="473"/>
      <c r="LFR49" s="474"/>
      <c r="LFS49" s="471"/>
      <c r="LFT49" s="472"/>
      <c r="LFU49" s="473"/>
      <c r="LFV49" s="474"/>
      <c r="LFW49" s="471"/>
      <c r="LFX49" s="472"/>
      <c r="LFY49" s="473"/>
      <c r="LFZ49" s="474"/>
      <c r="LGA49" s="471"/>
      <c r="LGB49" s="472"/>
      <c r="LGC49" s="473"/>
      <c r="LGD49" s="474"/>
      <c r="LGE49" s="471"/>
      <c r="LGF49" s="472"/>
      <c r="LGG49" s="473"/>
      <c r="LGH49" s="474"/>
      <c r="LGI49" s="471"/>
      <c r="LGJ49" s="472"/>
      <c r="LGK49" s="473"/>
      <c r="LGL49" s="474"/>
      <c r="LGM49" s="471"/>
      <c r="LGN49" s="472"/>
      <c r="LGO49" s="473"/>
      <c r="LGP49" s="474"/>
      <c r="LGQ49" s="471"/>
      <c r="LGR49" s="472"/>
      <c r="LGS49" s="473"/>
      <c r="LGT49" s="474"/>
      <c r="LGU49" s="471"/>
      <c r="LGV49" s="472"/>
      <c r="LGW49" s="473"/>
      <c r="LGX49" s="474"/>
      <c r="LGY49" s="471"/>
      <c r="LGZ49" s="472"/>
      <c r="LHA49" s="473"/>
      <c r="LHB49" s="474"/>
      <c r="LHC49" s="471"/>
      <c r="LHD49" s="472"/>
      <c r="LHE49" s="473"/>
      <c r="LHF49" s="474"/>
      <c r="LHG49" s="471"/>
      <c r="LHH49" s="472"/>
      <c r="LHI49" s="473"/>
      <c r="LHJ49" s="474"/>
      <c r="LHK49" s="471"/>
      <c r="LHL49" s="472"/>
      <c r="LHM49" s="473"/>
      <c r="LHN49" s="474"/>
      <c r="LHO49" s="471"/>
      <c r="LHP49" s="472"/>
      <c r="LHQ49" s="473"/>
      <c r="LHR49" s="474"/>
      <c r="LHS49" s="471"/>
      <c r="LHT49" s="472"/>
      <c r="LHU49" s="473"/>
      <c r="LHV49" s="474"/>
      <c r="LHW49" s="471"/>
      <c r="LHX49" s="472"/>
      <c r="LHY49" s="473"/>
      <c r="LHZ49" s="474"/>
      <c r="LIA49" s="471"/>
      <c r="LIB49" s="472"/>
      <c r="LIC49" s="473"/>
      <c r="LID49" s="474"/>
      <c r="LIE49" s="471"/>
      <c r="LIF49" s="472"/>
      <c r="LIG49" s="473"/>
      <c r="LIH49" s="474"/>
      <c r="LII49" s="471"/>
      <c r="LIJ49" s="472"/>
      <c r="LIK49" s="473"/>
      <c r="LIL49" s="474"/>
      <c r="LIM49" s="471"/>
      <c r="LIN49" s="472"/>
      <c r="LIO49" s="473"/>
      <c r="LIP49" s="474"/>
      <c r="LIQ49" s="471"/>
      <c r="LIR49" s="472"/>
      <c r="LIS49" s="473"/>
      <c r="LIT49" s="474"/>
      <c r="LIU49" s="471"/>
      <c r="LIV49" s="472"/>
      <c r="LIW49" s="473"/>
      <c r="LIX49" s="474"/>
      <c r="LIY49" s="471"/>
      <c r="LIZ49" s="472"/>
      <c r="LJA49" s="473"/>
      <c r="LJB49" s="474"/>
      <c r="LJC49" s="471"/>
      <c r="LJD49" s="472"/>
      <c r="LJE49" s="473"/>
      <c r="LJF49" s="474"/>
      <c r="LJG49" s="471"/>
      <c r="LJH49" s="472"/>
      <c r="LJI49" s="473"/>
      <c r="LJJ49" s="474"/>
      <c r="LJK49" s="471"/>
      <c r="LJL49" s="472"/>
      <c r="LJM49" s="473"/>
      <c r="LJN49" s="474"/>
      <c r="LJO49" s="471"/>
      <c r="LJP49" s="472"/>
      <c r="LJQ49" s="473"/>
      <c r="LJR49" s="474"/>
      <c r="LJS49" s="471"/>
      <c r="LJT49" s="472"/>
      <c r="LJU49" s="473"/>
      <c r="LJV49" s="474"/>
      <c r="LJW49" s="471"/>
      <c r="LJX49" s="472"/>
      <c r="LJY49" s="473"/>
      <c r="LJZ49" s="474"/>
      <c r="LKA49" s="471"/>
      <c r="LKB49" s="472"/>
      <c r="LKC49" s="473"/>
      <c r="LKD49" s="474"/>
      <c r="LKE49" s="471"/>
      <c r="LKF49" s="472"/>
      <c r="LKG49" s="473"/>
      <c r="LKH49" s="474"/>
      <c r="LKI49" s="471"/>
      <c r="LKJ49" s="472"/>
      <c r="LKK49" s="473"/>
      <c r="LKL49" s="474"/>
      <c r="LKM49" s="471"/>
      <c r="LKN49" s="472"/>
      <c r="LKO49" s="473"/>
      <c r="LKP49" s="474"/>
      <c r="LKQ49" s="471"/>
      <c r="LKR49" s="472"/>
      <c r="LKS49" s="473"/>
      <c r="LKT49" s="474"/>
      <c r="LKU49" s="471"/>
      <c r="LKV49" s="472"/>
      <c r="LKW49" s="473"/>
      <c r="LKX49" s="474"/>
      <c r="LKY49" s="471"/>
      <c r="LKZ49" s="472"/>
      <c r="LLA49" s="473"/>
      <c r="LLB49" s="474"/>
      <c r="LLC49" s="471"/>
      <c r="LLD49" s="472"/>
      <c r="LLE49" s="473"/>
      <c r="LLF49" s="474"/>
      <c r="LLG49" s="471"/>
      <c r="LLH49" s="472"/>
      <c r="LLI49" s="473"/>
      <c r="LLJ49" s="474"/>
      <c r="LLK49" s="471"/>
      <c r="LLL49" s="472"/>
      <c r="LLM49" s="473"/>
      <c r="LLN49" s="474"/>
      <c r="LLO49" s="471"/>
      <c r="LLP49" s="472"/>
      <c r="LLQ49" s="473"/>
      <c r="LLR49" s="474"/>
      <c r="LLS49" s="471"/>
      <c r="LLT49" s="472"/>
      <c r="LLU49" s="473"/>
      <c r="LLV49" s="474"/>
      <c r="LLW49" s="471"/>
      <c r="LLX49" s="472"/>
      <c r="LLY49" s="473"/>
      <c r="LLZ49" s="474"/>
      <c r="LMA49" s="471"/>
      <c r="LMB49" s="472"/>
      <c r="LMC49" s="473"/>
      <c r="LMD49" s="474"/>
      <c r="LME49" s="471"/>
      <c r="LMF49" s="472"/>
      <c r="LMG49" s="473"/>
      <c r="LMH49" s="474"/>
      <c r="LMI49" s="471"/>
      <c r="LMJ49" s="472"/>
      <c r="LMK49" s="473"/>
      <c r="LML49" s="474"/>
      <c r="LMM49" s="471"/>
      <c r="LMN49" s="472"/>
      <c r="LMO49" s="473"/>
      <c r="LMP49" s="474"/>
      <c r="LMQ49" s="471"/>
      <c r="LMR49" s="472"/>
      <c r="LMS49" s="473"/>
      <c r="LMT49" s="474"/>
      <c r="LMU49" s="471"/>
      <c r="LMV49" s="472"/>
      <c r="LMW49" s="473"/>
      <c r="LMX49" s="474"/>
      <c r="LMY49" s="471"/>
      <c r="LMZ49" s="472"/>
      <c r="LNA49" s="473"/>
      <c r="LNB49" s="474"/>
      <c r="LNC49" s="471"/>
      <c r="LND49" s="472"/>
      <c r="LNE49" s="473"/>
      <c r="LNF49" s="474"/>
      <c r="LNG49" s="471"/>
      <c r="LNH49" s="472"/>
      <c r="LNI49" s="473"/>
      <c r="LNJ49" s="474"/>
      <c r="LNK49" s="471"/>
      <c r="LNL49" s="472"/>
      <c r="LNM49" s="473"/>
      <c r="LNN49" s="474"/>
      <c r="LNO49" s="471"/>
      <c r="LNP49" s="472"/>
      <c r="LNQ49" s="473"/>
      <c r="LNR49" s="474"/>
      <c r="LNS49" s="471"/>
      <c r="LNT49" s="472"/>
      <c r="LNU49" s="473"/>
      <c r="LNV49" s="474"/>
      <c r="LNW49" s="471"/>
      <c r="LNX49" s="472"/>
      <c r="LNY49" s="473"/>
      <c r="LNZ49" s="474"/>
      <c r="LOA49" s="471"/>
      <c r="LOB49" s="472"/>
      <c r="LOC49" s="473"/>
      <c r="LOD49" s="474"/>
      <c r="LOE49" s="471"/>
      <c r="LOF49" s="472"/>
      <c r="LOG49" s="473"/>
      <c r="LOH49" s="474"/>
      <c r="LOI49" s="471"/>
      <c r="LOJ49" s="472"/>
      <c r="LOK49" s="473"/>
      <c r="LOL49" s="474"/>
      <c r="LOM49" s="471"/>
      <c r="LON49" s="472"/>
      <c r="LOO49" s="473"/>
      <c r="LOP49" s="474"/>
      <c r="LOQ49" s="471"/>
      <c r="LOR49" s="472"/>
      <c r="LOS49" s="473"/>
      <c r="LOT49" s="474"/>
      <c r="LOU49" s="471"/>
      <c r="LOV49" s="472"/>
      <c r="LOW49" s="473"/>
      <c r="LOX49" s="474"/>
      <c r="LOY49" s="471"/>
      <c r="LOZ49" s="472"/>
      <c r="LPA49" s="473"/>
      <c r="LPB49" s="474"/>
      <c r="LPC49" s="471"/>
      <c r="LPD49" s="472"/>
      <c r="LPE49" s="473"/>
      <c r="LPF49" s="474"/>
      <c r="LPG49" s="471"/>
      <c r="LPH49" s="472"/>
      <c r="LPI49" s="473"/>
      <c r="LPJ49" s="474"/>
      <c r="LPK49" s="471"/>
      <c r="LPL49" s="472"/>
      <c r="LPM49" s="473"/>
      <c r="LPN49" s="474"/>
      <c r="LPO49" s="471"/>
      <c r="LPP49" s="472"/>
      <c r="LPQ49" s="473"/>
      <c r="LPR49" s="474"/>
      <c r="LPS49" s="471"/>
      <c r="LPT49" s="472"/>
      <c r="LPU49" s="473"/>
      <c r="LPV49" s="474"/>
      <c r="LPW49" s="471"/>
      <c r="LPX49" s="472"/>
      <c r="LPY49" s="473"/>
      <c r="LPZ49" s="474"/>
      <c r="LQA49" s="471"/>
      <c r="LQB49" s="472"/>
      <c r="LQC49" s="473"/>
      <c r="LQD49" s="474"/>
      <c r="LQE49" s="471"/>
      <c r="LQF49" s="472"/>
      <c r="LQG49" s="473"/>
      <c r="LQH49" s="474"/>
      <c r="LQI49" s="471"/>
      <c r="LQJ49" s="472"/>
      <c r="LQK49" s="473"/>
      <c r="LQL49" s="474"/>
      <c r="LQM49" s="471"/>
      <c r="LQN49" s="472"/>
      <c r="LQO49" s="473"/>
      <c r="LQP49" s="474"/>
      <c r="LQQ49" s="471"/>
      <c r="LQR49" s="472"/>
      <c r="LQS49" s="473"/>
      <c r="LQT49" s="474"/>
      <c r="LQU49" s="471"/>
      <c r="LQV49" s="472"/>
      <c r="LQW49" s="473"/>
      <c r="LQX49" s="474"/>
      <c r="LQY49" s="471"/>
      <c r="LQZ49" s="472"/>
      <c r="LRA49" s="473"/>
      <c r="LRB49" s="474"/>
      <c r="LRC49" s="471"/>
      <c r="LRD49" s="472"/>
      <c r="LRE49" s="473"/>
      <c r="LRF49" s="474"/>
      <c r="LRG49" s="471"/>
      <c r="LRH49" s="472"/>
      <c r="LRI49" s="473"/>
      <c r="LRJ49" s="474"/>
      <c r="LRK49" s="471"/>
      <c r="LRL49" s="472"/>
      <c r="LRM49" s="473"/>
      <c r="LRN49" s="474"/>
      <c r="LRO49" s="471"/>
      <c r="LRP49" s="472"/>
      <c r="LRQ49" s="473"/>
      <c r="LRR49" s="474"/>
      <c r="LRS49" s="471"/>
      <c r="LRT49" s="472"/>
      <c r="LRU49" s="473"/>
      <c r="LRV49" s="474"/>
      <c r="LRW49" s="471"/>
      <c r="LRX49" s="472"/>
      <c r="LRY49" s="473"/>
      <c r="LRZ49" s="474"/>
      <c r="LSA49" s="471"/>
      <c r="LSB49" s="472"/>
      <c r="LSC49" s="473"/>
      <c r="LSD49" s="474"/>
      <c r="LSE49" s="471"/>
      <c r="LSF49" s="472"/>
      <c r="LSG49" s="473"/>
      <c r="LSH49" s="474"/>
      <c r="LSI49" s="471"/>
      <c r="LSJ49" s="472"/>
      <c r="LSK49" s="473"/>
      <c r="LSL49" s="474"/>
      <c r="LSM49" s="471"/>
      <c r="LSN49" s="472"/>
      <c r="LSO49" s="473"/>
      <c r="LSP49" s="474"/>
      <c r="LSQ49" s="471"/>
      <c r="LSR49" s="472"/>
      <c r="LSS49" s="473"/>
      <c r="LST49" s="474"/>
      <c r="LSU49" s="471"/>
      <c r="LSV49" s="472"/>
      <c r="LSW49" s="473"/>
      <c r="LSX49" s="474"/>
      <c r="LSY49" s="471"/>
      <c r="LSZ49" s="472"/>
      <c r="LTA49" s="473"/>
      <c r="LTB49" s="474"/>
      <c r="LTC49" s="471"/>
      <c r="LTD49" s="472"/>
      <c r="LTE49" s="473"/>
      <c r="LTF49" s="474"/>
      <c r="LTG49" s="471"/>
      <c r="LTH49" s="472"/>
      <c r="LTI49" s="473"/>
      <c r="LTJ49" s="474"/>
      <c r="LTK49" s="471"/>
      <c r="LTL49" s="472"/>
      <c r="LTM49" s="473"/>
      <c r="LTN49" s="474"/>
      <c r="LTO49" s="471"/>
      <c r="LTP49" s="472"/>
      <c r="LTQ49" s="473"/>
      <c r="LTR49" s="474"/>
      <c r="LTS49" s="471"/>
      <c r="LTT49" s="472"/>
      <c r="LTU49" s="473"/>
      <c r="LTV49" s="474"/>
      <c r="LTW49" s="471"/>
      <c r="LTX49" s="472"/>
      <c r="LTY49" s="473"/>
      <c r="LTZ49" s="474"/>
      <c r="LUA49" s="471"/>
      <c r="LUB49" s="472"/>
      <c r="LUC49" s="473"/>
      <c r="LUD49" s="474"/>
      <c r="LUE49" s="471"/>
      <c r="LUF49" s="472"/>
      <c r="LUG49" s="473"/>
      <c r="LUH49" s="474"/>
      <c r="LUI49" s="471"/>
      <c r="LUJ49" s="472"/>
      <c r="LUK49" s="473"/>
      <c r="LUL49" s="474"/>
      <c r="LUM49" s="471"/>
      <c r="LUN49" s="472"/>
      <c r="LUO49" s="473"/>
      <c r="LUP49" s="474"/>
      <c r="LUQ49" s="471"/>
      <c r="LUR49" s="472"/>
      <c r="LUS49" s="473"/>
      <c r="LUT49" s="474"/>
      <c r="LUU49" s="471"/>
      <c r="LUV49" s="472"/>
      <c r="LUW49" s="473"/>
      <c r="LUX49" s="474"/>
      <c r="LUY49" s="471"/>
      <c r="LUZ49" s="472"/>
      <c r="LVA49" s="473"/>
      <c r="LVB49" s="474"/>
      <c r="LVC49" s="471"/>
      <c r="LVD49" s="472"/>
      <c r="LVE49" s="473"/>
      <c r="LVF49" s="474"/>
      <c r="LVG49" s="471"/>
      <c r="LVH49" s="472"/>
      <c r="LVI49" s="473"/>
      <c r="LVJ49" s="474"/>
      <c r="LVK49" s="471"/>
      <c r="LVL49" s="472"/>
      <c r="LVM49" s="473"/>
      <c r="LVN49" s="474"/>
      <c r="LVO49" s="471"/>
      <c r="LVP49" s="472"/>
      <c r="LVQ49" s="473"/>
      <c r="LVR49" s="474"/>
      <c r="LVS49" s="471"/>
      <c r="LVT49" s="472"/>
      <c r="LVU49" s="473"/>
      <c r="LVV49" s="474"/>
      <c r="LVW49" s="471"/>
      <c r="LVX49" s="472"/>
      <c r="LVY49" s="473"/>
      <c r="LVZ49" s="474"/>
      <c r="LWA49" s="471"/>
      <c r="LWB49" s="472"/>
      <c r="LWC49" s="473"/>
      <c r="LWD49" s="474"/>
      <c r="LWE49" s="471"/>
      <c r="LWF49" s="472"/>
      <c r="LWG49" s="473"/>
      <c r="LWH49" s="474"/>
      <c r="LWI49" s="471"/>
      <c r="LWJ49" s="472"/>
      <c r="LWK49" s="473"/>
      <c r="LWL49" s="474"/>
      <c r="LWM49" s="471"/>
      <c r="LWN49" s="472"/>
      <c r="LWO49" s="473"/>
      <c r="LWP49" s="474"/>
      <c r="LWQ49" s="471"/>
      <c r="LWR49" s="472"/>
      <c r="LWS49" s="473"/>
      <c r="LWT49" s="474"/>
      <c r="LWU49" s="471"/>
      <c r="LWV49" s="472"/>
      <c r="LWW49" s="473"/>
      <c r="LWX49" s="474"/>
      <c r="LWY49" s="471"/>
      <c r="LWZ49" s="472"/>
      <c r="LXA49" s="473"/>
      <c r="LXB49" s="474"/>
      <c r="LXC49" s="471"/>
      <c r="LXD49" s="472"/>
      <c r="LXE49" s="473"/>
      <c r="LXF49" s="474"/>
      <c r="LXG49" s="471"/>
      <c r="LXH49" s="472"/>
      <c r="LXI49" s="473"/>
      <c r="LXJ49" s="474"/>
      <c r="LXK49" s="471"/>
      <c r="LXL49" s="472"/>
      <c r="LXM49" s="473"/>
      <c r="LXN49" s="474"/>
      <c r="LXO49" s="471"/>
      <c r="LXP49" s="472"/>
      <c r="LXQ49" s="473"/>
      <c r="LXR49" s="474"/>
      <c r="LXS49" s="471"/>
      <c r="LXT49" s="472"/>
      <c r="LXU49" s="473"/>
      <c r="LXV49" s="474"/>
      <c r="LXW49" s="471"/>
      <c r="LXX49" s="472"/>
      <c r="LXY49" s="473"/>
      <c r="LXZ49" s="474"/>
      <c r="LYA49" s="471"/>
      <c r="LYB49" s="472"/>
      <c r="LYC49" s="473"/>
      <c r="LYD49" s="474"/>
      <c r="LYE49" s="471"/>
      <c r="LYF49" s="472"/>
      <c r="LYG49" s="473"/>
      <c r="LYH49" s="474"/>
      <c r="LYI49" s="471"/>
      <c r="LYJ49" s="472"/>
      <c r="LYK49" s="473"/>
      <c r="LYL49" s="474"/>
      <c r="LYM49" s="471"/>
      <c r="LYN49" s="472"/>
      <c r="LYO49" s="473"/>
      <c r="LYP49" s="474"/>
      <c r="LYQ49" s="471"/>
      <c r="LYR49" s="472"/>
      <c r="LYS49" s="473"/>
      <c r="LYT49" s="474"/>
      <c r="LYU49" s="471"/>
      <c r="LYV49" s="472"/>
      <c r="LYW49" s="473"/>
      <c r="LYX49" s="474"/>
      <c r="LYY49" s="471"/>
      <c r="LYZ49" s="472"/>
      <c r="LZA49" s="473"/>
      <c r="LZB49" s="474"/>
      <c r="LZC49" s="471"/>
      <c r="LZD49" s="472"/>
      <c r="LZE49" s="473"/>
      <c r="LZF49" s="474"/>
      <c r="LZG49" s="471"/>
      <c r="LZH49" s="472"/>
      <c r="LZI49" s="473"/>
      <c r="LZJ49" s="474"/>
      <c r="LZK49" s="471"/>
      <c r="LZL49" s="472"/>
      <c r="LZM49" s="473"/>
      <c r="LZN49" s="474"/>
      <c r="LZO49" s="471"/>
      <c r="LZP49" s="472"/>
      <c r="LZQ49" s="473"/>
      <c r="LZR49" s="474"/>
      <c r="LZS49" s="471"/>
      <c r="LZT49" s="472"/>
      <c r="LZU49" s="473"/>
      <c r="LZV49" s="474"/>
      <c r="LZW49" s="471"/>
      <c r="LZX49" s="472"/>
      <c r="LZY49" s="473"/>
      <c r="LZZ49" s="474"/>
      <c r="MAA49" s="471"/>
      <c r="MAB49" s="472"/>
      <c r="MAC49" s="473"/>
      <c r="MAD49" s="474"/>
      <c r="MAE49" s="471"/>
      <c r="MAF49" s="472"/>
      <c r="MAG49" s="473"/>
      <c r="MAH49" s="474"/>
      <c r="MAI49" s="471"/>
      <c r="MAJ49" s="472"/>
      <c r="MAK49" s="473"/>
      <c r="MAL49" s="474"/>
      <c r="MAM49" s="471"/>
      <c r="MAN49" s="472"/>
      <c r="MAO49" s="473"/>
      <c r="MAP49" s="474"/>
      <c r="MAQ49" s="471"/>
      <c r="MAR49" s="472"/>
      <c r="MAS49" s="473"/>
      <c r="MAT49" s="474"/>
      <c r="MAU49" s="471"/>
      <c r="MAV49" s="472"/>
      <c r="MAW49" s="473"/>
      <c r="MAX49" s="474"/>
      <c r="MAY49" s="471"/>
      <c r="MAZ49" s="472"/>
      <c r="MBA49" s="473"/>
      <c r="MBB49" s="474"/>
      <c r="MBC49" s="471"/>
      <c r="MBD49" s="472"/>
      <c r="MBE49" s="473"/>
      <c r="MBF49" s="474"/>
      <c r="MBG49" s="471"/>
      <c r="MBH49" s="472"/>
      <c r="MBI49" s="473"/>
      <c r="MBJ49" s="474"/>
      <c r="MBK49" s="471"/>
      <c r="MBL49" s="472"/>
      <c r="MBM49" s="473"/>
      <c r="MBN49" s="474"/>
      <c r="MBO49" s="471"/>
      <c r="MBP49" s="472"/>
      <c r="MBQ49" s="473"/>
      <c r="MBR49" s="474"/>
      <c r="MBS49" s="471"/>
      <c r="MBT49" s="472"/>
      <c r="MBU49" s="473"/>
      <c r="MBV49" s="474"/>
      <c r="MBW49" s="471"/>
      <c r="MBX49" s="472"/>
      <c r="MBY49" s="473"/>
      <c r="MBZ49" s="474"/>
      <c r="MCA49" s="471"/>
      <c r="MCB49" s="472"/>
      <c r="MCC49" s="473"/>
      <c r="MCD49" s="474"/>
      <c r="MCE49" s="471"/>
      <c r="MCF49" s="472"/>
      <c r="MCG49" s="473"/>
      <c r="MCH49" s="474"/>
      <c r="MCI49" s="471"/>
      <c r="MCJ49" s="472"/>
      <c r="MCK49" s="473"/>
      <c r="MCL49" s="474"/>
      <c r="MCM49" s="471"/>
      <c r="MCN49" s="472"/>
      <c r="MCO49" s="473"/>
      <c r="MCP49" s="474"/>
      <c r="MCQ49" s="471"/>
      <c r="MCR49" s="472"/>
      <c r="MCS49" s="473"/>
      <c r="MCT49" s="474"/>
      <c r="MCU49" s="471"/>
      <c r="MCV49" s="472"/>
      <c r="MCW49" s="473"/>
      <c r="MCX49" s="474"/>
      <c r="MCY49" s="471"/>
      <c r="MCZ49" s="472"/>
      <c r="MDA49" s="473"/>
      <c r="MDB49" s="474"/>
      <c r="MDC49" s="471"/>
      <c r="MDD49" s="472"/>
      <c r="MDE49" s="473"/>
      <c r="MDF49" s="474"/>
      <c r="MDG49" s="471"/>
      <c r="MDH49" s="472"/>
      <c r="MDI49" s="473"/>
      <c r="MDJ49" s="474"/>
      <c r="MDK49" s="471"/>
      <c r="MDL49" s="472"/>
      <c r="MDM49" s="473"/>
      <c r="MDN49" s="474"/>
      <c r="MDO49" s="471"/>
      <c r="MDP49" s="472"/>
      <c r="MDQ49" s="473"/>
      <c r="MDR49" s="474"/>
      <c r="MDS49" s="471"/>
      <c r="MDT49" s="472"/>
      <c r="MDU49" s="473"/>
      <c r="MDV49" s="474"/>
      <c r="MDW49" s="471"/>
      <c r="MDX49" s="472"/>
      <c r="MDY49" s="473"/>
      <c r="MDZ49" s="474"/>
      <c r="MEA49" s="471"/>
      <c r="MEB49" s="472"/>
      <c r="MEC49" s="473"/>
      <c r="MED49" s="474"/>
      <c r="MEE49" s="471"/>
      <c r="MEF49" s="472"/>
      <c r="MEG49" s="473"/>
      <c r="MEH49" s="474"/>
      <c r="MEI49" s="471"/>
      <c r="MEJ49" s="472"/>
      <c r="MEK49" s="473"/>
      <c r="MEL49" s="474"/>
      <c r="MEM49" s="471"/>
      <c r="MEN49" s="472"/>
      <c r="MEO49" s="473"/>
      <c r="MEP49" s="474"/>
      <c r="MEQ49" s="471"/>
      <c r="MER49" s="472"/>
      <c r="MES49" s="473"/>
      <c r="MET49" s="474"/>
      <c r="MEU49" s="471"/>
      <c r="MEV49" s="472"/>
      <c r="MEW49" s="473"/>
      <c r="MEX49" s="474"/>
      <c r="MEY49" s="471"/>
      <c r="MEZ49" s="472"/>
      <c r="MFA49" s="473"/>
      <c r="MFB49" s="474"/>
      <c r="MFC49" s="471"/>
      <c r="MFD49" s="472"/>
      <c r="MFE49" s="473"/>
      <c r="MFF49" s="474"/>
      <c r="MFG49" s="471"/>
      <c r="MFH49" s="472"/>
      <c r="MFI49" s="473"/>
      <c r="MFJ49" s="474"/>
      <c r="MFK49" s="471"/>
      <c r="MFL49" s="472"/>
      <c r="MFM49" s="473"/>
      <c r="MFN49" s="474"/>
      <c r="MFO49" s="471"/>
      <c r="MFP49" s="472"/>
      <c r="MFQ49" s="473"/>
      <c r="MFR49" s="474"/>
      <c r="MFS49" s="471"/>
      <c r="MFT49" s="472"/>
      <c r="MFU49" s="473"/>
      <c r="MFV49" s="474"/>
      <c r="MFW49" s="471"/>
      <c r="MFX49" s="472"/>
      <c r="MFY49" s="473"/>
      <c r="MFZ49" s="474"/>
      <c r="MGA49" s="471"/>
      <c r="MGB49" s="472"/>
      <c r="MGC49" s="473"/>
      <c r="MGD49" s="474"/>
      <c r="MGE49" s="471"/>
      <c r="MGF49" s="472"/>
      <c r="MGG49" s="473"/>
      <c r="MGH49" s="474"/>
      <c r="MGI49" s="471"/>
      <c r="MGJ49" s="472"/>
      <c r="MGK49" s="473"/>
      <c r="MGL49" s="474"/>
      <c r="MGM49" s="471"/>
      <c r="MGN49" s="472"/>
      <c r="MGO49" s="473"/>
      <c r="MGP49" s="474"/>
      <c r="MGQ49" s="471"/>
      <c r="MGR49" s="472"/>
      <c r="MGS49" s="473"/>
      <c r="MGT49" s="474"/>
      <c r="MGU49" s="471"/>
      <c r="MGV49" s="472"/>
      <c r="MGW49" s="473"/>
      <c r="MGX49" s="474"/>
      <c r="MGY49" s="471"/>
      <c r="MGZ49" s="472"/>
      <c r="MHA49" s="473"/>
      <c r="MHB49" s="474"/>
      <c r="MHC49" s="471"/>
      <c r="MHD49" s="472"/>
      <c r="MHE49" s="473"/>
      <c r="MHF49" s="474"/>
      <c r="MHG49" s="471"/>
      <c r="MHH49" s="472"/>
      <c r="MHI49" s="473"/>
      <c r="MHJ49" s="474"/>
      <c r="MHK49" s="471"/>
      <c r="MHL49" s="472"/>
      <c r="MHM49" s="473"/>
      <c r="MHN49" s="474"/>
      <c r="MHO49" s="471"/>
      <c r="MHP49" s="472"/>
      <c r="MHQ49" s="473"/>
      <c r="MHR49" s="474"/>
      <c r="MHS49" s="471"/>
      <c r="MHT49" s="472"/>
      <c r="MHU49" s="473"/>
      <c r="MHV49" s="474"/>
      <c r="MHW49" s="471"/>
      <c r="MHX49" s="472"/>
      <c r="MHY49" s="473"/>
      <c r="MHZ49" s="474"/>
      <c r="MIA49" s="471"/>
      <c r="MIB49" s="472"/>
      <c r="MIC49" s="473"/>
      <c r="MID49" s="474"/>
      <c r="MIE49" s="471"/>
      <c r="MIF49" s="472"/>
      <c r="MIG49" s="473"/>
      <c r="MIH49" s="474"/>
      <c r="MII49" s="471"/>
      <c r="MIJ49" s="472"/>
      <c r="MIK49" s="473"/>
      <c r="MIL49" s="474"/>
      <c r="MIM49" s="471"/>
      <c r="MIN49" s="472"/>
      <c r="MIO49" s="473"/>
      <c r="MIP49" s="474"/>
      <c r="MIQ49" s="471"/>
      <c r="MIR49" s="472"/>
      <c r="MIS49" s="473"/>
      <c r="MIT49" s="474"/>
      <c r="MIU49" s="471"/>
      <c r="MIV49" s="472"/>
      <c r="MIW49" s="473"/>
      <c r="MIX49" s="474"/>
      <c r="MIY49" s="471"/>
      <c r="MIZ49" s="472"/>
      <c r="MJA49" s="473"/>
      <c r="MJB49" s="474"/>
      <c r="MJC49" s="471"/>
      <c r="MJD49" s="472"/>
      <c r="MJE49" s="473"/>
      <c r="MJF49" s="474"/>
      <c r="MJG49" s="471"/>
      <c r="MJH49" s="472"/>
      <c r="MJI49" s="473"/>
      <c r="MJJ49" s="474"/>
      <c r="MJK49" s="471"/>
      <c r="MJL49" s="472"/>
      <c r="MJM49" s="473"/>
      <c r="MJN49" s="474"/>
      <c r="MJO49" s="471"/>
      <c r="MJP49" s="472"/>
      <c r="MJQ49" s="473"/>
      <c r="MJR49" s="474"/>
      <c r="MJS49" s="471"/>
      <c r="MJT49" s="472"/>
      <c r="MJU49" s="473"/>
      <c r="MJV49" s="474"/>
      <c r="MJW49" s="471"/>
      <c r="MJX49" s="472"/>
      <c r="MJY49" s="473"/>
      <c r="MJZ49" s="474"/>
      <c r="MKA49" s="471"/>
      <c r="MKB49" s="472"/>
      <c r="MKC49" s="473"/>
      <c r="MKD49" s="474"/>
      <c r="MKE49" s="471"/>
      <c r="MKF49" s="472"/>
      <c r="MKG49" s="473"/>
      <c r="MKH49" s="474"/>
      <c r="MKI49" s="471"/>
      <c r="MKJ49" s="472"/>
      <c r="MKK49" s="473"/>
      <c r="MKL49" s="474"/>
      <c r="MKM49" s="471"/>
      <c r="MKN49" s="472"/>
      <c r="MKO49" s="473"/>
      <c r="MKP49" s="474"/>
      <c r="MKQ49" s="471"/>
      <c r="MKR49" s="472"/>
      <c r="MKS49" s="473"/>
      <c r="MKT49" s="474"/>
      <c r="MKU49" s="471"/>
      <c r="MKV49" s="472"/>
      <c r="MKW49" s="473"/>
      <c r="MKX49" s="474"/>
      <c r="MKY49" s="471"/>
      <c r="MKZ49" s="472"/>
      <c r="MLA49" s="473"/>
      <c r="MLB49" s="474"/>
      <c r="MLC49" s="471"/>
      <c r="MLD49" s="472"/>
      <c r="MLE49" s="473"/>
      <c r="MLF49" s="474"/>
      <c r="MLG49" s="471"/>
      <c r="MLH49" s="472"/>
      <c r="MLI49" s="473"/>
      <c r="MLJ49" s="474"/>
      <c r="MLK49" s="471"/>
      <c r="MLL49" s="472"/>
      <c r="MLM49" s="473"/>
      <c r="MLN49" s="474"/>
      <c r="MLO49" s="471"/>
      <c r="MLP49" s="472"/>
      <c r="MLQ49" s="473"/>
      <c r="MLR49" s="474"/>
      <c r="MLS49" s="471"/>
      <c r="MLT49" s="472"/>
      <c r="MLU49" s="473"/>
      <c r="MLV49" s="474"/>
      <c r="MLW49" s="471"/>
      <c r="MLX49" s="472"/>
      <c r="MLY49" s="473"/>
      <c r="MLZ49" s="474"/>
      <c r="MMA49" s="471"/>
      <c r="MMB49" s="472"/>
      <c r="MMC49" s="473"/>
      <c r="MMD49" s="474"/>
      <c r="MME49" s="471"/>
      <c r="MMF49" s="472"/>
      <c r="MMG49" s="473"/>
      <c r="MMH49" s="474"/>
      <c r="MMI49" s="471"/>
      <c r="MMJ49" s="472"/>
      <c r="MMK49" s="473"/>
      <c r="MML49" s="474"/>
      <c r="MMM49" s="471"/>
      <c r="MMN49" s="472"/>
      <c r="MMO49" s="473"/>
      <c r="MMP49" s="474"/>
      <c r="MMQ49" s="471"/>
      <c r="MMR49" s="472"/>
      <c r="MMS49" s="473"/>
      <c r="MMT49" s="474"/>
      <c r="MMU49" s="471"/>
      <c r="MMV49" s="472"/>
      <c r="MMW49" s="473"/>
      <c r="MMX49" s="474"/>
      <c r="MMY49" s="471"/>
      <c r="MMZ49" s="472"/>
      <c r="MNA49" s="473"/>
      <c r="MNB49" s="474"/>
      <c r="MNC49" s="471"/>
      <c r="MND49" s="472"/>
      <c r="MNE49" s="473"/>
      <c r="MNF49" s="474"/>
      <c r="MNG49" s="471"/>
      <c r="MNH49" s="472"/>
      <c r="MNI49" s="473"/>
      <c r="MNJ49" s="474"/>
      <c r="MNK49" s="471"/>
      <c r="MNL49" s="472"/>
      <c r="MNM49" s="473"/>
      <c r="MNN49" s="474"/>
      <c r="MNO49" s="471"/>
      <c r="MNP49" s="472"/>
      <c r="MNQ49" s="473"/>
      <c r="MNR49" s="474"/>
      <c r="MNS49" s="471"/>
      <c r="MNT49" s="472"/>
      <c r="MNU49" s="473"/>
      <c r="MNV49" s="474"/>
      <c r="MNW49" s="471"/>
      <c r="MNX49" s="472"/>
      <c r="MNY49" s="473"/>
      <c r="MNZ49" s="474"/>
      <c r="MOA49" s="471"/>
      <c r="MOB49" s="472"/>
      <c r="MOC49" s="473"/>
      <c r="MOD49" s="474"/>
      <c r="MOE49" s="471"/>
      <c r="MOF49" s="472"/>
      <c r="MOG49" s="473"/>
      <c r="MOH49" s="474"/>
      <c r="MOI49" s="471"/>
      <c r="MOJ49" s="472"/>
      <c r="MOK49" s="473"/>
      <c r="MOL49" s="474"/>
      <c r="MOM49" s="471"/>
      <c r="MON49" s="472"/>
      <c r="MOO49" s="473"/>
      <c r="MOP49" s="474"/>
      <c r="MOQ49" s="471"/>
      <c r="MOR49" s="472"/>
      <c r="MOS49" s="473"/>
      <c r="MOT49" s="474"/>
      <c r="MOU49" s="471"/>
      <c r="MOV49" s="472"/>
      <c r="MOW49" s="473"/>
      <c r="MOX49" s="474"/>
      <c r="MOY49" s="471"/>
      <c r="MOZ49" s="472"/>
      <c r="MPA49" s="473"/>
      <c r="MPB49" s="474"/>
      <c r="MPC49" s="471"/>
      <c r="MPD49" s="472"/>
      <c r="MPE49" s="473"/>
      <c r="MPF49" s="474"/>
      <c r="MPG49" s="471"/>
      <c r="MPH49" s="472"/>
      <c r="MPI49" s="473"/>
      <c r="MPJ49" s="474"/>
      <c r="MPK49" s="471"/>
      <c r="MPL49" s="472"/>
      <c r="MPM49" s="473"/>
      <c r="MPN49" s="474"/>
      <c r="MPO49" s="471"/>
      <c r="MPP49" s="472"/>
      <c r="MPQ49" s="473"/>
      <c r="MPR49" s="474"/>
      <c r="MPS49" s="471"/>
      <c r="MPT49" s="472"/>
      <c r="MPU49" s="473"/>
      <c r="MPV49" s="474"/>
      <c r="MPW49" s="471"/>
      <c r="MPX49" s="472"/>
      <c r="MPY49" s="473"/>
      <c r="MPZ49" s="474"/>
      <c r="MQA49" s="471"/>
      <c r="MQB49" s="472"/>
      <c r="MQC49" s="473"/>
      <c r="MQD49" s="474"/>
      <c r="MQE49" s="471"/>
      <c r="MQF49" s="472"/>
      <c r="MQG49" s="473"/>
      <c r="MQH49" s="474"/>
      <c r="MQI49" s="471"/>
      <c r="MQJ49" s="472"/>
      <c r="MQK49" s="473"/>
      <c r="MQL49" s="474"/>
      <c r="MQM49" s="471"/>
      <c r="MQN49" s="472"/>
      <c r="MQO49" s="473"/>
      <c r="MQP49" s="474"/>
      <c r="MQQ49" s="471"/>
      <c r="MQR49" s="472"/>
      <c r="MQS49" s="473"/>
      <c r="MQT49" s="474"/>
      <c r="MQU49" s="471"/>
      <c r="MQV49" s="472"/>
      <c r="MQW49" s="473"/>
      <c r="MQX49" s="474"/>
      <c r="MQY49" s="471"/>
      <c r="MQZ49" s="472"/>
      <c r="MRA49" s="473"/>
      <c r="MRB49" s="474"/>
      <c r="MRC49" s="471"/>
      <c r="MRD49" s="472"/>
      <c r="MRE49" s="473"/>
      <c r="MRF49" s="474"/>
      <c r="MRG49" s="471"/>
      <c r="MRH49" s="472"/>
      <c r="MRI49" s="473"/>
      <c r="MRJ49" s="474"/>
      <c r="MRK49" s="471"/>
      <c r="MRL49" s="472"/>
      <c r="MRM49" s="473"/>
      <c r="MRN49" s="474"/>
      <c r="MRO49" s="471"/>
      <c r="MRP49" s="472"/>
      <c r="MRQ49" s="473"/>
      <c r="MRR49" s="474"/>
      <c r="MRS49" s="471"/>
      <c r="MRT49" s="472"/>
      <c r="MRU49" s="473"/>
      <c r="MRV49" s="474"/>
      <c r="MRW49" s="471"/>
      <c r="MRX49" s="472"/>
      <c r="MRY49" s="473"/>
      <c r="MRZ49" s="474"/>
      <c r="MSA49" s="471"/>
      <c r="MSB49" s="472"/>
      <c r="MSC49" s="473"/>
      <c r="MSD49" s="474"/>
      <c r="MSE49" s="471"/>
      <c r="MSF49" s="472"/>
      <c r="MSG49" s="473"/>
      <c r="MSH49" s="474"/>
      <c r="MSI49" s="471"/>
      <c r="MSJ49" s="472"/>
      <c r="MSK49" s="473"/>
      <c r="MSL49" s="474"/>
      <c r="MSM49" s="471"/>
      <c r="MSN49" s="472"/>
      <c r="MSO49" s="473"/>
      <c r="MSP49" s="474"/>
      <c r="MSQ49" s="471"/>
      <c r="MSR49" s="472"/>
      <c r="MSS49" s="473"/>
      <c r="MST49" s="474"/>
      <c r="MSU49" s="471"/>
      <c r="MSV49" s="472"/>
      <c r="MSW49" s="473"/>
      <c r="MSX49" s="474"/>
      <c r="MSY49" s="471"/>
      <c r="MSZ49" s="472"/>
      <c r="MTA49" s="473"/>
      <c r="MTB49" s="474"/>
      <c r="MTC49" s="471"/>
      <c r="MTD49" s="472"/>
      <c r="MTE49" s="473"/>
      <c r="MTF49" s="474"/>
      <c r="MTG49" s="471"/>
      <c r="MTH49" s="472"/>
      <c r="MTI49" s="473"/>
      <c r="MTJ49" s="474"/>
      <c r="MTK49" s="471"/>
      <c r="MTL49" s="472"/>
      <c r="MTM49" s="473"/>
      <c r="MTN49" s="474"/>
      <c r="MTO49" s="471"/>
      <c r="MTP49" s="472"/>
      <c r="MTQ49" s="473"/>
      <c r="MTR49" s="474"/>
      <c r="MTS49" s="471"/>
      <c r="MTT49" s="472"/>
      <c r="MTU49" s="473"/>
      <c r="MTV49" s="474"/>
      <c r="MTW49" s="471"/>
      <c r="MTX49" s="472"/>
      <c r="MTY49" s="473"/>
      <c r="MTZ49" s="474"/>
      <c r="MUA49" s="471"/>
      <c r="MUB49" s="472"/>
      <c r="MUC49" s="473"/>
      <c r="MUD49" s="474"/>
      <c r="MUE49" s="471"/>
      <c r="MUF49" s="472"/>
      <c r="MUG49" s="473"/>
      <c r="MUH49" s="474"/>
      <c r="MUI49" s="471"/>
      <c r="MUJ49" s="472"/>
      <c r="MUK49" s="473"/>
      <c r="MUL49" s="474"/>
      <c r="MUM49" s="471"/>
      <c r="MUN49" s="472"/>
      <c r="MUO49" s="473"/>
      <c r="MUP49" s="474"/>
      <c r="MUQ49" s="471"/>
      <c r="MUR49" s="472"/>
      <c r="MUS49" s="473"/>
      <c r="MUT49" s="474"/>
      <c r="MUU49" s="471"/>
      <c r="MUV49" s="472"/>
      <c r="MUW49" s="473"/>
      <c r="MUX49" s="474"/>
      <c r="MUY49" s="471"/>
      <c r="MUZ49" s="472"/>
      <c r="MVA49" s="473"/>
      <c r="MVB49" s="474"/>
      <c r="MVC49" s="471"/>
      <c r="MVD49" s="472"/>
      <c r="MVE49" s="473"/>
      <c r="MVF49" s="474"/>
      <c r="MVG49" s="471"/>
      <c r="MVH49" s="472"/>
      <c r="MVI49" s="473"/>
      <c r="MVJ49" s="474"/>
      <c r="MVK49" s="471"/>
      <c r="MVL49" s="472"/>
      <c r="MVM49" s="473"/>
      <c r="MVN49" s="474"/>
      <c r="MVO49" s="471"/>
      <c r="MVP49" s="472"/>
      <c r="MVQ49" s="473"/>
      <c r="MVR49" s="474"/>
      <c r="MVS49" s="471"/>
      <c r="MVT49" s="472"/>
      <c r="MVU49" s="473"/>
      <c r="MVV49" s="474"/>
      <c r="MVW49" s="471"/>
      <c r="MVX49" s="472"/>
      <c r="MVY49" s="473"/>
      <c r="MVZ49" s="474"/>
      <c r="MWA49" s="471"/>
      <c r="MWB49" s="472"/>
      <c r="MWC49" s="473"/>
      <c r="MWD49" s="474"/>
      <c r="MWE49" s="471"/>
      <c r="MWF49" s="472"/>
      <c r="MWG49" s="473"/>
      <c r="MWH49" s="474"/>
      <c r="MWI49" s="471"/>
      <c r="MWJ49" s="472"/>
      <c r="MWK49" s="473"/>
      <c r="MWL49" s="474"/>
      <c r="MWM49" s="471"/>
      <c r="MWN49" s="472"/>
      <c r="MWO49" s="473"/>
      <c r="MWP49" s="474"/>
      <c r="MWQ49" s="471"/>
      <c r="MWR49" s="472"/>
      <c r="MWS49" s="473"/>
      <c r="MWT49" s="474"/>
      <c r="MWU49" s="471"/>
      <c r="MWV49" s="472"/>
      <c r="MWW49" s="473"/>
      <c r="MWX49" s="474"/>
      <c r="MWY49" s="471"/>
      <c r="MWZ49" s="472"/>
      <c r="MXA49" s="473"/>
      <c r="MXB49" s="474"/>
      <c r="MXC49" s="471"/>
      <c r="MXD49" s="472"/>
      <c r="MXE49" s="473"/>
      <c r="MXF49" s="474"/>
      <c r="MXG49" s="471"/>
      <c r="MXH49" s="472"/>
      <c r="MXI49" s="473"/>
      <c r="MXJ49" s="474"/>
      <c r="MXK49" s="471"/>
      <c r="MXL49" s="472"/>
      <c r="MXM49" s="473"/>
      <c r="MXN49" s="474"/>
      <c r="MXO49" s="471"/>
      <c r="MXP49" s="472"/>
      <c r="MXQ49" s="473"/>
      <c r="MXR49" s="474"/>
      <c r="MXS49" s="471"/>
      <c r="MXT49" s="472"/>
      <c r="MXU49" s="473"/>
      <c r="MXV49" s="474"/>
      <c r="MXW49" s="471"/>
      <c r="MXX49" s="472"/>
      <c r="MXY49" s="473"/>
      <c r="MXZ49" s="474"/>
      <c r="MYA49" s="471"/>
      <c r="MYB49" s="472"/>
      <c r="MYC49" s="473"/>
      <c r="MYD49" s="474"/>
      <c r="MYE49" s="471"/>
      <c r="MYF49" s="472"/>
      <c r="MYG49" s="473"/>
      <c r="MYH49" s="474"/>
      <c r="MYI49" s="471"/>
      <c r="MYJ49" s="472"/>
      <c r="MYK49" s="473"/>
      <c r="MYL49" s="474"/>
      <c r="MYM49" s="471"/>
      <c r="MYN49" s="472"/>
      <c r="MYO49" s="473"/>
      <c r="MYP49" s="474"/>
      <c r="MYQ49" s="471"/>
      <c r="MYR49" s="472"/>
      <c r="MYS49" s="473"/>
      <c r="MYT49" s="474"/>
      <c r="MYU49" s="471"/>
      <c r="MYV49" s="472"/>
      <c r="MYW49" s="473"/>
      <c r="MYX49" s="474"/>
      <c r="MYY49" s="471"/>
      <c r="MYZ49" s="472"/>
      <c r="MZA49" s="473"/>
      <c r="MZB49" s="474"/>
      <c r="MZC49" s="471"/>
      <c r="MZD49" s="472"/>
      <c r="MZE49" s="473"/>
      <c r="MZF49" s="474"/>
      <c r="MZG49" s="471"/>
      <c r="MZH49" s="472"/>
      <c r="MZI49" s="473"/>
      <c r="MZJ49" s="474"/>
      <c r="MZK49" s="471"/>
      <c r="MZL49" s="472"/>
      <c r="MZM49" s="473"/>
      <c r="MZN49" s="474"/>
      <c r="MZO49" s="471"/>
      <c r="MZP49" s="472"/>
      <c r="MZQ49" s="473"/>
      <c r="MZR49" s="474"/>
      <c r="MZS49" s="471"/>
      <c r="MZT49" s="472"/>
      <c r="MZU49" s="473"/>
      <c r="MZV49" s="474"/>
      <c r="MZW49" s="471"/>
      <c r="MZX49" s="472"/>
      <c r="MZY49" s="473"/>
      <c r="MZZ49" s="474"/>
      <c r="NAA49" s="471"/>
      <c r="NAB49" s="472"/>
      <c r="NAC49" s="473"/>
      <c r="NAD49" s="474"/>
      <c r="NAE49" s="471"/>
      <c r="NAF49" s="472"/>
      <c r="NAG49" s="473"/>
      <c r="NAH49" s="474"/>
      <c r="NAI49" s="471"/>
      <c r="NAJ49" s="472"/>
      <c r="NAK49" s="473"/>
      <c r="NAL49" s="474"/>
      <c r="NAM49" s="471"/>
      <c r="NAN49" s="472"/>
      <c r="NAO49" s="473"/>
      <c r="NAP49" s="474"/>
      <c r="NAQ49" s="471"/>
      <c r="NAR49" s="472"/>
      <c r="NAS49" s="473"/>
      <c r="NAT49" s="474"/>
      <c r="NAU49" s="471"/>
      <c r="NAV49" s="472"/>
      <c r="NAW49" s="473"/>
      <c r="NAX49" s="474"/>
      <c r="NAY49" s="471"/>
      <c r="NAZ49" s="472"/>
      <c r="NBA49" s="473"/>
      <c r="NBB49" s="474"/>
      <c r="NBC49" s="471"/>
      <c r="NBD49" s="472"/>
      <c r="NBE49" s="473"/>
      <c r="NBF49" s="474"/>
      <c r="NBG49" s="471"/>
      <c r="NBH49" s="472"/>
      <c r="NBI49" s="473"/>
      <c r="NBJ49" s="474"/>
      <c r="NBK49" s="471"/>
      <c r="NBL49" s="472"/>
      <c r="NBM49" s="473"/>
      <c r="NBN49" s="474"/>
      <c r="NBO49" s="471"/>
      <c r="NBP49" s="472"/>
      <c r="NBQ49" s="473"/>
      <c r="NBR49" s="474"/>
      <c r="NBS49" s="471"/>
      <c r="NBT49" s="472"/>
      <c r="NBU49" s="473"/>
      <c r="NBV49" s="474"/>
      <c r="NBW49" s="471"/>
      <c r="NBX49" s="472"/>
      <c r="NBY49" s="473"/>
      <c r="NBZ49" s="474"/>
      <c r="NCA49" s="471"/>
      <c r="NCB49" s="472"/>
      <c r="NCC49" s="473"/>
      <c r="NCD49" s="474"/>
      <c r="NCE49" s="471"/>
      <c r="NCF49" s="472"/>
      <c r="NCG49" s="473"/>
      <c r="NCH49" s="474"/>
      <c r="NCI49" s="471"/>
      <c r="NCJ49" s="472"/>
      <c r="NCK49" s="473"/>
      <c r="NCL49" s="474"/>
      <c r="NCM49" s="471"/>
      <c r="NCN49" s="472"/>
      <c r="NCO49" s="473"/>
      <c r="NCP49" s="474"/>
      <c r="NCQ49" s="471"/>
      <c r="NCR49" s="472"/>
      <c r="NCS49" s="473"/>
      <c r="NCT49" s="474"/>
      <c r="NCU49" s="471"/>
      <c r="NCV49" s="472"/>
      <c r="NCW49" s="473"/>
      <c r="NCX49" s="474"/>
      <c r="NCY49" s="471"/>
      <c r="NCZ49" s="472"/>
      <c r="NDA49" s="473"/>
      <c r="NDB49" s="474"/>
      <c r="NDC49" s="471"/>
      <c r="NDD49" s="472"/>
      <c r="NDE49" s="473"/>
      <c r="NDF49" s="474"/>
      <c r="NDG49" s="471"/>
      <c r="NDH49" s="472"/>
      <c r="NDI49" s="473"/>
      <c r="NDJ49" s="474"/>
      <c r="NDK49" s="471"/>
      <c r="NDL49" s="472"/>
      <c r="NDM49" s="473"/>
      <c r="NDN49" s="474"/>
      <c r="NDO49" s="471"/>
      <c r="NDP49" s="472"/>
      <c r="NDQ49" s="473"/>
      <c r="NDR49" s="474"/>
      <c r="NDS49" s="471"/>
      <c r="NDT49" s="472"/>
      <c r="NDU49" s="473"/>
      <c r="NDV49" s="474"/>
      <c r="NDW49" s="471"/>
      <c r="NDX49" s="472"/>
      <c r="NDY49" s="473"/>
      <c r="NDZ49" s="474"/>
      <c r="NEA49" s="471"/>
      <c r="NEB49" s="472"/>
      <c r="NEC49" s="473"/>
      <c r="NED49" s="474"/>
      <c r="NEE49" s="471"/>
      <c r="NEF49" s="472"/>
      <c r="NEG49" s="473"/>
      <c r="NEH49" s="474"/>
      <c r="NEI49" s="471"/>
      <c r="NEJ49" s="472"/>
      <c r="NEK49" s="473"/>
      <c r="NEL49" s="474"/>
      <c r="NEM49" s="471"/>
      <c r="NEN49" s="472"/>
      <c r="NEO49" s="473"/>
      <c r="NEP49" s="474"/>
      <c r="NEQ49" s="471"/>
      <c r="NER49" s="472"/>
      <c r="NES49" s="473"/>
      <c r="NET49" s="474"/>
      <c r="NEU49" s="471"/>
      <c r="NEV49" s="472"/>
      <c r="NEW49" s="473"/>
      <c r="NEX49" s="474"/>
      <c r="NEY49" s="471"/>
      <c r="NEZ49" s="472"/>
      <c r="NFA49" s="473"/>
      <c r="NFB49" s="474"/>
      <c r="NFC49" s="471"/>
      <c r="NFD49" s="472"/>
      <c r="NFE49" s="473"/>
      <c r="NFF49" s="474"/>
      <c r="NFG49" s="471"/>
      <c r="NFH49" s="472"/>
      <c r="NFI49" s="473"/>
      <c r="NFJ49" s="474"/>
      <c r="NFK49" s="471"/>
      <c r="NFL49" s="472"/>
      <c r="NFM49" s="473"/>
      <c r="NFN49" s="474"/>
      <c r="NFO49" s="471"/>
      <c r="NFP49" s="472"/>
      <c r="NFQ49" s="473"/>
      <c r="NFR49" s="474"/>
      <c r="NFS49" s="471"/>
      <c r="NFT49" s="472"/>
      <c r="NFU49" s="473"/>
      <c r="NFV49" s="474"/>
      <c r="NFW49" s="471"/>
      <c r="NFX49" s="472"/>
      <c r="NFY49" s="473"/>
      <c r="NFZ49" s="474"/>
      <c r="NGA49" s="471"/>
      <c r="NGB49" s="472"/>
      <c r="NGC49" s="473"/>
      <c r="NGD49" s="474"/>
      <c r="NGE49" s="471"/>
      <c r="NGF49" s="472"/>
      <c r="NGG49" s="473"/>
      <c r="NGH49" s="474"/>
      <c r="NGI49" s="471"/>
      <c r="NGJ49" s="472"/>
      <c r="NGK49" s="473"/>
      <c r="NGL49" s="474"/>
      <c r="NGM49" s="471"/>
      <c r="NGN49" s="472"/>
      <c r="NGO49" s="473"/>
      <c r="NGP49" s="474"/>
      <c r="NGQ49" s="471"/>
      <c r="NGR49" s="472"/>
      <c r="NGS49" s="473"/>
      <c r="NGT49" s="474"/>
      <c r="NGU49" s="471"/>
      <c r="NGV49" s="472"/>
      <c r="NGW49" s="473"/>
      <c r="NGX49" s="474"/>
      <c r="NGY49" s="471"/>
      <c r="NGZ49" s="472"/>
      <c r="NHA49" s="473"/>
      <c r="NHB49" s="474"/>
      <c r="NHC49" s="471"/>
      <c r="NHD49" s="472"/>
      <c r="NHE49" s="473"/>
      <c r="NHF49" s="474"/>
      <c r="NHG49" s="471"/>
      <c r="NHH49" s="472"/>
      <c r="NHI49" s="473"/>
      <c r="NHJ49" s="474"/>
      <c r="NHK49" s="471"/>
      <c r="NHL49" s="472"/>
      <c r="NHM49" s="473"/>
      <c r="NHN49" s="474"/>
      <c r="NHO49" s="471"/>
      <c r="NHP49" s="472"/>
      <c r="NHQ49" s="473"/>
      <c r="NHR49" s="474"/>
      <c r="NHS49" s="471"/>
      <c r="NHT49" s="472"/>
      <c r="NHU49" s="473"/>
      <c r="NHV49" s="474"/>
      <c r="NHW49" s="471"/>
      <c r="NHX49" s="472"/>
      <c r="NHY49" s="473"/>
      <c r="NHZ49" s="474"/>
      <c r="NIA49" s="471"/>
      <c r="NIB49" s="472"/>
      <c r="NIC49" s="473"/>
      <c r="NID49" s="474"/>
      <c r="NIE49" s="471"/>
      <c r="NIF49" s="472"/>
      <c r="NIG49" s="473"/>
      <c r="NIH49" s="474"/>
      <c r="NII49" s="471"/>
      <c r="NIJ49" s="472"/>
      <c r="NIK49" s="473"/>
      <c r="NIL49" s="474"/>
      <c r="NIM49" s="471"/>
      <c r="NIN49" s="472"/>
      <c r="NIO49" s="473"/>
      <c r="NIP49" s="474"/>
      <c r="NIQ49" s="471"/>
      <c r="NIR49" s="472"/>
      <c r="NIS49" s="473"/>
      <c r="NIT49" s="474"/>
      <c r="NIU49" s="471"/>
      <c r="NIV49" s="472"/>
      <c r="NIW49" s="473"/>
      <c r="NIX49" s="474"/>
      <c r="NIY49" s="471"/>
      <c r="NIZ49" s="472"/>
      <c r="NJA49" s="473"/>
      <c r="NJB49" s="474"/>
      <c r="NJC49" s="471"/>
      <c r="NJD49" s="472"/>
      <c r="NJE49" s="473"/>
      <c r="NJF49" s="474"/>
      <c r="NJG49" s="471"/>
      <c r="NJH49" s="472"/>
      <c r="NJI49" s="473"/>
      <c r="NJJ49" s="474"/>
      <c r="NJK49" s="471"/>
      <c r="NJL49" s="472"/>
      <c r="NJM49" s="473"/>
      <c r="NJN49" s="474"/>
      <c r="NJO49" s="471"/>
      <c r="NJP49" s="472"/>
      <c r="NJQ49" s="473"/>
      <c r="NJR49" s="474"/>
      <c r="NJS49" s="471"/>
      <c r="NJT49" s="472"/>
      <c r="NJU49" s="473"/>
      <c r="NJV49" s="474"/>
      <c r="NJW49" s="471"/>
      <c r="NJX49" s="472"/>
      <c r="NJY49" s="473"/>
      <c r="NJZ49" s="474"/>
      <c r="NKA49" s="471"/>
      <c r="NKB49" s="472"/>
      <c r="NKC49" s="473"/>
      <c r="NKD49" s="474"/>
      <c r="NKE49" s="471"/>
      <c r="NKF49" s="472"/>
      <c r="NKG49" s="473"/>
      <c r="NKH49" s="474"/>
      <c r="NKI49" s="471"/>
      <c r="NKJ49" s="472"/>
      <c r="NKK49" s="473"/>
      <c r="NKL49" s="474"/>
      <c r="NKM49" s="471"/>
      <c r="NKN49" s="472"/>
      <c r="NKO49" s="473"/>
      <c r="NKP49" s="474"/>
      <c r="NKQ49" s="471"/>
      <c r="NKR49" s="472"/>
      <c r="NKS49" s="473"/>
      <c r="NKT49" s="474"/>
      <c r="NKU49" s="471"/>
      <c r="NKV49" s="472"/>
      <c r="NKW49" s="473"/>
      <c r="NKX49" s="474"/>
      <c r="NKY49" s="471"/>
      <c r="NKZ49" s="472"/>
      <c r="NLA49" s="473"/>
      <c r="NLB49" s="474"/>
      <c r="NLC49" s="471"/>
      <c r="NLD49" s="472"/>
      <c r="NLE49" s="473"/>
      <c r="NLF49" s="474"/>
      <c r="NLG49" s="471"/>
      <c r="NLH49" s="472"/>
      <c r="NLI49" s="473"/>
      <c r="NLJ49" s="474"/>
      <c r="NLK49" s="471"/>
      <c r="NLL49" s="472"/>
      <c r="NLM49" s="473"/>
      <c r="NLN49" s="474"/>
      <c r="NLO49" s="471"/>
      <c r="NLP49" s="472"/>
      <c r="NLQ49" s="473"/>
      <c r="NLR49" s="474"/>
      <c r="NLS49" s="471"/>
      <c r="NLT49" s="472"/>
      <c r="NLU49" s="473"/>
      <c r="NLV49" s="474"/>
      <c r="NLW49" s="471"/>
      <c r="NLX49" s="472"/>
      <c r="NLY49" s="473"/>
      <c r="NLZ49" s="474"/>
      <c r="NMA49" s="471"/>
      <c r="NMB49" s="472"/>
      <c r="NMC49" s="473"/>
      <c r="NMD49" s="474"/>
      <c r="NME49" s="471"/>
      <c r="NMF49" s="472"/>
      <c r="NMG49" s="473"/>
      <c r="NMH49" s="474"/>
      <c r="NMI49" s="471"/>
      <c r="NMJ49" s="472"/>
      <c r="NMK49" s="473"/>
      <c r="NML49" s="474"/>
      <c r="NMM49" s="471"/>
      <c r="NMN49" s="472"/>
      <c r="NMO49" s="473"/>
      <c r="NMP49" s="474"/>
      <c r="NMQ49" s="471"/>
      <c r="NMR49" s="472"/>
      <c r="NMS49" s="473"/>
      <c r="NMT49" s="474"/>
      <c r="NMU49" s="471"/>
      <c r="NMV49" s="472"/>
      <c r="NMW49" s="473"/>
      <c r="NMX49" s="474"/>
      <c r="NMY49" s="471"/>
      <c r="NMZ49" s="472"/>
      <c r="NNA49" s="473"/>
      <c r="NNB49" s="474"/>
      <c r="NNC49" s="471"/>
      <c r="NND49" s="472"/>
      <c r="NNE49" s="473"/>
      <c r="NNF49" s="474"/>
      <c r="NNG49" s="471"/>
      <c r="NNH49" s="472"/>
      <c r="NNI49" s="473"/>
      <c r="NNJ49" s="474"/>
      <c r="NNK49" s="471"/>
      <c r="NNL49" s="472"/>
      <c r="NNM49" s="473"/>
      <c r="NNN49" s="474"/>
      <c r="NNO49" s="471"/>
      <c r="NNP49" s="472"/>
      <c r="NNQ49" s="473"/>
      <c r="NNR49" s="474"/>
      <c r="NNS49" s="471"/>
      <c r="NNT49" s="472"/>
      <c r="NNU49" s="473"/>
      <c r="NNV49" s="474"/>
      <c r="NNW49" s="471"/>
      <c r="NNX49" s="472"/>
      <c r="NNY49" s="473"/>
      <c r="NNZ49" s="474"/>
      <c r="NOA49" s="471"/>
      <c r="NOB49" s="472"/>
      <c r="NOC49" s="473"/>
      <c r="NOD49" s="474"/>
      <c r="NOE49" s="471"/>
      <c r="NOF49" s="472"/>
      <c r="NOG49" s="473"/>
      <c r="NOH49" s="474"/>
      <c r="NOI49" s="471"/>
      <c r="NOJ49" s="472"/>
      <c r="NOK49" s="473"/>
      <c r="NOL49" s="474"/>
      <c r="NOM49" s="471"/>
      <c r="NON49" s="472"/>
      <c r="NOO49" s="473"/>
      <c r="NOP49" s="474"/>
      <c r="NOQ49" s="471"/>
      <c r="NOR49" s="472"/>
      <c r="NOS49" s="473"/>
      <c r="NOT49" s="474"/>
      <c r="NOU49" s="471"/>
      <c r="NOV49" s="472"/>
      <c r="NOW49" s="473"/>
      <c r="NOX49" s="474"/>
      <c r="NOY49" s="471"/>
      <c r="NOZ49" s="472"/>
      <c r="NPA49" s="473"/>
      <c r="NPB49" s="474"/>
      <c r="NPC49" s="471"/>
      <c r="NPD49" s="472"/>
      <c r="NPE49" s="473"/>
      <c r="NPF49" s="474"/>
      <c r="NPG49" s="471"/>
      <c r="NPH49" s="472"/>
      <c r="NPI49" s="473"/>
      <c r="NPJ49" s="474"/>
      <c r="NPK49" s="471"/>
      <c r="NPL49" s="472"/>
      <c r="NPM49" s="473"/>
      <c r="NPN49" s="474"/>
      <c r="NPO49" s="471"/>
      <c r="NPP49" s="472"/>
      <c r="NPQ49" s="473"/>
      <c r="NPR49" s="474"/>
      <c r="NPS49" s="471"/>
      <c r="NPT49" s="472"/>
      <c r="NPU49" s="473"/>
      <c r="NPV49" s="474"/>
      <c r="NPW49" s="471"/>
      <c r="NPX49" s="472"/>
      <c r="NPY49" s="473"/>
      <c r="NPZ49" s="474"/>
      <c r="NQA49" s="471"/>
      <c r="NQB49" s="472"/>
      <c r="NQC49" s="473"/>
      <c r="NQD49" s="474"/>
      <c r="NQE49" s="471"/>
      <c r="NQF49" s="472"/>
      <c r="NQG49" s="473"/>
      <c r="NQH49" s="474"/>
      <c r="NQI49" s="471"/>
      <c r="NQJ49" s="472"/>
      <c r="NQK49" s="473"/>
      <c r="NQL49" s="474"/>
      <c r="NQM49" s="471"/>
      <c r="NQN49" s="472"/>
      <c r="NQO49" s="473"/>
      <c r="NQP49" s="474"/>
      <c r="NQQ49" s="471"/>
      <c r="NQR49" s="472"/>
      <c r="NQS49" s="473"/>
      <c r="NQT49" s="474"/>
      <c r="NQU49" s="471"/>
      <c r="NQV49" s="472"/>
      <c r="NQW49" s="473"/>
      <c r="NQX49" s="474"/>
      <c r="NQY49" s="471"/>
      <c r="NQZ49" s="472"/>
      <c r="NRA49" s="473"/>
      <c r="NRB49" s="474"/>
      <c r="NRC49" s="471"/>
      <c r="NRD49" s="472"/>
      <c r="NRE49" s="473"/>
      <c r="NRF49" s="474"/>
      <c r="NRG49" s="471"/>
      <c r="NRH49" s="472"/>
      <c r="NRI49" s="473"/>
      <c r="NRJ49" s="474"/>
      <c r="NRK49" s="471"/>
      <c r="NRL49" s="472"/>
      <c r="NRM49" s="473"/>
      <c r="NRN49" s="474"/>
      <c r="NRO49" s="471"/>
      <c r="NRP49" s="472"/>
      <c r="NRQ49" s="473"/>
      <c r="NRR49" s="474"/>
      <c r="NRS49" s="471"/>
      <c r="NRT49" s="472"/>
      <c r="NRU49" s="473"/>
      <c r="NRV49" s="474"/>
      <c r="NRW49" s="471"/>
      <c r="NRX49" s="472"/>
      <c r="NRY49" s="473"/>
      <c r="NRZ49" s="474"/>
      <c r="NSA49" s="471"/>
      <c r="NSB49" s="472"/>
      <c r="NSC49" s="473"/>
      <c r="NSD49" s="474"/>
      <c r="NSE49" s="471"/>
      <c r="NSF49" s="472"/>
      <c r="NSG49" s="473"/>
      <c r="NSH49" s="474"/>
      <c r="NSI49" s="471"/>
      <c r="NSJ49" s="472"/>
      <c r="NSK49" s="473"/>
      <c r="NSL49" s="474"/>
      <c r="NSM49" s="471"/>
      <c r="NSN49" s="472"/>
      <c r="NSO49" s="473"/>
      <c r="NSP49" s="474"/>
      <c r="NSQ49" s="471"/>
      <c r="NSR49" s="472"/>
      <c r="NSS49" s="473"/>
      <c r="NST49" s="474"/>
      <c r="NSU49" s="471"/>
      <c r="NSV49" s="472"/>
      <c r="NSW49" s="473"/>
      <c r="NSX49" s="474"/>
      <c r="NSY49" s="471"/>
      <c r="NSZ49" s="472"/>
      <c r="NTA49" s="473"/>
      <c r="NTB49" s="474"/>
      <c r="NTC49" s="471"/>
      <c r="NTD49" s="472"/>
      <c r="NTE49" s="473"/>
      <c r="NTF49" s="474"/>
      <c r="NTG49" s="471"/>
      <c r="NTH49" s="472"/>
      <c r="NTI49" s="473"/>
      <c r="NTJ49" s="474"/>
      <c r="NTK49" s="471"/>
      <c r="NTL49" s="472"/>
      <c r="NTM49" s="473"/>
      <c r="NTN49" s="474"/>
      <c r="NTO49" s="471"/>
      <c r="NTP49" s="472"/>
      <c r="NTQ49" s="473"/>
      <c r="NTR49" s="474"/>
      <c r="NTS49" s="471"/>
      <c r="NTT49" s="472"/>
      <c r="NTU49" s="473"/>
      <c r="NTV49" s="474"/>
      <c r="NTW49" s="471"/>
      <c r="NTX49" s="472"/>
      <c r="NTY49" s="473"/>
      <c r="NTZ49" s="474"/>
      <c r="NUA49" s="471"/>
      <c r="NUB49" s="472"/>
      <c r="NUC49" s="473"/>
      <c r="NUD49" s="474"/>
      <c r="NUE49" s="471"/>
      <c r="NUF49" s="472"/>
      <c r="NUG49" s="473"/>
      <c r="NUH49" s="474"/>
      <c r="NUI49" s="471"/>
      <c r="NUJ49" s="472"/>
      <c r="NUK49" s="473"/>
      <c r="NUL49" s="474"/>
      <c r="NUM49" s="471"/>
      <c r="NUN49" s="472"/>
      <c r="NUO49" s="473"/>
      <c r="NUP49" s="474"/>
      <c r="NUQ49" s="471"/>
      <c r="NUR49" s="472"/>
      <c r="NUS49" s="473"/>
      <c r="NUT49" s="474"/>
      <c r="NUU49" s="471"/>
      <c r="NUV49" s="472"/>
      <c r="NUW49" s="473"/>
      <c r="NUX49" s="474"/>
      <c r="NUY49" s="471"/>
      <c r="NUZ49" s="472"/>
      <c r="NVA49" s="473"/>
      <c r="NVB49" s="474"/>
      <c r="NVC49" s="471"/>
      <c r="NVD49" s="472"/>
      <c r="NVE49" s="473"/>
      <c r="NVF49" s="474"/>
      <c r="NVG49" s="471"/>
      <c r="NVH49" s="472"/>
      <c r="NVI49" s="473"/>
      <c r="NVJ49" s="474"/>
      <c r="NVK49" s="471"/>
      <c r="NVL49" s="472"/>
      <c r="NVM49" s="473"/>
      <c r="NVN49" s="474"/>
      <c r="NVO49" s="471"/>
      <c r="NVP49" s="472"/>
      <c r="NVQ49" s="473"/>
      <c r="NVR49" s="474"/>
      <c r="NVS49" s="471"/>
      <c r="NVT49" s="472"/>
      <c r="NVU49" s="473"/>
      <c r="NVV49" s="474"/>
      <c r="NVW49" s="471"/>
      <c r="NVX49" s="472"/>
      <c r="NVY49" s="473"/>
      <c r="NVZ49" s="474"/>
      <c r="NWA49" s="471"/>
      <c r="NWB49" s="472"/>
      <c r="NWC49" s="473"/>
      <c r="NWD49" s="474"/>
      <c r="NWE49" s="471"/>
      <c r="NWF49" s="472"/>
      <c r="NWG49" s="473"/>
      <c r="NWH49" s="474"/>
      <c r="NWI49" s="471"/>
      <c r="NWJ49" s="472"/>
      <c r="NWK49" s="473"/>
      <c r="NWL49" s="474"/>
      <c r="NWM49" s="471"/>
      <c r="NWN49" s="472"/>
      <c r="NWO49" s="473"/>
      <c r="NWP49" s="474"/>
      <c r="NWQ49" s="471"/>
      <c r="NWR49" s="472"/>
      <c r="NWS49" s="473"/>
      <c r="NWT49" s="474"/>
      <c r="NWU49" s="471"/>
      <c r="NWV49" s="472"/>
      <c r="NWW49" s="473"/>
      <c r="NWX49" s="474"/>
      <c r="NWY49" s="471"/>
      <c r="NWZ49" s="472"/>
      <c r="NXA49" s="473"/>
      <c r="NXB49" s="474"/>
      <c r="NXC49" s="471"/>
      <c r="NXD49" s="472"/>
      <c r="NXE49" s="473"/>
      <c r="NXF49" s="474"/>
      <c r="NXG49" s="471"/>
      <c r="NXH49" s="472"/>
      <c r="NXI49" s="473"/>
      <c r="NXJ49" s="474"/>
      <c r="NXK49" s="471"/>
      <c r="NXL49" s="472"/>
      <c r="NXM49" s="473"/>
      <c r="NXN49" s="474"/>
      <c r="NXO49" s="471"/>
      <c r="NXP49" s="472"/>
      <c r="NXQ49" s="473"/>
      <c r="NXR49" s="474"/>
      <c r="NXS49" s="471"/>
      <c r="NXT49" s="472"/>
      <c r="NXU49" s="473"/>
      <c r="NXV49" s="474"/>
      <c r="NXW49" s="471"/>
      <c r="NXX49" s="472"/>
      <c r="NXY49" s="473"/>
      <c r="NXZ49" s="474"/>
      <c r="NYA49" s="471"/>
      <c r="NYB49" s="472"/>
      <c r="NYC49" s="473"/>
      <c r="NYD49" s="474"/>
      <c r="NYE49" s="471"/>
      <c r="NYF49" s="472"/>
      <c r="NYG49" s="473"/>
      <c r="NYH49" s="474"/>
      <c r="NYI49" s="471"/>
      <c r="NYJ49" s="472"/>
      <c r="NYK49" s="473"/>
      <c r="NYL49" s="474"/>
      <c r="NYM49" s="471"/>
      <c r="NYN49" s="472"/>
      <c r="NYO49" s="473"/>
      <c r="NYP49" s="474"/>
      <c r="NYQ49" s="471"/>
      <c r="NYR49" s="472"/>
      <c r="NYS49" s="473"/>
      <c r="NYT49" s="474"/>
      <c r="NYU49" s="471"/>
      <c r="NYV49" s="472"/>
      <c r="NYW49" s="473"/>
      <c r="NYX49" s="474"/>
      <c r="NYY49" s="471"/>
      <c r="NYZ49" s="472"/>
      <c r="NZA49" s="473"/>
      <c r="NZB49" s="474"/>
      <c r="NZC49" s="471"/>
      <c r="NZD49" s="472"/>
      <c r="NZE49" s="473"/>
      <c r="NZF49" s="474"/>
      <c r="NZG49" s="471"/>
      <c r="NZH49" s="472"/>
      <c r="NZI49" s="473"/>
      <c r="NZJ49" s="474"/>
      <c r="NZK49" s="471"/>
      <c r="NZL49" s="472"/>
      <c r="NZM49" s="473"/>
      <c r="NZN49" s="474"/>
      <c r="NZO49" s="471"/>
      <c r="NZP49" s="472"/>
      <c r="NZQ49" s="473"/>
      <c r="NZR49" s="474"/>
      <c r="NZS49" s="471"/>
      <c r="NZT49" s="472"/>
      <c r="NZU49" s="473"/>
      <c r="NZV49" s="474"/>
      <c r="NZW49" s="471"/>
      <c r="NZX49" s="472"/>
      <c r="NZY49" s="473"/>
      <c r="NZZ49" s="474"/>
      <c r="OAA49" s="471"/>
      <c r="OAB49" s="472"/>
      <c r="OAC49" s="473"/>
      <c r="OAD49" s="474"/>
      <c r="OAE49" s="471"/>
      <c r="OAF49" s="472"/>
      <c r="OAG49" s="473"/>
      <c r="OAH49" s="474"/>
      <c r="OAI49" s="471"/>
      <c r="OAJ49" s="472"/>
      <c r="OAK49" s="473"/>
      <c r="OAL49" s="474"/>
      <c r="OAM49" s="471"/>
      <c r="OAN49" s="472"/>
      <c r="OAO49" s="473"/>
      <c r="OAP49" s="474"/>
      <c r="OAQ49" s="471"/>
      <c r="OAR49" s="472"/>
      <c r="OAS49" s="473"/>
      <c r="OAT49" s="474"/>
      <c r="OAU49" s="471"/>
      <c r="OAV49" s="472"/>
      <c r="OAW49" s="473"/>
      <c r="OAX49" s="474"/>
      <c r="OAY49" s="471"/>
      <c r="OAZ49" s="472"/>
      <c r="OBA49" s="473"/>
      <c r="OBB49" s="474"/>
      <c r="OBC49" s="471"/>
      <c r="OBD49" s="472"/>
      <c r="OBE49" s="473"/>
      <c r="OBF49" s="474"/>
      <c r="OBG49" s="471"/>
      <c r="OBH49" s="472"/>
      <c r="OBI49" s="473"/>
      <c r="OBJ49" s="474"/>
      <c r="OBK49" s="471"/>
      <c r="OBL49" s="472"/>
      <c r="OBM49" s="473"/>
      <c r="OBN49" s="474"/>
      <c r="OBO49" s="471"/>
      <c r="OBP49" s="472"/>
      <c r="OBQ49" s="473"/>
      <c r="OBR49" s="474"/>
      <c r="OBS49" s="471"/>
      <c r="OBT49" s="472"/>
      <c r="OBU49" s="473"/>
      <c r="OBV49" s="474"/>
      <c r="OBW49" s="471"/>
      <c r="OBX49" s="472"/>
      <c r="OBY49" s="473"/>
      <c r="OBZ49" s="474"/>
      <c r="OCA49" s="471"/>
      <c r="OCB49" s="472"/>
      <c r="OCC49" s="473"/>
      <c r="OCD49" s="474"/>
      <c r="OCE49" s="471"/>
      <c r="OCF49" s="472"/>
      <c r="OCG49" s="473"/>
      <c r="OCH49" s="474"/>
      <c r="OCI49" s="471"/>
      <c r="OCJ49" s="472"/>
      <c r="OCK49" s="473"/>
      <c r="OCL49" s="474"/>
      <c r="OCM49" s="471"/>
      <c r="OCN49" s="472"/>
      <c r="OCO49" s="473"/>
      <c r="OCP49" s="474"/>
      <c r="OCQ49" s="471"/>
      <c r="OCR49" s="472"/>
      <c r="OCS49" s="473"/>
      <c r="OCT49" s="474"/>
      <c r="OCU49" s="471"/>
      <c r="OCV49" s="472"/>
      <c r="OCW49" s="473"/>
      <c r="OCX49" s="474"/>
      <c r="OCY49" s="471"/>
      <c r="OCZ49" s="472"/>
      <c r="ODA49" s="473"/>
      <c r="ODB49" s="474"/>
      <c r="ODC49" s="471"/>
      <c r="ODD49" s="472"/>
      <c r="ODE49" s="473"/>
      <c r="ODF49" s="474"/>
      <c r="ODG49" s="471"/>
      <c r="ODH49" s="472"/>
      <c r="ODI49" s="473"/>
      <c r="ODJ49" s="474"/>
      <c r="ODK49" s="471"/>
      <c r="ODL49" s="472"/>
      <c r="ODM49" s="473"/>
      <c r="ODN49" s="474"/>
      <c r="ODO49" s="471"/>
      <c r="ODP49" s="472"/>
      <c r="ODQ49" s="473"/>
      <c r="ODR49" s="474"/>
      <c r="ODS49" s="471"/>
      <c r="ODT49" s="472"/>
      <c r="ODU49" s="473"/>
      <c r="ODV49" s="474"/>
      <c r="ODW49" s="471"/>
      <c r="ODX49" s="472"/>
      <c r="ODY49" s="473"/>
      <c r="ODZ49" s="474"/>
      <c r="OEA49" s="471"/>
      <c r="OEB49" s="472"/>
      <c r="OEC49" s="473"/>
      <c r="OED49" s="474"/>
      <c r="OEE49" s="471"/>
      <c r="OEF49" s="472"/>
      <c r="OEG49" s="473"/>
      <c r="OEH49" s="474"/>
      <c r="OEI49" s="471"/>
      <c r="OEJ49" s="472"/>
      <c r="OEK49" s="473"/>
      <c r="OEL49" s="474"/>
      <c r="OEM49" s="471"/>
      <c r="OEN49" s="472"/>
      <c r="OEO49" s="473"/>
      <c r="OEP49" s="474"/>
      <c r="OEQ49" s="471"/>
      <c r="OER49" s="472"/>
      <c r="OES49" s="473"/>
      <c r="OET49" s="474"/>
      <c r="OEU49" s="471"/>
      <c r="OEV49" s="472"/>
      <c r="OEW49" s="473"/>
      <c r="OEX49" s="474"/>
      <c r="OEY49" s="471"/>
      <c r="OEZ49" s="472"/>
      <c r="OFA49" s="473"/>
      <c r="OFB49" s="474"/>
      <c r="OFC49" s="471"/>
      <c r="OFD49" s="472"/>
      <c r="OFE49" s="473"/>
      <c r="OFF49" s="474"/>
      <c r="OFG49" s="471"/>
      <c r="OFH49" s="472"/>
      <c r="OFI49" s="473"/>
      <c r="OFJ49" s="474"/>
      <c r="OFK49" s="471"/>
      <c r="OFL49" s="472"/>
      <c r="OFM49" s="473"/>
      <c r="OFN49" s="474"/>
      <c r="OFO49" s="471"/>
      <c r="OFP49" s="472"/>
      <c r="OFQ49" s="473"/>
      <c r="OFR49" s="474"/>
      <c r="OFS49" s="471"/>
      <c r="OFT49" s="472"/>
      <c r="OFU49" s="473"/>
      <c r="OFV49" s="474"/>
      <c r="OFW49" s="471"/>
      <c r="OFX49" s="472"/>
      <c r="OFY49" s="473"/>
      <c r="OFZ49" s="474"/>
      <c r="OGA49" s="471"/>
      <c r="OGB49" s="472"/>
      <c r="OGC49" s="473"/>
      <c r="OGD49" s="474"/>
      <c r="OGE49" s="471"/>
      <c r="OGF49" s="472"/>
      <c r="OGG49" s="473"/>
      <c r="OGH49" s="474"/>
      <c r="OGI49" s="471"/>
      <c r="OGJ49" s="472"/>
      <c r="OGK49" s="473"/>
      <c r="OGL49" s="474"/>
      <c r="OGM49" s="471"/>
      <c r="OGN49" s="472"/>
      <c r="OGO49" s="473"/>
      <c r="OGP49" s="474"/>
      <c r="OGQ49" s="471"/>
      <c r="OGR49" s="472"/>
      <c r="OGS49" s="473"/>
      <c r="OGT49" s="474"/>
      <c r="OGU49" s="471"/>
      <c r="OGV49" s="472"/>
      <c r="OGW49" s="473"/>
      <c r="OGX49" s="474"/>
      <c r="OGY49" s="471"/>
      <c r="OGZ49" s="472"/>
      <c r="OHA49" s="473"/>
      <c r="OHB49" s="474"/>
      <c r="OHC49" s="471"/>
      <c r="OHD49" s="472"/>
      <c r="OHE49" s="473"/>
      <c r="OHF49" s="474"/>
      <c r="OHG49" s="471"/>
      <c r="OHH49" s="472"/>
      <c r="OHI49" s="473"/>
      <c r="OHJ49" s="474"/>
      <c r="OHK49" s="471"/>
      <c r="OHL49" s="472"/>
      <c r="OHM49" s="473"/>
      <c r="OHN49" s="474"/>
      <c r="OHO49" s="471"/>
      <c r="OHP49" s="472"/>
      <c r="OHQ49" s="473"/>
      <c r="OHR49" s="474"/>
      <c r="OHS49" s="471"/>
      <c r="OHT49" s="472"/>
      <c r="OHU49" s="473"/>
      <c r="OHV49" s="474"/>
      <c r="OHW49" s="471"/>
      <c r="OHX49" s="472"/>
      <c r="OHY49" s="473"/>
      <c r="OHZ49" s="474"/>
      <c r="OIA49" s="471"/>
      <c r="OIB49" s="472"/>
      <c r="OIC49" s="473"/>
      <c r="OID49" s="474"/>
      <c r="OIE49" s="471"/>
      <c r="OIF49" s="472"/>
      <c r="OIG49" s="473"/>
      <c r="OIH49" s="474"/>
      <c r="OII49" s="471"/>
      <c r="OIJ49" s="472"/>
      <c r="OIK49" s="473"/>
      <c r="OIL49" s="474"/>
      <c r="OIM49" s="471"/>
      <c r="OIN49" s="472"/>
      <c r="OIO49" s="473"/>
      <c r="OIP49" s="474"/>
      <c r="OIQ49" s="471"/>
      <c r="OIR49" s="472"/>
      <c r="OIS49" s="473"/>
      <c r="OIT49" s="474"/>
      <c r="OIU49" s="471"/>
      <c r="OIV49" s="472"/>
      <c r="OIW49" s="473"/>
      <c r="OIX49" s="474"/>
      <c r="OIY49" s="471"/>
      <c r="OIZ49" s="472"/>
      <c r="OJA49" s="473"/>
      <c r="OJB49" s="474"/>
      <c r="OJC49" s="471"/>
      <c r="OJD49" s="472"/>
      <c r="OJE49" s="473"/>
      <c r="OJF49" s="474"/>
      <c r="OJG49" s="471"/>
      <c r="OJH49" s="472"/>
      <c r="OJI49" s="473"/>
      <c r="OJJ49" s="474"/>
      <c r="OJK49" s="471"/>
      <c r="OJL49" s="472"/>
      <c r="OJM49" s="473"/>
      <c r="OJN49" s="474"/>
      <c r="OJO49" s="471"/>
      <c r="OJP49" s="472"/>
      <c r="OJQ49" s="473"/>
      <c r="OJR49" s="474"/>
      <c r="OJS49" s="471"/>
      <c r="OJT49" s="472"/>
      <c r="OJU49" s="473"/>
      <c r="OJV49" s="474"/>
      <c r="OJW49" s="471"/>
      <c r="OJX49" s="472"/>
      <c r="OJY49" s="473"/>
      <c r="OJZ49" s="474"/>
      <c r="OKA49" s="471"/>
      <c r="OKB49" s="472"/>
      <c r="OKC49" s="473"/>
      <c r="OKD49" s="474"/>
      <c r="OKE49" s="471"/>
      <c r="OKF49" s="472"/>
      <c r="OKG49" s="473"/>
      <c r="OKH49" s="474"/>
      <c r="OKI49" s="471"/>
      <c r="OKJ49" s="472"/>
      <c r="OKK49" s="473"/>
      <c r="OKL49" s="474"/>
      <c r="OKM49" s="471"/>
      <c r="OKN49" s="472"/>
      <c r="OKO49" s="473"/>
      <c r="OKP49" s="474"/>
      <c r="OKQ49" s="471"/>
      <c r="OKR49" s="472"/>
      <c r="OKS49" s="473"/>
      <c r="OKT49" s="474"/>
      <c r="OKU49" s="471"/>
      <c r="OKV49" s="472"/>
      <c r="OKW49" s="473"/>
      <c r="OKX49" s="474"/>
      <c r="OKY49" s="471"/>
      <c r="OKZ49" s="472"/>
      <c r="OLA49" s="473"/>
      <c r="OLB49" s="474"/>
      <c r="OLC49" s="471"/>
      <c r="OLD49" s="472"/>
      <c r="OLE49" s="473"/>
      <c r="OLF49" s="474"/>
      <c r="OLG49" s="471"/>
      <c r="OLH49" s="472"/>
      <c r="OLI49" s="473"/>
      <c r="OLJ49" s="474"/>
      <c r="OLK49" s="471"/>
      <c r="OLL49" s="472"/>
      <c r="OLM49" s="473"/>
      <c r="OLN49" s="474"/>
      <c r="OLO49" s="471"/>
      <c r="OLP49" s="472"/>
      <c r="OLQ49" s="473"/>
      <c r="OLR49" s="474"/>
      <c r="OLS49" s="471"/>
      <c r="OLT49" s="472"/>
      <c r="OLU49" s="473"/>
      <c r="OLV49" s="474"/>
      <c r="OLW49" s="471"/>
      <c r="OLX49" s="472"/>
      <c r="OLY49" s="473"/>
      <c r="OLZ49" s="474"/>
      <c r="OMA49" s="471"/>
      <c r="OMB49" s="472"/>
      <c r="OMC49" s="473"/>
      <c r="OMD49" s="474"/>
      <c r="OME49" s="471"/>
      <c r="OMF49" s="472"/>
      <c r="OMG49" s="473"/>
      <c r="OMH49" s="474"/>
      <c r="OMI49" s="471"/>
      <c r="OMJ49" s="472"/>
      <c r="OMK49" s="473"/>
      <c r="OML49" s="474"/>
      <c r="OMM49" s="471"/>
      <c r="OMN49" s="472"/>
      <c r="OMO49" s="473"/>
      <c r="OMP49" s="474"/>
      <c r="OMQ49" s="471"/>
      <c r="OMR49" s="472"/>
      <c r="OMS49" s="473"/>
      <c r="OMT49" s="474"/>
      <c r="OMU49" s="471"/>
      <c r="OMV49" s="472"/>
      <c r="OMW49" s="473"/>
      <c r="OMX49" s="474"/>
      <c r="OMY49" s="471"/>
      <c r="OMZ49" s="472"/>
      <c r="ONA49" s="473"/>
      <c r="ONB49" s="474"/>
      <c r="ONC49" s="471"/>
      <c r="OND49" s="472"/>
      <c r="ONE49" s="473"/>
      <c r="ONF49" s="474"/>
      <c r="ONG49" s="471"/>
      <c r="ONH49" s="472"/>
      <c r="ONI49" s="473"/>
      <c r="ONJ49" s="474"/>
      <c r="ONK49" s="471"/>
      <c r="ONL49" s="472"/>
      <c r="ONM49" s="473"/>
      <c r="ONN49" s="474"/>
      <c r="ONO49" s="471"/>
      <c r="ONP49" s="472"/>
      <c r="ONQ49" s="473"/>
      <c r="ONR49" s="474"/>
      <c r="ONS49" s="471"/>
      <c r="ONT49" s="472"/>
      <c r="ONU49" s="473"/>
      <c r="ONV49" s="474"/>
      <c r="ONW49" s="471"/>
      <c r="ONX49" s="472"/>
      <c r="ONY49" s="473"/>
      <c r="ONZ49" s="474"/>
      <c r="OOA49" s="471"/>
      <c r="OOB49" s="472"/>
      <c r="OOC49" s="473"/>
      <c r="OOD49" s="474"/>
      <c r="OOE49" s="471"/>
      <c r="OOF49" s="472"/>
      <c r="OOG49" s="473"/>
      <c r="OOH49" s="474"/>
      <c r="OOI49" s="471"/>
      <c r="OOJ49" s="472"/>
      <c r="OOK49" s="473"/>
      <c r="OOL49" s="474"/>
      <c r="OOM49" s="471"/>
      <c r="OON49" s="472"/>
      <c r="OOO49" s="473"/>
      <c r="OOP49" s="474"/>
      <c r="OOQ49" s="471"/>
      <c r="OOR49" s="472"/>
      <c r="OOS49" s="473"/>
      <c r="OOT49" s="474"/>
      <c r="OOU49" s="471"/>
      <c r="OOV49" s="472"/>
      <c r="OOW49" s="473"/>
      <c r="OOX49" s="474"/>
      <c r="OOY49" s="471"/>
      <c r="OOZ49" s="472"/>
      <c r="OPA49" s="473"/>
      <c r="OPB49" s="474"/>
      <c r="OPC49" s="471"/>
      <c r="OPD49" s="472"/>
      <c r="OPE49" s="473"/>
      <c r="OPF49" s="474"/>
      <c r="OPG49" s="471"/>
      <c r="OPH49" s="472"/>
      <c r="OPI49" s="473"/>
      <c r="OPJ49" s="474"/>
      <c r="OPK49" s="471"/>
      <c r="OPL49" s="472"/>
      <c r="OPM49" s="473"/>
      <c r="OPN49" s="474"/>
      <c r="OPO49" s="471"/>
      <c r="OPP49" s="472"/>
      <c r="OPQ49" s="473"/>
      <c r="OPR49" s="474"/>
      <c r="OPS49" s="471"/>
      <c r="OPT49" s="472"/>
      <c r="OPU49" s="473"/>
      <c r="OPV49" s="474"/>
      <c r="OPW49" s="471"/>
      <c r="OPX49" s="472"/>
      <c r="OPY49" s="473"/>
      <c r="OPZ49" s="474"/>
      <c r="OQA49" s="471"/>
      <c r="OQB49" s="472"/>
      <c r="OQC49" s="473"/>
      <c r="OQD49" s="474"/>
      <c r="OQE49" s="471"/>
      <c r="OQF49" s="472"/>
      <c r="OQG49" s="473"/>
      <c r="OQH49" s="474"/>
      <c r="OQI49" s="471"/>
      <c r="OQJ49" s="472"/>
      <c r="OQK49" s="473"/>
      <c r="OQL49" s="474"/>
      <c r="OQM49" s="471"/>
      <c r="OQN49" s="472"/>
      <c r="OQO49" s="473"/>
      <c r="OQP49" s="474"/>
      <c r="OQQ49" s="471"/>
      <c r="OQR49" s="472"/>
      <c r="OQS49" s="473"/>
      <c r="OQT49" s="474"/>
      <c r="OQU49" s="471"/>
      <c r="OQV49" s="472"/>
      <c r="OQW49" s="473"/>
      <c r="OQX49" s="474"/>
      <c r="OQY49" s="471"/>
      <c r="OQZ49" s="472"/>
      <c r="ORA49" s="473"/>
      <c r="ORB49" s="474"/>
      <c r="ORC49" s="471"/>
      <c r="ORD49" s="472"/>
      <c r="ORE49" s="473"/>
      <c r="ORF49" s="474"/>
      <c r="ORG49" s="471"/>
      <c r="ORH49" s="472"/>
      <c r="ORI49" s="473"/>
      <c r="ORJ49" s="474"/>
      <c r="ORK49" s="471"/>
      <c r="ORL49" s="472"/>
      <c r="ORM49" s="473"/>
      <c r="ORN49" s="474"/>
      <c r="ORO49" s="471"/>
      <c r="ORP49" s="472"/>
      <c r="ORQ49" s="473"/>
      <c r="ORR49" s="474"/>
      <c r="ORS49" s="471"/>
      <c r="ORT49" s="472"/>
      <c r="ORU49" s="473"/>
      <c r="ORV49" s="474"/>
      <c r="ORW49" s="471"/>
      <c r="ORX49" s="472"/>
      <c r="ORY49" s="473"/>
      <c r="ORZ49" s="474"/>
      <c r="OSA49" s="471"/>
      <c r="OSB49" s="472"/>
      <c r="OSC49" s="473"/>
      <c r="OSD49" s="474"/>
      <c r="OSE49" s="471"/>
      <c r="OSF49" s="472"/>
      <c r="OSG49" s="473"/>
      <c r="OSH49" s="474"/>
      <c r="OSI49" s="471"/>
      <c r="OSJ49" s="472"/>
      <c r="OSK49" s="473"/>
      <c r="OSL49" s="474"/>
      <c r="OSM49" s="471"/>
      <c r="OSN49" s="472"/>
      <c r="OSO49" s="473"/>
      <c r="OSP49" s="474"/>
      <c r="OSQ49" s="471"/>
      <c r="OSR49" s="472"/>
      <c r="OSS49" s="473"/>
      <c r="OST49" s="474"/>
      <c r="OSU49" s="471"/>
      <c r="OSV49" s="472"/>
      <c r="OSW49" s="473"/>
      <c r="OSX49" s="474"/>
      <c r="OSY49" s="471"/>
      <c r="OSZ49" s="472"/>
      <c r="OTA49" s="473"/>
      <c r="OTB49" s="474"/>
      <c r="OTC49" s="471"/>
      <c r="OTD49" s="472"/>
      <c r="OTE49" s="473"/>
      <c r="OTF49" s="474"/>
      <c r="OTG49" s="471"/>
      <c r="OTH49" s="472"/>
      <c r="OTI49" s="473"/>
      <c r="OTJ49" s="474"/>
      <c r="OTK49" s="471"/>
      <c r="OTL49" s="472"/>
      <c r="OTM49" s="473"/>
      <c r="OTN49" s="474"/>
      <c r="OTO49" s="471"/>
      <c r="OTP49" s="472"/>
      <c r="OTQ49" s="473"/>
      <c r="OTR49" s="474"/>
      <c r="OTS49" s="471"/>
      <c r="OTT49" s="472"/>
      <c r="OTU49" s="473"/>
      <c r="OTV49" s="474"/>
      <c r="OTW49" s="471"/>
      <c r="OTX49" s="472"/>
      <c r="OTY49" s="473"/>
      <c r="OTZ49" s="474"/>
      <c r="OUA49" s="471"/>
      <c r="OUB49" s="472"/>
      <c r="OUC49" s="473"/>
      <c r="OUD49" s="474"/>
      <c r="OUE49" s="471"/>
      <c r="OUF49" s="472"/>
      <c r="OUG49" s="473"/>
      <c r="OUH49" s="474"/>
      <c r="OUI49" s="471"/>
      <c r="OUJ49" s="472"/>
      <c r="OUK49" s="473"/>
      <c r="OUL49" s="474"/>
      <c r="OUM49" s="471"/>
      <c r="OUN49" s="472"/>
      <c r="OUO49" s="473"/>
      <c r="OUP49" s="474"/>
      <c r="OUQ49" s="471"/>
      <c r="OUR49" s="472"/>
      <c r="OUS49" s="473"/>
      <c r="OUT49" s="474"/>
      <c r="OUU49" s="471"/>
      <c r="OUV49" s="472"/>
      <c r="OUW49" s="473"/>
      <c r="OUX49" s="474"/>
      <c r="OUY49" s="471"/>
      <c r="OUZ49" s="472"/>
      <c r="OVA49" s="473"/>
      <c r="OVB49" s="474"/>
      <c r="OVC49" s="471"/>
      <c r="OVD49" s="472"/>
      <c r="OVE49" s="473"/>
      <c r="OVF49" s="474"/>
      <c r="OVG49" s="471"/>
      <c r="OVH49" s="472"/>
      <c r="OVI49" s="473"/>
      <c r="OVJ49" s="474"/>
      <c r="OVK49" s="471"/>
      <c r="OVL49" s="472"/>
      <c r="OVM49" s="473"/>
      <c r="OVN49" s="474"/>
      <c r="OVO49" s="471"/>
      <c r="OVP49" s="472"/>
      <c r="OVQ49" s="473"/>
      <c r="OVR49" s="474"/>
      <c r="OVS49" s="471"/>
      <c r="OVT49" s="472"/>
      <c r="OVU49" s="473"/>
      <c r="OVV49" s="474"/>
      <c r="OVW49" s="471"/>
      <c r="OVX49" s="472"/>
      <c r="OVY49" s="473"/>
      <c r="OVZ49" s="474"/>
      <c r="OWA49" s="471"/>
      <c r="OWB49" s="472"/>
      <c r="OWC49" s="473"/>
      <c r="OWD49" s="474"/>
      <c r="OWE49" s="471"/>
      <c r="OWF49" s="472"/>
      <c r="OWG49" s="473"/>
      <c r="OWH49" s="474"/>
      <c r="OWI49" s="471"/>
      <c r="OWJ49" s="472"/>
      <c r="OWK49" s="473"/>
      <c r="OWL49" s="474"/>
      <c r="OWM49" s="471"/>
      <c r="OWN49" s="472"/>
      <c r="OWO49" s="473"/>
      <c r="OWP49" s="474"/>
      <c r="OWQ49" s="471"/>
      <c r="OWR49" s="472"/>
      <c r="OWS49" s="473"/>
      <c r="OWT49" s="474"/>
      <c r="OWU49" s="471"/>
      <c r="OWV49" s="472"/>
      <c r="OWW49" s="473"/>
      <c r="OWX49" s="474"/>
      <c r="OWY49" s="471"/>
      <c r="OWZ49" s="472"/>
      <c r="OXA49" s="473"/>
      <c r="OXB49" s="474"/>
      <c r="OXC49" s="471"/>
      <c r="OXD49" s="472"/>
      <c r="OXE49" s="473"/>
      <c r="OXF49" s="474"/>
      <c r="OXG49" s="471"/>
      <c r="OXH49" s="472"/>
      <c r="OXI49" s="473"/>
      <c r="OXJ49" s="474"/>
      <c r="OXK49" s="471"/>
      <c r="OXL49" s="472"/>
      <c r="OXM49" s="473"/>
      <c r="OXN49" s="474"/>
      <c r="OXO49" s="471"/>
      <c r="OXP49" s="472"/>
      <c r="OXQ49" s="473"/>
      <c r="OXR49" s="474"/>
      <c r="OXS49" s="471"/>
      <c r="OXT49" s="472"/>
      <c r="OXU49" s="473"/>
      <c r="OXV49" s="474"/>
      <c r="OXW49" s="471"/>
      <c r="OXX49" s="472"/>
      <c r="OXY49" s="473"/>
      <c r="OXZ49" s="474"/>
      <c r="OYA49" s="471"/>
      <c r="OYB49" s="472"/>
      <c r="OYC49" s="473"/>
      <c r="OYD49" s="474"/>
      <c r="OYE49" s="471"/>
      <c r="OYF49" s="472"/>
      <c r="OYG49" s="473"/>
      <c r="OYH49" s="474"/>
      <c r="OYI49" s="471"/>
      <c r="OYJ49" s="472"/>
      <c r="OYK49" s="473"/>
      <c r="OYL49" s="474"/>
      <c r="OYM49" s="471"/>
      <c r="OYN49" s="472"/>
      <c r="OYO49" s="473"/>
      <c r="OYP49" s="474"/>
      <c r="OYQ49" s="471"/>
      <c r="OYR49" s="472"/>
      <c r="OYS49" s="473"/>
      <c r="OYT49" s="474"/>
      <c r="OYU49" s="471"/>
      <c r="OYV49" s="472"/>
      <c r="OYW49" s="473"/>
      <c r="OYX49" s="474"/>
      <c r="OYY49" s="471"/>
      <c r="OYZ49" s="472"/>
      <c r="OZA49" s="473"/>
      <c r="OZB49" s="474"/>
      <c r="OZC49" s="471"/>
      <c r="OZD49" s="472"/>
      <c r="OZE49" s="473"/>
      <c r="OZF49" s="474"/>
      <c r="OZG49" s="471"/>
      <c r="OZH49" s="472"/>
      <c r="OZI49" s="473"/>
      <c r="OZJ49" s="474"/>
      <c r="OZK49" s="471"/>
      <c r="OZL49" s="472"/>
      <c r="OZM49" s="473"/>
      <c r="OZN49" s="474"/>
      <c r="OZO49" s="471"/>
      <c r="OZP49" s="472"/>
      <c r="OZQ49" s="473"/>
      <c r="OZR49" s="474"/>
      <c r="OZS49" s="471"/>
      <c r="OZT49" s="472"/>
      <c r="OZU49" s="473"/>
      <c r="OZV49" s="474"/>
      <c r="OZW49" s="471"/>
      <c r="OZX49" s="472"/>
      <c r="OZY49" s="473"/>
      <c r="OZZ49" s="474"/>
      <c r="PAA49" s="471"/>
      <c r="PAB49" s="472"/>
      <c r="PAC49" s="473"/>
      <c r="PAD49" s="474"/>
      <c r="PAE49" s="471"/>
      <c r="PAF49" s="472"/>
      <c r="PAG49" s="473"/>
      <c r="PAH49" s="474"/>
      <c r="PAI49" s="471"/>
      <c r="PAJ49" s="472"/>
      <c r="PAK49" s="473"/>
      <c r="PAL49" s="474"/>
      <c r="PAM49" s="471"/>
      <c r="PAN49" s="472"/>
      <c r="PAO49" s="473"/>
      <c r="PAP49" s="474"/>
      <c r="PAQ49" s="471"/>
      <c r="PAR49" s="472"/>
      <c r="PAS49" s="473"/>
      <c r="PAT49" s="474"/>
      <c r="PAU49" s="471"/>
      <c r="PAV49" s="472"/>
      <c r="PAW49" s="473"/>
      <c r="PAX49" s="474"/>
      <c r="PAY49" s="471"/>
      <c r="PAZ49" s="472"/>
      <c r="PBA49" s="473"/>
      <c r="PBB49" s="474"/>
      <c r="PBC49" s="471"/>
      <c r="PBD49" s="472"/>
      <c r="PBE49" s="473"/>
      <c r="PBF49" s="474"/>
      <c r="PBG49" s="471"/>
      <c r="PBH49" s="472"/>
      <c r="PBI49" s="473"/>
      <c r="PBJ49" s="474"/>
      <c r="PBK49" s="471"/>
      <c r="PBL49" s="472"/>
      <c r="PBM49" s="473"/>
      <c r="PBN49" s="474"/>
      <c r="PBO49" s="471"/>
      <c r="PBP49" s="472"/>
      <c r="PBQ49" s="473"/>
      <c r="PBR49" s="474"/>
      <c r="PBS49" s="471"/>
      <c r="PBT49" s="472"/>
      <c r="PBU49" s="473"/>
      <c r="PBV49" s="474"/>
      <c r="PBW49" s="471"/>
      <c r="PBX49" s="472"/>
      <c r="PBY49" s="473"/>
      <c r="PBZ49" s="474"/>
      <c r="PCA49" s="471"/>
      <c r="PCB49" s="472"/>
      <c r="PCC49" s="473"/>
      <c r="PCD49" s="474"/>
      <c r="PCE49" s="471"/>
      <c r="PCF49" s="472"/>
      <c r="PCG49" s="473"/>
      <c r="PCH49" s="474"/>
      <c r="PCI49" s="471"/>
      <c r="PCJ49" s="472"/>
      <c r="PCK49" s="473"/>
      <c r="PCL49" s="474"/>
      <c r="PCM49" s="471"/>
      <c r="PCN49" s="472"/>
      <c r="PCO49" s="473"/>
      <c r="PCP49" s="474"/>
      <c r="PCQ49" s="471"/>
      <c r="PCR49" s="472"/>
      <c r="PCS49" s="473"/>
      <c r="PCT49" s="474"/>
      <c r="PCU49" s="471"/>
      <c r="PCV49" s="472"/>
      <c r="PCW49" s="473"/>
      <c r="PCX49" s="474"/>
      <c r="PCY49" s="471"/>
      <c r="PCZ49" s="472"/>
      <c r="PDA49" s="473"/>
      <c r="PDB49" s="474"/>
      <c r="PDC49" s="471"/>
      <c r="PDD49" s="472"/>
      <c r="PDE49" s="473"/>
      <c r="PDF49" s="474"/>
      <c r="PDG49" s="471"/>
      <c r="PDH49" s="472"/>
      <c r="PDI49" s="473"/>
      <c r="PDJ49" s="474"/>
      <c r="PDK49" s="471"/>
      <c r="PDL49" s="472"/>
      <c r="PDM49" s="473"/>
      <c r="PDN49" s="474"/>
      <c r="PDO49" s="471"/>
      <c r="PDP49" s="472"/>
      <c r="PDQ49" s="473"/>
      <c r="PDR49" s="474"/>
      <c r="PDS49" s="471"/>
      <c r="PDT49" s="472"/>
      <c r="PDU49" s="473"/>
      <c r="PDV49" s="474"/>
      <c r="PDW49" s="471"/>
      <c r="PDX49" s="472"/>
      <c r="PDY49" s="473"/>
      <c r="PDZ49" s="474"/>
      <c r="PEA49" s="471"/>
      <c r="PEB49" s="472"/>
      <c r="PEC49" s="473"/>
      <c r="PED49" s="474"/>
      <c r="PEE49" s="471"/>
      <c r="PEF49" s="472"/>
      <c r="PEG49" s="473"/>
      <c r="PEH49" s="474"/>
      <c r="PEI49" s="471"/>
      <c r="PEJ49" s="472"/>
      <c r="PEK49" s="473"/>
      <c r="PEL49" s="474"/>
      <c r="PEM49" s="471"/>
      <c r="PEN49" s="472"/>
      <c r="PEO49" s="473"/>
      <c r="PEP49" s="474"/>
      <c r="PEQ49" s="471"/>
      <c r="PER49" s="472"/>
      <c r="PES49" s="473"/>
      <c r="PET49" s="474"/>
      <c r="PEU49" s="471"/>
      <c r="PEV49" s="472"/>
      <c r="PEW49" s="473"/>
      <c r="PEX49" s="474"/>
      <c r="PEY49" s="471"/>
      <c r="PEZ49" s="472"/>
      <c r="PFA49" s="473"/>
      <c r="PFB49" s="474"/>
      <c r="PFC49" s="471"/>
      <c r="PFD49" s="472"/>
      <c r="PFE49" s="473"/>
      <c r="PFF49" s="474"/>
      <c r="PFG49" s="471"/>
      <c r="PFH49" s="472"/>
      <c r="PFI49" s="473"/>
      <c r="PFJ49" s="474"/>
      <c r="PFK49" s="471"/>
      <c r="PFL49" s="472"/>
      <c r="PFM49" s="473"/>
      <c r="PFN49" s="474"/>
      <c r="PFO49" s="471"/>
      <c r="PFP49" s="472"/>
      <c r="PFQ49" s="473"/>
      <c r="PFR49" s="474"/>
      <c r="PFS49" s="471"/>
      <c r="PFT49" s="472"/>
      <c r="PFU49" s="473"/>
      <c r="PFV49" s="474"/>
      <c r="PFW49" s="471"/>
      <c r="PFX49" s="472"/>
      <c r="PFY49" s="473"/>
      <c r="PFZ49" s="474"/>
      <c r="PGA49" s="471"/>
      <c r="PGB49" s="472"/>
      <c r="PGC49" s="473"/>
      <c r="PGD49" s="474"/>
      <c r="PGE49" s="471"/>
      <c r="PGF49" s="472"/>
      <c r="PGG49" s="473"/>
      <c r="PGH49" s="474"/>
      <c r="PGI49" s="471"/>
      <c r="PGJ49" s="472"/>
      <c r="PGK49" s="473"/>
      <c r="PGL49" s="474"/>
      <c r="PGM49" s="471"/>
      <c r="PGN49" s="472"/>
      <c r="PGO49" s="473"/>
      <c r="PGP49" s="474"/>
      <c r="PGQ49" s="471"/>
      <c r="PGR49" s="472"/>
      <c r="PGS49" s="473"/>
      <c r="PGT49" s="474"/>
      <c r="PGU49" s="471"/>
      <c r="PGV49" s="472"/>
      <c r="PGW49" s="473"/>
      <c r="PGX49" s="474"/>
      <c r="PGY49" s="471"/>
      <c r="PGZ49" s="472"/>
      <c r="PHA49" s="473"/>
      <c r="PHB49" s="474"/>
      <c r="PHC49" s="471"/>
      <c r="PHD49" s="472"/>
      <c r="PHE49" s="473"/>
      <c r="PHF49" s="474"/>
      <c r="PHG49" s="471"/>
      <c r="PHH49" s="472"/>
      <c r="PHI49" s="473"/>
      <c r="PHJ49" s="474"/>
      <c r="PHK49" s="471"/>
      <c r="PHL49" s="472"/>
      <c r="PHM49" s="473"/>
      <c r="PHN49" s="474"/>
      <c r="PHO49" s="471"/>
      <c r="PHP49" s="472"/>
      <c r="PHQ49" s="473"/>
      <c r="PHR49" s="474"/>
      <c r="PHS49" s="471"/>
      <c r="PHT49" s="472"/>
      <c r="PHU49" s="473"/>
      <c r="PHV49" s="474"/>
      <c r="PHW49" s="471"/>
      <c r="PHX49" s="472"/>
      <c r="PHY49" s="473"/>
      <c r="PHZ49" s="474"/>
      <c r="PIA49" s="471"/>
      <c r="PIB49" s="472"/>
      <c r="PIC49" s="473"/>
      <c r="PID49" s="474"/>
      <c r="PIE49" s="471"/>
      <c r="PIF49" s="472"/>
      <c r="PIG49" s="473"/>
      <c r="PIH49" s="474"/>
      <c r="PII49" s="471"/>
      <c r="PIJ49" s="472"/>
      <c r="PIK49" s="473"/>
      <c r="PIL49" s="474"/>
      <c r="PIM49" s="471"/>
      <c r="PIN49" s="472"/>
      <c r="PIO49" s="473"/>
      <c r="PIP49" s="474"/>
      <c r="PIQ49" s="471"/>
      <c r="PIR49" s="472"/>
      <c r="PIS49" s="473"/>
      <c r="PIT49" s="474"/>
      <c r="PIU49" s="471"/>
      <c r="PIV49" s="472"/>
      <c r="PIW49" s="473"/>
      <c r="PIX49" s="474"/>
      <c r="PIY49" s="471"/>
      <c r="PIZ49" s="472"/>
      <c r="PJA49" s="473"/>
      <c r="PJB49" s="474"/>
      <c r="PJC49" s="471"/>
      <c r="PJD49" s="472"/>
      <c r="PJE49" s="473"/>
      <c r="PJF49" s="474"/>
      <c r="PJG49" s="471"/>
      <c r="PJH49" s="472"/>
      <c r="PJI49" s="473"/>
      <c r="PJJ49" s="474"/>
      <c r="PJK49" s="471"/>
      <c r="PJL49" s="472"/>
      <c r="PJM49" s="473"/>
      <c r="PJN49" s="474"/>
      <c r="PJO49" s="471"/>
      <c r="PJP49" s="472"/>
      <c r="PJQ49" s="473"/>
      <c r="PJR49" s="474"/>
      <c r="PJS49" s="471"/>
      <c r="PJT49" s="472"/>
      <c r="PJU49" s="473"/>
      <c r="PJV49" s="474"/>
      <c r="PJW49" s="471"/>
      <c r="PJX49" s="472"/>
      <c r="PJY49" s="473"/>
      <c r="PJZ49" s="474"/>
      <c r="PKA49" s="471"/>
      <c r="PKB49" s="472"/>
      <c r="PKC49" s="473"/>
      <c r="PKD49" s="474"/>
      <c r="PKE49" s="471"/>
      <c r="PKF49" s="472"/>
      <c r="PKG49" s="473"/>
      <c r="PKH49" s="474"/>
      <c r="PKI49" s="471"/>
      <c r="PKJ49" s="472"/>
      <c r="PKK49" s="473"/>
      <c r="PKL49" s="474"/>
      <c r="PKM49" s="471"/>
      <c r="PKN49" s="472"/>
      <c r="PKO49" s="473"/>
      <c r="PKP49" s="474"/>
      <c r="PKQ49" s="471"/>
      <c r="PKR49" s="472"/>
      <c r="PKS49" s="473"/>
      <c r="PKT49" s="474"/>
      <c r="PKU49" s="471"/>
      <c r="PKV49" s="472"/>
      <c r="PKW49" s="473"/>
      <c r="PKX49" s="474"/>
      <c r="PKY49" s="471"/>
      <c r="PKZ49" s="472"/>
      <c r="PLA49" s="473"/>
      <c r="PLB49" s="474"/>
      <c r="PLC49" s="471"/>
      <c r="PLD49" s="472"/>
      <c r="PLE49" s="473"/>
      <c r="PLF49" s="474"/>
      <c r="PLG49" s="471"/>
      <c r="PLH49" s="472"/>
      <c r="PLI49" s="473"/>
      <c r="PLJ49" s="474"/>
      <c r="PLK49" s="471"/>
      <c r="PLL49" s="472"/>
      <c r="PLM49" s="473"/>
      <c r="PLN49" s="474"/>
      <c r="PLO49" s="471"/>
      <c r="PLP49" s="472"/>
      <c r="PLQ49" s="473"/>
      <c r="PLR49" s="474"/>
      <c r="PLS49" s="471"/>
      <c r="PLT49" s="472"/>
      <c r="PLU49" s="473"/>
      <c r="PLV49" s="474"/>
      <c r="PLW49" s="471"/>
      <c r="PLX49" s="472"/>
      <c r="PLY49" s="473"/>
      <c r="PLZ49" s="474"/>
      <c r="PMA49" s="471"/>
      <c r="PMB49" s="472"/>
      <c r="PMC49" s="473"/>
      <c r="PMD49" s="474"/>
      <c r="PME49" s="471"/>
      <c r="PMF49" s="472"/>
      <c r="PMG49" s="473"/>
      <c r="PMH49" s="474"/>
      <c r="PMI49" s="471"/>
      <c r="PMJ49" s="472"/>
      <c r="PMK49" s="473"/>
      <c r="PML49" s="474"/>
      <c r="PMM49" s="471"/>
      <c r="PMN49" s="472"/>
      <c r="PMO49" s="473"/>
      <c r="PMP49" s="474"/>
      <c r="PMQ49" s="471"/>
      <c r="PMR49" s="472"/>
      <c r="PMS49" s="473"/>
      <c r="PMT49" s="474"/>
      <c r="PMU49" s="471"/>
      <c r="PMV49" s="472"/>
      <c r="PMW49" s="473"/>
      <c r="PMX49" s="474"/>
      <c r="PMY49" s="471"/>
      <c r="PMZ49" s="472"/>
      <c r="PNA49" s="473"/>
      <c r="PNB49" s="474"/>
      <c r="PNC49" s="471"/>
      <c r="PND49" s="472"/>
      <c r="PNE49" s="473"/>
      <c r="PNF49" s="474"/>
      <c r="PNG49" s="471"/>
      <c r="PNH49" s="472"/>
      <c r="PNI49" s="473"/>
      <c r="PNJ49" s="474"/>
      <c r="PNK49" s="471"/>
      <c r="PNL49" s="472"/>
      <c r="PNM49" s="473"/>
      <c r="PNN49" s="474"/>
      <c r="PNO49" s="471"/>
      <c r="PNP49" s="472"/>
      <c r="PNQ49" s="473"/>
      <c r="PNR49" s="474"/>
      <c r="PNS49" s="471"/>
      <c r="PNT49" s="472"/>
      <c r="PNU49" s="473"/>
      <c r="PNV49" s="474"/>
      <c r="PNW49" s="471"/>
      <c r="PNX49" s="472"/>
      <c r="PNY49" s="473"/>
      <c r="PNZ49" s="474"/>
      <c r="POA49" s="471"/>
      <c r="POB49" s="472"/>
      <c r="POC49" s="473"/>
      <c r="POD49" s="474"/>
      <c r="POE49" s="471"/>
      <c r="POF49" s="472"/>
      <c r="POG49" s="473"/>
      <c r="POH49" s="474"/>
      <c r="POI49" s="471"/>
      <c r="POJ49" s="472"/>
      <c r="POK49" s="473"/>
      <c r="POL49" s="474"/>
      <c r="POM49" s="471"/>
      <c r="PON49" s="472"/>
      <c r="POO49" s="473"/>
      <c r="POP49" s="474"/>
      <c r="POQ49" s="471"/>
      <c r="POR49" s="472"/>
      <c r="POS49" s="473"/>
      <c r="POT49" s="474"/>
      <c r="POU49" s="471"/>
      <c r="POV49" s="472"/>
      <c r="POW49" s="473"/>
      <c r="POX49" s="474"/>
      <c r="POY49" s="471"/>
      <c r="POZ49" s="472"/>
      <c r="PPA49" s="473"/>
      <c r="PPB49" s="474"/>
      <c r="PPC49" s="471"/>
      <c r="PPD49" s="472"/>
      <c r="PPE49" s="473"/>
      <c r="PPF49" s="474"/>
      <c r="PPG49" s="471"/>
      <c r="PPH49" s="472"/>
      <c r="PPI49" s="473"/>
      <c r="PPJ49" s="474"/>
      <c r="PPK49" s="471"/>
      <c r="PPL49" s="472"/>
      <c r="PPM49" s="473"/>
      <c r="PPN49" s="474"/>
      <c r="PPO49" s="471"/>
      <c r="PPP49" s="472"/>
      <c r="PPQ49" s="473"/>
      <c r="PPR49" s="474"/>
      <c r="PPS49" s="471"/>
      <c r="PPT49" s="472"/>
      <c r="PPU49" s="473"/>
      <c r="PPV49" s="474"/>
      <c r="PPW49" s="471"/>
      <c r="PPX49" s="472"/>
      <c r="PPY49" s="473"/>
      <c r="PPZ49" s="474"/>
      <c r="PQA49" s="471"/>
      <c r="PQB49" s="472"/>
      <c r="PQC49" s="473"/>
      <c r="PQD49" s="474"/>
      <c r="PQE49" s="471"/>
      <c r="PQF49" s="472"/>
      <c r="PQG49" s="473"/>
      <c r="PQH49" s="474"/>
      <c r="PQI49" s="471"/>
      <c r="PQJ49" s="472"/>
      <c r="PQK49" s="473"/>
      <c r="PQL49" s="474"/>
      <c r="PQM49" s="471"/>
      <c r="PQN49" s="472"/>
      <c r="PQO49" s="473"/>
      <c r="PQP49" s="474"/>
      <c r="PQQ49" s="471"/>
      <c r="PQR49" s="472"/>
      <c r="PQS49" s="473"/>
      <c r="PQT49" s="474"/>
      <c r="PQU49" s="471"/>
      <c r="PQV49" s="472"/>
      <c r="PQW49" s="473"/>
      <c r="PQX49" s="474"/>
      <c r="PQY49" s="471"/>
      <c r="PQZ49" s="472"/>
      <c r="PRA49" s="473"/>
      <c r="PRB49" s="474"/>
      <c r="PRC49" s="471"/>
      <c r="PRD49" s="472"/>
      <c r="PRE49" s="473"/>
      <c r="PRF49" s="474"/>
      <c r="PRG49" s="471"/>
      <c r="PRH49" s="472"/>
      <c r="PRI49" s="473"/>
      <c r="PRJ49" s="474"/>
      <c r="PRK49" s="471"/>
      <c r="PRL49" s="472"/>
      <c r="PRM49" s="473"/>
      <c r="PRN49" s="474"/>
      <c r="PRO49" s="471"/>
      <c r="PRP49" s="472"/>
      <c r="PRQ49" s="473"/>
      <c r="PRR49" s="474"/>
      <c r="PRS49" s="471"/>
      <c r="PRT49" s="472"/>
      <c r="PRU49" s="473"/>
      <c r="PRV49" s="474"/>
      <c r="PRW49" s="471"/>
      <c r="PRX49" s="472"/>
      <c r="PRY49" s="473"/>
      <c r="PRZ49" s="474"/>
      <c r="PSA49" s="471"/>
      <c r="PSB49" s="472"/>
      <c r="PSC49" s="473"/>
      <c r="PSD49" s="474"/>
      <c r="PSE49" s="471"/>
      <c r="PSF49" s="472"/>
      <c r="PSG49" s="473"/>
      <c r="PSH49" s="474"/>
      <c r="PSI49" s="471"/>
      <c r="PSJ49" s="472"/>
      <c r="PSK49" s="473"/>
      <c r="PSL49" s="474"/>
      <c r="PSM49" s="471"/>
      <c r="PSN49" s="472"/>
      <c r="PSO49" s="473"/>
      <c r="PSP49" s="474"/>
      <c r="PSQ49" s="471"/>
      <c r="PSR49" s="472"/>
      <c r="PSS49" s="473"/>
      <c r="PST49" s="474"/>
      <c r="PSU49" s="471"/>
      <c r="PSV49" s="472"/>
      <c r="PSW49" s="473"/>
      <c r="PSX49" s="474"/>
      <c r="PSY49" s="471"/>
      <c r="PSZ49" s="472"/>
      <c r="PTA49" s="473"/>
      <c r="PTB49" s="474"/>
      <c r="PTC49" s="471"/>
      <c r="PTD49" s="472"/>
      <c r="PTE49" s="473"/>
      <c r="PTF49" s="474"/>
      <c r="PTG49" s="471"/>
      <c r="PTH49" s="472"/>
      <c r="PTI49" s="473"/>
      <c r="PTJ49" s="474"/>
      <c r="PTK49" s="471"/>
      <c r="PTL49" s="472"/>
      <c r="PTM49" s="473"/>
      <c r="PTN49" s="474"/>
      <c r="PTO49" s="471"/>
      <c r="PTP49" s="472"/>
      <c r="PTQ49" s="473"/>
      <c r="PTR49" s="474"/>
      <c r="PTS49" s="471"/>
      <c r="PTT49" s="472"/>
      <c r="PTU49" s="473"/>
      <c r="PTV49" s="474"/>
      <c r="PTW49" s="471"/>
      <c r="PTX49" s="472"/>
      <c r="PTY49" s="473"/>
      <c r="PTZ49" s="474"/>
      <c r="PUA49" s="471"/>
      <c r="PUB49" s="472"/>
      <c r="PUC49" s="473"/>
      <c r="PUD49" s="474"/>
      <c r="PUE49" s="471"/>
      <c r="PUF49" s="472"/>
      <c r="PUG49" s="473"/>
      <c r="PUH49" s="474"/>
      <c r="PUI49" s="471"/>
      <c r="PUJ49" s="472"/>
      <c r="PUK49" s="473"/>
      <c r="PUL49" s="474"/>
      <c r="PUM49" s="471"/>
      <c r="PUN49" s="472"/>
      <c r="PUO49" s="473"/>
      <c r="PUP49" s="474"/>
      <c r="PUQ49" s="471"/>
      <c r="PUR49" s="472"/>
      <c r="PUS49" s="473"/>
      <c r="PUT49" s="474"/>
      <c r="PUU49" s="471"/>
      <c r="PUV49" s="472"/>
      <c r="PUW49" s="473"/>
      <c r="PUX49" s="474"/>
      <c r="PUY49" s="471"/>
      <c r="PUZ49" s="472"/>
      <c r="PVA49" s="473"/>
      <c r="PVB49" s="474"/>
      <c r="PVC49" s="471"/>
      <c r="PVD49" s="472"/>
      <c r="PVE49" s="473"/>
      <c r="PVF49" s="474"/>
      <c r="PVG49" s="471"/>
      <c r="PVH49" s="472"/>
      <c r="PVI49" s="473"/>
      <c r="PVJ49" s="474"/>
      <c r="PVK49" s="471"/>
      <c r="PVL49" s="472"/>
      <c r="PVM49" s="473"/>
      <c r="PVN49" s="474"/>
      <c r="PVO49" s="471"/>
      <c r="PVP49" s="472"/>
      <c r="PVQ49" s="473"/>
      <c r="PVR49" s="474"/>
      <c r="PVS49" s="471"/>
      <c r="PVT49" s="472"/>
      <c r="PVU49" s="473"/>
      <c r="PVV49" s="474"/>
      <c r="PVW49" s="471"/>
      <c r="PVX49" s="472"/>
      <c r="PVY49" s="473"/>
      <c r="PVZ49" s="474"/>
      <c r="PWA49" s="471"/>
      <c r="PWB49" s="472"/>
      <c r="PWC49" s="473"/>
      <c r="PWD49" s="474"/>
      <c r="PWE49" s="471"/>
      <c r="PWF49" s="472"/>
      <c r="PWG49" s="473"/>
      <c r="PWH49" s="474"/>
      <c r="PWI49" s="471"/>
      <c r="PWJ49" s="472"/>
      <c r="PWK49" s="473"/>
      <c r="PWL49" s="474"/>
      <c r="PWM49" s="471"/>
      <c r="PWN49" s="472"/>
      <c r="PWO49" s="473"/>
      <c r="PWP49" s="474"/>
      <c r="PWQ49" s="471"/>
      <c r="PWR49" s="472"/>
      <c r="PWS49" s="473"/>
      <c r="PWT49" s="474"/>
      <c r="PWU49" s="471"/>
      <c r="PWV49" s="472"/>
      <c r="PWW49" s="473"/>
      <c r="PWX49" s="474"/>
      <c r="PWY49" s="471"/>
      <c r="PWZ49" s="472"/>
      <c r="PXA49" s="473"/>
      <c r="PXB49" s="474"/>
      <c r="PXC49" s="471"/>
      <c r="PXD49" s="472"/>
      <c r="PXE49" s="473"/>
      <c r="PXF49" s="474"/>
      <c r="PXG49" s="471"/>
      <c r="PXH49" s="472"/>
      <c r="PXI49" s="473"/>
      <c r="PXJ49" s="474"/>
      <c r="PXK49" s="471"/>
      <c r="PXL49" s="472"/>
      <c r="PXM49" s="473"/>
      <c r="PXN49" s="474"/>
      <c r="PXO49" s="471"/>
      <c r="PXP49" s="472"/>
      <c r="PXQ49" s="473"/>
      <c r="PXR49" s="474"/>
      <c r="PXS49" s="471"/>
      <c r="PXT49" s="472"/>
      <c r="PXU49" s="473"/>
      <c r="PXV49" s="474"/>
      <c r="PXW49" s="471"/>
      <c r="PXX49" s="472"/>
      <c r="PXY49" s="473"/>
      <c r="PXZ49" s="474"/>
      <c r="PYA49" s="471"/>
      <c r="PYB49" s="472"/>
      <c r="PYC49" s="473"/>
      <c r="PYD49" s="474"/>
      <c r="PYE49" s="471"/>
      <c r="PYF49" s="472"/>
      <c r="PYG49" s="473"/>
      <c r="PYH49" s="474"/>
      <c r="PYI49" s="471"/>
      <c r="PYJ49" s="472"/>
      <c r="PYK49" s="473"/>
      <c r="PYL49" s="474"/>
      <c r="PYM49" s="471"/>
      <c r="PYN49" s="472"/>
      <c r="PYO49" s="473"/>
      <c r="PYP49" s="474"/>
      <c r="PYQ49" s="471"/>
      <c r="PYR49" s="472"/>
      <c r="PYS49" s="473"/>
      <c r="PYT49" s="474"/>
      <c r="PYU49" s="471"/>
      <c r="PYV49" s="472"/>
      <c r="PYW49" s="473"/>
      <c r="PYX49" s="474"/>
      <c r="PYY49" s="471"/>
      <c r="PYZ49" s="472"/>
      <c r="PZA49" s="473"/>
      <c r="PZB49" s="474"/>
      <c r="PZC49" s="471"/>
      <c r="PZD49" s="472"/>
      <c r="PZE49" s="473"/>
      <c r="PZF49" s="474"/>
      <c r="PZG49" s="471"/>
      <c r="PZH49" s="472"/>
      <c r="PZI49" s="473"/>
      <c r="PZJ49" s="474"/>
      <c r="PZK49" s="471"/>
      <c r="PZL49" s="472"/>
      <c r="PZM49" s="473"/>
      <c r="PZN49" s="474"/>
      <c r="PZO49" s="471"/>
      <c r="PZP49" s="472"/>
      <c r="PZQ49" s="473"/>
      <c r="PZR49" s="474"/>
      <c r="PZS49" s="471"/>
      <c r="PZT49" s="472"/>
      <c r="PZU49" s="473"/>
      <c r="PZV49" s="474"/>
      <c r="PZW49" s="471"/>
      <c r="PZX49" s="472"/>
      <c r="PZY49" s="473"/>
      <c r="PZZ49" s="474"/>
      <c r="QAA49" s="471"/>
      <c r="QAB49" s="472"/>
      <c r="QAC49" s="473"/>
      <c r="QAD49" s="474"/>
      <c r="QAE49" s="471"/>
      <c r="QAF49" s="472"/>
      <c r="QAG49" s="473"/>
      <c r="QAH49" s="474"/>
      <c r="QAI49" s="471"/>
      <c r="QAJ49" s="472"/>
      <c r="QAK49" s="473"/>
      <c r="QAL49" s="474"/>
      <c r="QAM49" s="471"/>
      <c r="QAN49" s="472"/>
      <c r="QAO49" s="473"/>
      <c r="QAP49" s="474"/>
      <c r="QAQ49" s="471"/>
      <c r="QAR49" s="472"/>
      <c r="QAS49" s="473"/>
      <c r="QAT49" s="474"/>
      <c r="QAU49" s="471"/>
      <c r="QAV49" s="472"/>
      <c r="QAW49" s="473"/>
      <c r="QAX49" s="474"/>
      <c r="QAY49" s="471"/>
      <c r="QAZ49" s="472"/>
      <c r="QBA49" s="473"/>
      <c r="QBB49" s="474"/>
      <c r="QBC49" s="471"/>
      <c r="QBD49" s="472"/>
      <c r="QBE49" s="473"/>
      <c r="QBF49" s="474"/>
      <c r="QBG49" s="471"/>
      <c r="QBH49" s="472"/>
      <c r="QBI49" s="473"/>
      <c r="QBJ49" s="474"/>
      <c r="QBK49" s="471"/>
      <c r="QBL49" s="472"/>
      <c r="QBM49" s="473"/>
      <c r="QBN49" s="474"/>
      <c r="QBO49" s="471"/>
      <c r="QBP49" s="472"/>
      <c r="QBQ49" s="473"/>
      <c r="QBR49" s="474"/>
      <c r="QBS49" s="471"/>
      <c r="QBT49" s="472"/>
      <c r="QBU49" s="473"/>
      <c r="QBV49" s="474"/>
      <c r="QBW49" s="471"/>
      <c r="QBX49" s="472"/>
      <c r="QBY49" s="473"/>
      <c r="QBZ49" s="474"/>
      <c r="QCA49" s="471"/>
      <c r="QCB49" s="472"/>
      <c r="QCC49" s="473"/>
      <c r="QCD49" s="474"/>
      <c r="QCE49" s="471"/>
      <c r="QCF49" s="472"/>
      <c r="QCG49" s="473"/>
      <c r="QCH49" s="474"/>
      <c r="QCI49" s="471"/>
      <c r="QCJ49" s="472"/>
      <c r="QCK49" s="473"/>
      <c r="QCL49" s="474"/>
      <c r="QCM49" s="471"/>
      <c r="QCN49" s="472"/>
      <c r="QCO49" s="473"/>
      <c r="QCP49" s="474"/>
      <c r="QCQ49" s="471"/>
      <c r="QCR49" s="472"/>
      <c r="QCS49" s="473"/>
      <c r="QCT49" s="474"/>
      <c r="QCU49" s="471"/>
      <c r="QCV49" s="472"/>
      <c r="QCW49" s="473"/>
      <c r="QCX49" s="474"/>
      <c r="QCY49" s="471"/>
      <c r="QCZ49" s="472"/>
      <c r="QDA49" s="473"/>
      <c r="QDB49" s="474"/>
      <c r="QDC49" s="471"/>
      <c r="QDD49" s="472"/>
      <c r="QDE49" s="473"/>
      <c r="QDF49" s="474"/>
      <c r="QDG49" s="471"/>
      <c r="QDH49" s="472"/>
      <c r="QDI49" s="473"/>
      <c r="QDJ49" s="474"/>
      <c r="QDK49" s="471"/>
      <c r="QDL49" s="472"/>
      <c r="QDM49" s="473"/>
      <c r="QDN49" s="474"/>
      <c r="QDO49" s="471"/>
      <c r="QDP49" s="472"/>
      <c r="QDQ49" s="473"/>
      <c r="QDR49" s="474"/>
      <c r="QDS49" s="471"/>
      <c r="QDT49" s="472"/>
      <c r="QDU49" s="473"/>
      <c r="QDV49" s="474"/>
      <c r="QDW49" s="471"/>
      <c r="QDX49" s="472"/>
      <c r="QDY49" s="473"/>
      <c r="QDZ49" s="474"/>
      <c r="QEA49" s="471"/>
      <c r="QEB49" s="472"/>
      <c r="QEC49" s="473"/>
      <c r="QED49" s="474"/>
      <c r="QEE49" s="471"/>
      <c r="QEF49" s="472"/>
      <c r="QEG49" s="473"/>
      <c r="QEH49" s="474"/>
      <c r="QEI49" s="471"/>
      <c r="QEJ49" s="472"/>
      <c r="QEK49" s="473"/>
      <c r="QEL49" s="474"/>
      <c r="QEM49" s="471"/>
      <c r="QEN49" s="472"/>
      <c r="QEO49" s="473"/>
      <c r="QEP49" s="474"/>
      <c r="QEQ49" s="471"/>
      <c r="QER49" s="472"/>
      <c r="QES49" s="473"/>
      <c r="QET49" s="474"/>
      <c r="QEU49" s="471"/>
      <c r="QEV49" s="472"/>
      <c r="QEW49" s="473"/>
      <c r="QEX49" s="474"/>
      <c r="QEY49" s="471"/>
      <c r="QEZ49" s="472"/>
      <c r="QFA49" s="473"/>
      <c r="QFB49" s="474"/>
      <c r="QFC49" s="471"/>
      <c r="QFD49" s="472"/>
      <c r="QFE49" s="473"/>
      <c r="QFF49" s="474"/>
      <c r="QFG49" s="471"/>
      <c r="QFH49" s="472"/>
      <c r="QFI49" s="473"/>
      <c r="QFJ49" s="474"/>
      <c r="QFK49" s="471"/>
      <c r="QFL49" s="472"/>
      <c r="QFM49" s="473"/>
      <c r="QFN49" s="474"/>
      <c r="QFO49" s="471"/>
      <c r="QFP49" s="472"/>
      <c r="QFQ49" s="473"/>
      <c r="QFR49" s="474"/>
      <c r="QFS49" s="471"/>
      <c r="QFT49" s="472"/>
      <c r="QFU49" s="473"/>
      <c r="QFV49" s="474"/>
      <c r="QFW49" s="471"/>
      <c r="QFX49" s="472"/>
      <c r="QFY49" s="473"/>
      <c r="QFZ49" s="474"/>
      <c r="QGA49" s="471"/>
      <c r="QGB49" s="472"/>
      <c r="QGC49" s="473"/>
      <c r="QGD49" s="474"/>
      <c r="QGE49" s="471"/>
      <c r="QGF49" s="472"/>
      <c r="QGG49" s="473"/>
      <c r="QGH49" s="474"/>
      <c r="QGI49" s="471"/>
      <c r="QGJ49" s="472"/>
      <c r="QGK49" s="473"/>
      <c r="QGL49" s="474"/>
      <c r="QGM49" s="471"/>
      <c r="QGN49" s="472"/>
      <c r="QGO49" s="473"/>
      <c r="QGP49" s="474"/>
      <c r="QGQ49" s="471"/>
      <c r="QGR49" s="472"/>
      <c r="QGS49" s="473"/>
      <c r="QGT49" s="474"/>
      <c r="QGU49" s="471"/>
      <c r="QGV49" s="472"/>
      <c r="QGW49" s="473"/>
      <c r="QGX49" s="474"/>
      <c r="QGY49" s="471"/>
      <c r="QGZ49" s="472"/>
      <c r="QHA49" s="473"/>
      <c r="QHB49" s="474"/>
      <c r="QHC49" s="471"/>
      <c r="QHD49" s="472"/>
      <c r="QHE49" s="473"/>
      <c r="QHF49" s="474"/>
      <c r="QHG49" s="471"/>
      <c r="QHH49" s="472"/>
      <c r="QHI49" s="473"/>
      <c r="QHJ49" s="474"/>
      <c r="QHK49" s="471"/>
      <c r="QHL49" s="472"/>
      <c r="QHM49" s="473"/>
      <c r="QHN49" s="474"/>
      <c r="QHO49" s="471"/>
      <c r="QHP49" s="472"/>
      <c r="QHQ49" s="473"/>
      <c r="QHR49" s="474"/>
      <c r="QHS49" s="471"/>
      <c r="QHT49" s="472"/>
      <c r="QHU49" s="473"/>
      <c r="QHV49" s="474"/>
      <c r="QHW49" s="471"/>
      <c r="QHX49" s="472"/>
      <c r="QHY49" s="473"/>
      <c r="QHZ49" s="474"/>
      <c r="QIA49" s="471"/>
      <c r="QIB49" s="472"/>
      <c r="QIC49" s="473"/>
      <c r="QID49" s="474"/>
      <c r="QIE49" s="471"/>
      <c r="QIF49" s="472"/>
      <c r="QIG49" s="473"/>
      <c r="QIH49" s="474"/>
      <c r="QII49" s="471"/>
      <c r="QIJ49" s="472"/>
      <c r="QIK49" s="473"/>
      <c r="QIL49" s="474"/>
      <c r="QIM49" s="471"/>
      <c r="QIN49" s="472"/>
      <c r="QIO49" s="473"/>
      <c r="QIP49" s="474"/>
      <c r="QIQ49" s="471"/>
      <c r="QIR49" s="472"/>
      <c r="QIS49" s="473"/>
      <c r="QIT49" s="474"/>
      <c r="QIU49" s="471"/>
      <c r="QIV49" s="472"/>
      <c r="QIW49" s="473"/>
      <c r="QIX49" s="474"/>
      <c r="QIY49" s="471"/>
      <c r="QIZ49" s="472"/>
      <c r="QJA49" s="473"/>
      <c r="QJB49" s="474"/>
      <c r="QJC49" s="471"/>
      <c r="QJD49" s="472"/>
      <c r="QJE49" s="473"/>
      <c r="QJF49" s="474"/>
      <c r="QJG49" s="471"/>
      <c r="QJH49" s="472"/>
      <c r="QJI49" s="473"/>
      <c r="QJJ49" s="474"/>
      <c r="QJK49" s="471"/>
      <c r="QJL49" s="472"/>
      <c r="QJM49" s="473"/>
      <c r="QJN49" s="474"/>
      <c r="QJO49" s="471"/>
      <c r="QJP49" s="472"/>
      <c r="QJQ49" s="473"/>
      <c r="QJR49" s="474"/>
      <c r="QJS49" s="471"/>
      <c r="QJT49" s="472"/>
      <c r="QJU49" s="473"/>
      <c r="QJV49" s="474"/>
      <c r="QJW49" s="471"/>
      <c r="QJX49" s="472"/>
      <c r="QJY49" s="473"/>
      <c r="QJZ49" s="474"/>
      <c r="QKA49" s="471"/>
      <c r="QKB49" s="472"/>
      <c r="QKC49" s="473"/>
      <c r="QKD49" s="474"/>
      <c r="QKE49" s="471"/>
      <c r="QKF49" s="472"/>
      <c r="QKG49" s="473"/>
      <c r="QKH49" s="474"/>
      <c r="QKI49" s="471"/>
      <c r="QKJ49" s="472"/>
      <c r="QKK49" s="473"/>
      <c r="QKL49" s="474"/>
      <c r="QKM49" s="471"/>
      <c r="QKN49" s="472"/>
      <c r="QKO49" s="473"/>
      <c r="QKP49" s="474"/>
      <c r="QKQ49" s="471"/>
      <c r="QKR49" s="472"/>
      <c r="QKS49" s="473"/>
      <c r="QKT49" s="474"/>
      <c r="QKU49" s="471"/>
      <c r="QKV49" s="472"/>
      <c r="QKW49" s="473"/>
      <c r="QKX49" s="474"/>
      <c r="QKY49" s="471"/>
      <c r="QKZ49" s="472"/>
      <c r="QLA49" s="473"/>
      <c r="QLB49" s="474"/>
      <c r="QLC49" s="471"/>
      <c r="QLD49" s="472"/>
      <c r="QLE49" s="473"/>
      <c r="QLF49" s="474"/>
      <c r="QLG49" s="471"/>
      <c r="QLH49" s="472"/>
      <c r="QLI49" s="473"/>
      <c r="QLJ49" s="474"/>
      <c r="QLK49" s="471"/>
      <c r="QLL49" s="472"/>
      <c r="QLM49" s="473"/>
      <c r="QLN49" s="474"/>
      <c r="QLO49" s="471"/>
      <c r="QLP49" s="472"/>
      <c r="QLQ49" s="473"/>
      <c r="QLR49" s="474"/>
      <c r="QLS49" s="471"/>
      <c r="QLT49" s="472"/>
      <c r="QLU49" s="473"/>
      <c r="QLV49" s="474"/>
      <c r="QLW49" s="471"/>
      <c r="QLX49" s="472"/>
      <c r="QLY49" s="473"/>
      <c r="QLZ49" s="474"/>
      <c r="QMA49" s="471"/>
      <c r="QMB49" s="472"/>
      <c r="QMC49" s="473"/>
      <c r="QMD49" s="474"/>
      <c r="QME49" s="471"/>
      <c r="QMF49" s="472"/>
      <c r="QMG49" s="473"/>
      <c r="QMH49" s="474"/>
      <c r="QMI49" s="471"/>
      <c r="QMJ49" s="472"/>
      <c r="QMK49" s="473"/>
      <c r="QML49" s="474"/>
      <c r="QMM49" s="471"/>
      <c r="QMN49" s="472"/>
      <c r="QMO49" s="473"/>
      <c r="QMP49" s="474"/>
      <c r="QMQ49" s="471"/>
      <c r="QMR49" s="472"/>
      <c r="QMS49" s="473"/>
      <c r="QMT49" s="474"/>
      <c r="QMU49" s="471"/>
      <c r="QMV49" s="472"/>
      <c r="QMW49" s="473"/>
      <c r="QMX49" s="474"/>
      <c r="QMY49" s="471"/>
      <c r="QMZ49" s="472"/>
      <c r="QNA49" s="473"/>
      <c r="QNB49" s="474"/>
      <c r="QNC49" s="471"/>
      <c r="QND49" s="472"/>
      <c r="QNE49" s="473"/>
      <c r="QNF49" s="474"/>
      <c r="QNG49" s="471"/>
      <c r="QNH49" s="472"/>
      <c r="QNI49" s="473"/>
      <c r="QNJ49" s="474"/>
      <c r="QNK49" s="471"/>
      <c r="QNL49" s="472"/>
      <c r="QNM49" s="473"/>
      <c r="QNN49" s="474"/>
      <c r="QNO49" s="471"/>
      <c r="QNP49" s="472"/>
      <c r="QNQ49" s="473"/>
      <c r="QNR49" s="474"/>
      <c r="QNS49" s="471"/>
      <c r="QNT49" s="472"/>
      <c r="QNU49" s="473"/>
      <c r="QNV49" s="474"/>
      <c r="QNW49" s="471"/>
      <c r="QNX49" s="472"/>
      <c r="QNY49" s="473"/>
      <c r="QNZ49" s="474"/>
      <c r="QOA49" s="471"/>
      <c r="QOB49" s="472"/>
      <c r="QOC49" s="473"/>
      <c r="QOD49" s="474"/>
      <c r="QOE49" s="471"/>
      <c r="QOF49" s="472"/>
      <c r="QOG49" s="473"/>
      <c r="QOH49" s="474"/>
      <c r="QOI49" s="471"/>
      <c r="QOJ49" s="472"/>
      <c r="QOK49" s="473"/>
      <c r="QOL49" s="474"/>
      <c r="QOM49" s="471"/>
      <c r="QON49" s="472"/>
      <c r="QOO49" s="473"/>
      <c r="QOP49" s="474"/>
      <c r="QOQ49" s="471"/>
      <c r="QOR49" s="472"/>
      <c r="QOS49" s="473"/>
      <c r="QOT49" s="474"/>
      <c r="QOU49" s="471"/>
      <c r="QOV49" s="472"/>
      <c r="QOW49" s="473"/>
      <c r="QOX49" s="474"/>
      <c r="QOY49" s="471"/>
      <c r="QOZ49" s="472"/>
      <c r="QPA49" s="473"/>
      <c r="QPB49" s="474"/>
      <c r="QPC49" s="471"/>
      <c r="QPD49" s="472"/>
      <c r="QPE49" s="473"/>
      <c r="QPF49" s="474"/>
      <c r="QPG49" s="471"/>
      <c r="QPH49" s="472"/>
      <c r="QPI49" s="473"/>
      <c r="QPJ49" s="474"/>
      <c r="QPK49" s="471"/>
      <c r="QPL49" s="472"/>
      <c r="QPM49" s="473"/>
      <c r="QPN49" s="474"/>
      <c r="QPO49" s="471"/>
      <c r="QPP49" s="472"/>
      <c r="QPQ49" s="473"/>
      <c r="QPR49" s="474"/>
      <c r="QPS49" s="471"/>
      <c r="QPT49" s="472"/>
      <c r="QPU49" s="473"/>
      <c r="QPV49" s="474"/>
      <c r="QPW49" s="471"/>
      <c r="QPX49" s="472"/>
      <c r="QPY49" s="473"/>
      <c r="QPZ49" s="474"/>
      <c r="QQA49" s="471"/>
      <c r="QQB49" s="472"/>
      <c r="QQC49" s="473"/>
      <c r="QQD49" s="474"/>
      <c r="QQE49" s="471"/>
      <c r="QQF49" s="472"/>
      <c r="QQG49" s="473"/>
      <c r="QQH49" s="474"/>
      <c r="QQI49" s="471"/>
      <c r="QQJ49" s="472"/>
      <c r="QQK49" s="473"/>
      <c r="QQL49" s="474"/>
      <c r="QQM49" s="471"/>
      <c r="QQN49" s="472"/>
      <c r="QQO49" s="473"/>
      <c r="QQP49" s="474"/>
      <c r="QQQ49" s="471"/>
      <c r="QQR49" s="472"/>
      <c r="QQS49" s="473"/>
      <c r="QQT49" s="474"/>
      <c r="QQU49" s="471"/>
      <c r="QQV49" s="472"/>
      <c r="QQW49" s="473"/>
      <c r="QQX49" s="474"/>
      <c r="QQY49" s="471"/>
      <c r="QQZ49" s="472"/>
      <c r="QRA49" s="473"/>
      <c r="QRB49" s="474"/>
      <c r="QRC49" s="471"/>
      <c r="QRD49" s="472"/>
      <c r="QRE49" s="473"/>
      <c r="QRF49" s="474"/>
      <c r="QRG49" s="471"/>
      <c r="QRH49" s="472"/>
      <c r="QRI49" s="473"/>
      <c r="QRJ49" s="474"/>
      <c r="QRK49" s="471"/>
      <c r="QRL49" s="472"/>
      <c r="QRM49" s="473"/>
      <c r="QRN49" s="474"/>
      <c r="QRO49" s="471"/>
      <c r="QRP49" s="472"/>
      <c r="QRQ49" s="473"/>
      <c r="QRR49" s="474"/>
      <c r="QRS49" s="471"/>
      <c r="QRT49" s="472"/>
      <c r="QRU49" s="473"/>
      <c r="QRV49" s="474"/>
      <c r="QRW49" s="471"/>
      <c r="QRX49" s="472"/>
      <c r="QRY49" s="473"/>
      <c r="QRZ49" s="474"/>
      <c r="QSA49" s="471"/>
      <c r="QSB49" s="472"/>
      <c r="QSC49" s="473"/>
      <c r="QSD49" s="474"/>
      <c r="QSE49" s="471"/>
      <c r="QSF49" s="472"/>
      <c r="QSG49" s="473"/>
      <c r="QSH49" s="474"/>
      <c r="QSI49" s="471"/>
      <c r="QSJ49" s="472"/>
      <c r="QSK49" s="473"/>
      <c r="QSL49" s="474"/>
      <c r="QSM49" s="471"/>
      <c r="QSN49" s="472"/>
      <c r="QSO49" s="473"/>
      <c r="QSP49" s="474"/>
      <c r="QSQ49" s="471"/>
      <c r="QSR49" s="472"/>
      <c r="QSS49" s="473"/>
      <c r="QST49" s="474"/>
      <c r="QSU49" s="471"/>
      <c r="QSV49" s="472"/>
      <c r="QSW49" s="473"/>
      <c r="QSX49" s="474"/>
      <c r="QSY49" s="471"/>
      <c r="QSZ49" s="472"/>
      <c r="QTA49" s="473"/>
      <c r="QTB49" s="474"/>
      <c r="QTC49" s="471"/>
      <c r="QTD49" s="472"/>
      <c r="QTE49" s="473"/>
      <c r="QTF49" s="474"/>
      <c r="QTG49" s="471"/>
      <c r="QTH49" s="472"/>
      <c r="QTI49" s="473"/>
      <c r="QTJ49" s="474"/>
      <c r="QTK49" s="471"/>
      <c r="QTL49" s="472"/>
      <c r="QTM49" s="473"/>
      <c r="QTN49" s="474"/>
      <c r="QTO49" s="471"/>
      <c r="QTP49" s="472"/>
      <c r="QTQ49" s="473"/>
      <c r="QTR49" s="474"/>
      <c r="QTS49" s="471"/>
      <c r="QTT49" s="472"/>
      <c r="QTU49" s="473"/>
      <c r="QTV49" s="474"/>
      <c r="QTW49" s="471"/>
      <c r="QTX49" s="472"/>
      <c r="QTY49" s="473"/>
      <c r="QTZ49" s="474"/>
      <c r="QUA49" s="471"/>
      <c r="QUB49" s="472"/>
      <c r="QUC49" s="473"/>
      <c r="QUD49" s="474"/>
      <c r="QUE49" s="471"/>
      <c r="QUF49" s="472"/>
      <c r="QUG49" s="473"/>
      <c r="QUH49" s="474"/>
      <c r="QUI49" s="471"/>
      <c r="QUJ49" s="472"/>
      <c r="QUK49" s="473"/>
      <c r="QUL49" s="474"/>
      <c r="QUM49" s="471"/>
      <c r="QUN49" s="472"/>
      <c r="QUO49" s="473"/>
      <c r="QUP49" s="474"/>
      <c r="QUQ49" s="471"/>
      <c r="QUR49" s="472"/>
      <c r="QUS49" s="473"/>
      <c r="QUT49" s="474"/>
      <c r="QUU49" s="471"/>
      <c r="QUV49" s="472"/>
      <c r="QUW49" s="473"/>
      <c r="QUX49" s="474"/>
      <c r="QUY49" s="471"/>
      <c r="QUZ49" s="472"/>
      <c r="QVA49" s="473"/>
      <c r="QVB49" s="474"/>
      <c r="QVC49" s="471"/>
      <c r="QVD49" s="472"/>
      <c r="QVE49" s="473"/>
      <c r="QVF49" s="474"/>
      <c r="QVG49" s="471"/>
      <c r="QVH49" s="472"/>
      <c r="QVI49" s="473"/>
      <c r="QVJ49" s="474"/>
      <c r="QVK49" s="471"/>
      <c r="QVL49" s="472"/>
      <c r="QVM49" s="473"/>
      <c r="QVN49" s="474"/>
      <c r="QVO49" s="471"/>
      <c r="QVP49" s="472"/>
      <c r="QVQ49" s="473"/>
      <c r="QVR49" s="474"/>
      <c r="QVS49" s="471"/>
      <c r="QVT49" s="472"/>
      <c r="QVU49" s="473"/>
      <c r="QVV49" s="474"/>
      <c r="QVW49" s="471"/>
      <c r="QVX49" s="472"/>
      <c r="QVY49" s="473"/>
      <c r="QVZ49" s="474"/>
      <c r="QWA49" s="471"/>
      <c r="QWB49" s="472"/>
      <c r="QWC49" s="473"/>
      <c r="QWD49" s="474"/>
      <c r="QWE49" s="471"/>
      <c r="QWF49" s="472"/>
      <c r="QWG49" s="473"/>
      <c r="QWH49" s="474"/>
      <c r="QWI49" s="471"/>
      <c r="QWJ49" s="472"/>
      <c r="QWK49" s="473"/>
      <c r="QWL49" s="474"/>
      <c r="QWM49" s="471"/>
      <c r="QWN49" s="472"/>
      <c r="QWO49" s="473"/>
      <c r="QWP49" s="474"/>
      <c r="QWQ49" s="471"/>
      <c r="QWR49" s="472"/>
      <c r="QWS49" s="473"/>
      <c r="QWT49" s="474"/>
      <c r="QWU49" s="471"/>
      <c r="QWV49" s="472"/>
      <c r="QWW49" s="473"/>
      <c r="QWX49" s="474"/>
      <c r="QWY49" s="471"/>
      <c r="QWZ49" s="472"/>
      <c r="QXA49" s="473"/>
      <c r="QXB49" s="474"/>
      <c r="QXC49" s="471"/>
      <c r="QXD49" s="472"/>
      <c r="QXE49" s="473"/>
      <c r="QXF49" s="474"/>
      <c r="QXG49" s="471"/>
      <c r="QXH49" s="472"/>
      <c r="QXI49" s="473"/>
      <c r="QXJ49" s="474"/>
      <c r="QXK49" s="471"/>
      <c r="QXL49" s="472"/>
      <c r="QXM49" s="473"/>
      <c r="QXN49" s="474"/>
      <c r="QXO49" s="471"/>
      <c r="QXP49" s="472"/>
      <c r="QXQ49" s="473"/>
      <c r="QXR49" s="474"/>
      <c r="QXS49" s="471"/>
      <c r="QXT49" s="472"/>
      <c r="QXU49" s="473"/>
      <c r="QXV49" s="474"/>
      <c r="QXW49" s="471"/>
      <c r="QXX49" s="472"/>
      <c r="QXY49" s="473"/>
      <c r="QXZ49" s="474"/>
      <c r="QYA49" s="471"/>
      <c r="QYB49" s="472"/>
      <c r="QYC49" s="473"/>
      <c r="QYD49" s="474"/>
      <c r="QYE49" s="471"/>
      <c r="QYF49" s="472"/>
      <c r="QYG49" s="473"/>
      <c r="QYH49" s="474"/>
      <c r="QYI49" s="471"/>
      <c r="QYJ49" s="472"/>
      <c r="QYK49" s="473"/>
      <c r="QYL49" s="474"/>
      <c r="QYM49" s="471"/>
      <c r="QYN49" s="472"/>
      <c r="QYO49" s="473"/>
      <c r="QYP49" s="474"/>
      <c r="QYQ49" s="471"/>
      <c r="QYR49" s="472"/>
      <c r="QYS49" s="473"/>
      <c r="QYT49" s="474"/>
      <c r="QYU49" s="471"/>
      <c r="QYV49" s="472"/>
      <c r="QYW49" s="473"/>
      <c r="QYX49" s="474"/>
      <c r="QYY49" s="471"/>
      <c r="QYZ49" s="472"/>
      <c r="QZA49" s="473"/>
      <c r="QZB49" s="474"/>
      <c r="QZC49" s="471"/>
      <c r="QZD49" s="472"/>
      <c r="QZE49" s="473"/>
      <c r="QZF49" s="474"/>
      <c r="QZG49" s="471"/>
      <c r="QZH49" s="472"/>
      <c r="QZI49" s="473"/>
      <c r="QZJ49" s="474"/>
      <c r="QZK49" s="471"/>
      <c r="QZL49" s="472"/>
      <c r="QZM49" s="473"/>
      <c r="QZN49" s="474"/>
      <c r="QZO49" s="471"/>
      <c r="QZP49" s="472"/>
      <c r="QZQ49" s="473"/>
      <c r="QZR49" s="474"/>
      <c r="QZS49" s="471"/>
      <c r="QZT49" s="472"/>
      <c r="QZU49" s="473"/>
      <c r="QZV49" s="474"/>
      <c r="QZW49" s="471"/>
      <c r="QZX49" s="472"/>
      <c r="QZY49" s="473"/>
      <c r="QZZ49" s="474"/>
      <c r="RAA49" s="471"/>
      <c r="RAB49" s="472"/>
      <c r="RAC49" s="473"/>
      <c r="RAD49" s="474"/>
      <c r="RAE49" s="471"/>
      <c r="RAF49" s="472"/>
      <c r="RAG49" s="473"/>
      <c r="RAH49" s="474"/>
      <c r="RAI49" s="471"/>
      <c r="RAJ49" s="472"/>
      <c r="RAK49" s="473"/>
      <c r="RAL49" s="474"/>
      <c r="RAM49" s="471"/>
      <c r="RAN49" s="472"/>
      <c r="RAO49" s="473"/>
      <c r="RAP49" s="474"/>
      <c r="RAQ49" s="471"/>
      <c r="RAR49" s="472"/>
      <c r="RAS49" s="473"/>
      <c r="RAT49" s="474"/>
      <c r="RAU49" s="471"/>
      <c r="RAV49" s="472"/>
      <c r="RAW49" s="473"/>
      <c r="RAX49" s="474"/>
      <c r="RAY49" s="471"/>
      <c r="RAZ49" s="472"/>
      <c r="RBA49" s="473"/>
      <c r="RBB49" s="474"/>
      <c r="RBC49" s="471"/>
      <c r="RBD49" s="472"/>
      <c r="RBE49" s="473"/>
      <c r="RBF49" s="474"/>
      <c r="RBG49" s="471"/>
      <c r="RBH49" s="472"/>
      <c r="RBI49" s="473"/>
      <c r="RBJ49" s="474"/>
      <c r="RBK49" s="471"/>
      <c r="RBL49" s="472"/>
      <c r="RBM49" s="473"/>
      <c r="RBN49" s="474"/>
      <c r="RBO49" s="471"/>
      <c r="RBP49" s="472"/>
      <c r="RBQ49" s="473"/>
      <c r="RBR49" s="474"/>
      <c r="RBS49" s="471"/>
      <c r="RBT49" s="472"/>
      <c r="RBU49" s="473"/>
      <c r="RBV49" s="474"/>
      <c r="RBW49" s="471"/>
      <c r="RBX49" s="472"/>
      <c r="RBY49" s="473"/>
      <c r="RBZ49" s="474"/>
      <c r="RCA49" s="471"/>
      <c r="RCB49" s="472"/>
      <c r="RCC49" s="473"/>
      <c r="RCD49" s="474"/>
      <c r="RCE49" s="471"/>
      <c r="RCF49" s="472"/>
      <c r="RCG49" s="473"/>
      <c r="RCH49" s="474"/>
      <c r="RCI49" s="471"/>
      <c r="RCJ49" s="472"/>
      <c r="RCK49" s="473"/>
      <c r="RCL49" s="474"/>
      <c r="RCM49" s="471"/>
      <c r="RCN49" s="472"/>
      <c r="RCO49" s="473"/>
      <c r="RCP49" s="474"/>
      <c r="RCQ49" s="471"/>
      <c r="RCR49" s="472"/>
      <c r="RCS49" s="473"/>
      <c r="RCT49" s="474"/>
      <c r="RCU49" s="471"/>
      <c r="RCV49" s="472"/>
      <c r="RCW49" s="473"/>
      <c r="RCX49" s="474"/>
      <c r="RCY49" s="471"/>
      <c r="RCZ49" s="472"/>
      <c r="RDA49" s="473"/>
      <c r="RDB49" s="474"/>
      <c r="RDC49" s="471"/>
      <c r="RDD49" s="472"/>
      <c r="RDE49" s="473"/>
      <c r="RDF49" s="474"/>
      <c r="RDG49" s="471"/>
      <c r="RDH49" s="472"/>
      <c r="RDI49" s="473"/>
      <c r="RDJ49" s="474"/>
      <c r="RDK49" s="471"/>
      <c r="RDL49" s="472"/>
      <c r="RDM49" s="473"/>
      <c r="RDN49" s="474"/>
      <c r="RDO49" s="471"/>
      <c r="RDP49" s="472"/>
      <c r="RDQ49" s="473"/>
      <c r="RDR49" s="474"/>
      <c r="RDS49" s="471"/>
      <c r="RDT49" s="472"/>
      <c r="RDU49" s="473"/>
      <c r="RDV49" s="474"/>
      <c r="RDW49" s="471"/>
      <c r="RDX49" s="472"/>
      <c r="RDY49" s="473"/>
      <c r="RDZ49" s="474"/>
      <c r="REA49" s="471"/>
      <c r="REB49" s="472"/>
      <c r="REC49" s="473"/>
      <c r="RED49" s="474"/>
      <c r="REE49" s="471"/>
      <c r="REF49" s="472"/>
      <c r="REG49" s="473"/>
      <c r="REH49" s="474"/>
      <c r="REI49" s="471"/>
      <c r="REJ49" s="472"/>
      <c r="REK49" s="473"/>
      <c r="REL49" s="474"/>
      <c r="REM49" s="471"/>
      <c r="REN49" s="472"/>
      <c r="REO49" s="473"/>
      <c r="REP49" s="474"/>
      <c r="REQ49" s="471"/>
      <c r="RER49" s="472"/>
      <c r="RES49" s="473"/>
      <c r="RET49" s="474"/>
      <c r="REU49" s="471"/>
      <c r="REV49" s="472"/>
      <c r="REW49" s="473"/>
      <c r="REX49" s="474"/>
      <c r="REY49" s="471"/>
      <c r="REZ49" s="472"/>
      <c r="RFA49" s="473"/>
      <c r="RFB49" s="474"/>
      <c r="RFC49" s="471"/>
      <c r="RFD49" s="472"/>
      <c r="RFE49" s="473"/>
      <c r="RFF49" s="474"/>
      <c r="RFG49" s="471"/>
      <c r="RFH49" s="472"/>
      <c r="RFI49" s="473"/>
      <c r="RFJ49" s="474"/>
      <c r="RFK49" s="471"/>
      <c r="RFL49" s="472"/>
      <c r="RFM49" s="473"/>
      <c r="RFN49" s="474"/>
      <c r="RFO49" s="471"/>
      <c r="RFP49" s="472"/>
      <c r="RFQ49" s="473"/>
      <c r="RFR49" s="474"/>
      <c r="RFS49" s="471"/>
      <c r="RFT49" s="472"/>
      <c r="RFU49" s="473"/>
      <c r="RFV49" s="474"/>
      <c r="RFW49" s="471"/>
      <c r="RFX49" s="472"/>
      <c r="RFY49" s="473"/>
      <c r="RFZ49" s="474"/>
      <c r="RGA49" s="471"/>
      <c r="RGB49" s="472"/>
      <c r="RGC49" s="473"/>
      <c r="RGD49" s="474"/>
      <c r="RGE49" s="471"/>
      <c r="RGF49" s="472"/>
      <c r="RGG49" s="473"/>
      <c r="RGH49" s="474"/>
      <c r="RGI49" s="471"/>
      <c r="RGJ49" s="472"/>
      <c r="RGK49" s="473"/>
      <c r="RGL49" s="474"/>
      <c r="RGM49" s="471"/>
      <c r="RGN49" s="472"/>
      <c r="RGO49" s="473"/>
      <c r="RGP49" s="474"/>
      <c r="RGQ49" s="471"/>
      <c r="RGR49" s="472"/>
      <c r="RGS49" s="473"/>
      <c r="RGT49" s="474"/>
      <c r="RGU49" s="471"/>
      <c r="RGV49" s="472"/>
      <c r="RGW49" s="473"/>
      <c r="RGX49" s="474"/>
      <c r="RGY49" s="471"/>
      <c r="RGZ49" s="472"/>
      <c r="RHA49" s="473"/>
      <c r="RHB49" s="474"/>
      <c r="RHC49" s="471"/>
      <c r="RHD49" s="472"/>
      <c r="RHE49" s="473"/>
      <c r="RHF49" s="474"/>
      <c r="RHG49" s="471"/>
      <c r="RHH49" s="472"/>
      <c r="RHI49" s="473"/>
      <c r="RHJ49" s="474"/>
      <c r="RHK49" s="471"/>
      <c r="RHL49" s="472"/>
      <c r="RHM49" s="473"/>
      <c r="RHN49" s="474"/>
      <c r="RHO49" s="471"/>
      <c r="RHP49" s="472"/>
      <c r="RHQ49" s="473"/>
      <c r="RHR49" s="474"/>
      <c r="RHS49" s="471"/>
      <c r="RHT49" s="472"/>
      <c r="RHU49" s="473"/>
      <c r="RHV49" s="474"/>
      <c r="RHW49" s="471"/>
      <c r="RHX49" s="472"/>
      <c r="RHY49" s="473"/>
      <c r="RHZ49" s="474"/>
      <c r="RIA49" s="471"/>
      <c r="RIB49" s="472"/>
      <c r="RIC49" s="473"/>
      <c r="RID49" s="474"/>
      <c r="RIE49" s="471"/>
      <c r="RIF49" s="472"/>
      <c r="RIG49" s="473"/>
      <c r="RIH49" s="474"/>
      <c r="RII49" s="471"/>
      <c r="RIJ49" s="472"/>
      <c r="RIK49" s="473"/>
      <c r="RIL49" s="474"/>
      <c r="RIM49" s="471"/>
      <c r="RIN49" s="472"/>
      <c r="RIO49" s="473"/>
      <c r="RIP49" s="474"/>
      <c r="RIQ49" s="471"/>
      <c r="RIR49" s="472"/>
      <c r="RIS49" s="473"/>
      <c r="RIT49" s="474"/>
      <c r="RIU49" s="471"/>
      <c r="RIV49" s="472"/>
      <c r="RIW49" s="473"/>
      <c r="RIX49" s="474"/>
      <c r="RIY49" s="471"/>
      <c r="RIZ49" s="472"/>
      <c r="RJA49" s="473"/>
      <c r="RJB49" s="474"/>
      <c r="RJC49" s="471"/>
      <c r="RJD49" s="472"/>
      <c r="RJE49" s="473"/>
      <c r="RJF49" s="474"/>
      <c r="RJG49" s="471"/>
      <c r="RJH49" s="472"/>
      <c r="RJI49" s="473"/>
      <c r="RJJ49" s="474"/>
      <c r="RJK49" s="471"/>
      <c r="RJL49" s="472"/>
      <c r="RJM49" s="473"/>
      <c r="RJN49" s="474"/>
      <c r="RJO49" s="471"/>
      <c r="RJP49" s="472"/>
      <c r="RJQ49" s="473"/>
      <c r="RJR49" s="474"/>
      <c r="RJS49" s="471"/>
      <c r="RJT49" s="472"/>
      <c r="RJU49" s="473"/>
      <c r="RJV49" s="474"/>
      <c r="RJW49" s="471"/>
      <c r="RJX49" s="472"/>
      <c r="RJY49" s="473"/>
      <c r="RJZ49" s="474"/>
      <c r="RKA49" s="471"/>
      <c r="RKB49" s="472"/>
      <c r="RKC49" s="473"/>
      <c r="RKD49" s="474"/>
      <c r="RKE49" s="471"/>
      <c r="RKF49" s="472"/>
      <c r="RKG49" s="473"/>
      <c r="RKH49" s="474"/>
      <c r="RKI49" s="471"/>
      <c r="RKJ49" s="472"/>
      <c r="RKK49" s="473"/>
      <c r="RKL49" s="474"/>
      <c r="RKM49" s="471"/>
      <c r="RKN49" s="472"/>
      <c r="RKO49" s="473"/>
      <c r="RKP49" s="474"/>
      <c r="RKQ49" s="471"/>
      <c r="RKR49" s="472"/>
      <c r="RKS49" s="473"/>
      <c r="RKT49" s="474"/>
      <c r="RKU49" s="471"/>
      <c r="RKV49" s="472"/>
      <c r="RKW49" s="473"/>
      <c r="RKX49" s="474"/>
      <c r="RKY49" s="471"/>
      <c r="RKZ49" s="472"/>
      <c r="RLA49" s="473"/>
      <c r="RLB49" s="474"/>
      <c r="RLC49" s="471"/>
      <c r="RLD49" s="472"/>
      <c r="RLE49" s="473"/>
      <c r="RLF49" s="474"/>
      <c r="RLG49" s="471"/>
      <c r="RLH49" s="472"/>
      <c r="RLI49" s="473"/>
      <c r="RLJ49" s="474"/>
      <c r="RLK49" s="471"/>
      <c r="RLL49" s="472"/>
      <c r="RLM49" s="473"/>
      <c r="RLN49" s="474"/>
      <c r="RLO49" s="471"/>
      <c r="RLP49" s="472"/>
      <c r="RLQ49" s="473"/>
      <c r="RLR49" s="474"/>
      <c r="RLS49" s="471"/>
      <c r="RLT49" s="472"/>
      <c r="RLU49" s="473"/>
      <c r="RLV49" s="474"/>
      <c r="RLW49" s="471"/>
      <c r="RLX49" s="472"/>
      <c r="RLY49" s="473"/>
      <c r="RLZ49" s="474"/>
      <c r="RMA49" s="471"/>
      <c r="RMB49" s="472"/>
      <c r="RMC49" s="473"/>
      <c r="RMD49" s="474"/>
      <c r="RME49" s="471"/>
      <c r="RMF49" s="472"/>
      <c r="RMG49" s="473"/>
      <c r="RMH49" s="474"/>
      <c r="RMI49" s="471"/>
      <c r="RMJ49" s="472"/>
      <c r="RMK49" s="473"/>
      <c r="RML49" s="474"/>
      <c r="RMM49" s="471"/>
      <c r="RMN49" s="472"/>
      <c r="RMO49" s="473"/>
      <c r="RMP49" s="474"/>
      <c r="RMQ49" s="471"/>
      <c r="RMR49" s="472"/>
      <c r="RMS49" s="473"/>
      <c r="RMT49" s="474"/>
      <c r="RMU49" s="471"/>
      <c r="RMV49" s="472"/>
      <c r="RMW49" s="473"/>
      <c r="RMX49" s="474"/>
      <c r="RMY49" s="471"/>
      <c r="RMZ49" s="472"/>
      <c r="RNA49" s="473"/>
      <c r="RNB49" s="474"/>
      <c r="RNC49" s="471"/>
      <c r="RND49" s="472"/>
      <c r="RNE49" s="473"/>
      <c r="RNF49" s="474"/>
      <c r="RNG49" s="471"/>
      <c r="RNH49" s="472"/>
      <c r="RNI49" s="473"/>
      <c r="RNJ49" s="474"/>
      <c r="RNK49" s="471"/>
      <c r="RNL49" s="472"/>
      <c r="RNM49" s="473"/>
      <c r="RNN49" s="474"/>
      <c r="RNO49" s="471"/>
      <c r="RNP49" s="472"/>
      <c r="RNQ49" s="473"/>
      <c r="RNR49" s="474"/>
      <c r="RNS49" s="471"/>
      <c r="RNT49" s="472"/>
      <c r="RNU49" s="473"/>
      <c r="RNV49" s="474"/>
      <c r="RNW49" s="471"/>
      <c r="RNX49" s="472"/>
      <c r="RNY49" s="473"/>
      <c r="RNZ49" s="474"/>
      <c r="ROA49" s="471"/>
      <c r="ROB49" s="472"/>
      <c r="ROC49" s="473"/>
      <c r="ROD49" s="474"/>
      <c r="ROE49" s="471"/>
      <c r="ROF49" s="472"/>
      <c r="ROG49" s="473"/>
      <c r="ROH49" s="474"/>
      <c r="ROI49" s="471"/>
      <c r="ROJ49" s="472"/>
      <c r="ROK49" s="473"/>
      <c r="ROL49" s="474"/>
      <c r="ROM49" s="471"/>
      <c r="RON49" s="472"/>
      <c r="ROO49" s="473"/>
      <c r="ROP49" s="474"/>
      <c r="ROQ49" s="471"/>
      <c r="ROR49" s="472"/>
      <c r="ROS49" s="473"/>
      <c r="ROT49" s="474"/>
      <c r="ROU49" s="471"/>
      <c r="ROV49" s="472"/>
      <c r="ROW49" s="473"/>
      <c r="ROX49" s="474"/>
      <c r="ROY49" s="471"/>
      <c r="ROZ49" s="472"/>
      <c r="RPA49" s="473"/>
      <c r="RPB49" s="474"/>
      <c r="RPC49" s="471"/>
      <c r="RPD49" s="472"/>
      <c r="RPE49" s="473"/>
      <c r="RPF49" s="474"/>
      <c r="RPG49" s="471"/>
      <c r="RPH49" s="472"/>
      <c r="RPI49" s="473"/>
      <c r="RPJ49" s="474"/>
      <c r="RPK49" s="471"/>
      <c r="RPL49" s="472"/>
      <c r="RPM49" s="473"/>
      <c r="RPN49" s="474"/>
      <c r="RPO49" s="471"/>
      <c r="RPP49" s="472"/>
      <c r="RPQ49" s="473"/>
      <c r="RPR49" s="474"/>
      <c r="RPS49" s="471"/>
      <c r="RPT49" s="472"/>
      <c r="RPU49" s="473"/>
      <c r="RPV49" s="474"/>
      <c r="RPW49" s="471"/>
      <c r="RPX49" s="472"/>
      <c r="RPY49" s="473"/>
      <c r="RPZ49" s="474"/>
      <c r="RQA49" s="471"/>
      <c r="RQB49" s="472"/>
      <c r="RQC49" s="473"/>
      <c r="RQD49" s="474"/>
      <c r="RQE49" s="471"/>
      <c r="RQF49" s="472"/>
      <c r="RQG49" s="473"/>
      <c r="RQH49" s="474"/>
      <c r="RQI49" s="471"/>
      <c r="RQJ49" s="472"/>
      <c r="RQK49" s="473"/>
      <c r="RQL49" s="474"/>
      <c r="RQM49" s="471"/>
      <c r="RQN49" s="472"/>
      <c r="RQO49" s="473"/>
      <c r="RQP49" s="474"/>
      <c r="RQQ49" s="471"/>
      <c r="RQR49" s="472"/>
      <c r="RQS49" s="473"/>
      <c r="RQT49" s="474"/>
      <c r="RQU49" s="471"/>
      <c r="RQV49" s="472"/>
      <c r="RQW49" s="473"/>
      <c r="RQX49" s="474"/>
      <c r="RQY49" s="471"/>
      <c r="RQZ49" s="472"/>
      <c r="RRA49" s="473"/>
      <c r="RRB49" s="474"/>
      <c r="RRC49" s="471"/>
      <c r="RRD49" s="472"/>
      <c r="RRE49" s="473"/>
      <c r="RRF49" s="474"/>
      <c r="RRG49" s="471"/>
      <c r="RRH49" s="472"/>
      <c r="RRI49" s="473"/>
      <c r="RRJ49" s="474"/>
      <c r="RRK49" s="471"/>
      <c r="RRL49" s="472"/>
      <c r="RRM49" s="473"/>
      <c r="RRN49" s="474"/>
      <c r="RRO49" s="471"/>
      <c r="RRP49" s="472"/>
      <c r="RRQ49" s="473"/>
      <c r="RRR49" s="474"/>
      <c r="RRS49" s="471"/>
      <c r="RRT49" s="472"/>
      <c r="RRU49" s="473"/>
      <c r="RRV49" s="474"/>
      <c r="RRW49" s="471"/>
      <c r="RRX49" s="472"/>
      <c r="RRY49" s="473"/>
      <c r="RRZ49" s="474"/>
      <c r="RSA49" s="471"/>
      <c r="RSB49" s="472"/>
      <c r="RSC49" s="473"/>
      <c r="RSD49" s="474"/>
      <c r="RSE49" s="471"/>
      <c r="RSF49" s="472"/>
      <c r="RSG49" s="473"/>
      <c r="RSH49" s="474"/>
      <c r="RSI49" s="471"/>
      <c r="RSJ49" s="472"/>
      <c r="RSK49" s="473"/>
      <c r="RSL49" s="474"/>
      <c r="RSM49" s="471"/>
      <c r="RSN49" s="472"/>
      <c r="RSO49" s="473"/>
      <c r="RSP49" s="474"/>
      <c r="RSQ49" s="471"/>
      <c r="RSR49" s="472"/>
      <c r="RSS49" s="473"/>
      <c r="RST49" s="474"/>
      <c r="RSU49" s="471"/>
      <c r="RSV49" s="472"/>
      <c r="RSW49" s="473"/>
      <c r="RSX49" s="474"/>
      <c r="RSY49" s="471"/>
      <c r="RSZ49" s="472"/>
      <c r="RTA49" s="473"/>
      <c r="RTB49" s="474"/>
      <c r="RTC49" s="471"/>
      <c r="RTD49" s="472"/>
      <c r="RTE49" s="473"/>
      <c r="RTF49" s="474"/>
      <c r="RTG49" s="471"/>
      <c r="RTH49" s="472"/>
      <c r="RTI49" s="473"/>
      <c r="RTJ49" s="474"/>
      <c r="RTK49" s="471"/>
      <c r="RTL49" s="472"/>
      <c r="RTM49" s="473"/>
      <c r="RTN49" s="474"/>
      <c r="RTO49" s="471"/>
      <c r="RTP49" s="472"/>
      <c r="RTQ49" s="473"/>
      <c r="RTR49" s="474"/>
      <c r="RTS49" s="471"/>
      <c r="RTT49" s="472"/>
      <c r="RTU49" s="473"/>
      <c r="RTV49" s="474"/>
      <c r="RTW49" s="471"/>
      <c r="RTX49" s="472"/>
      <c r="RTY49" s="473"/>
      <c r="RTZ49" s="474"/>
      <c r="RUA49" s="471"/>
      <c r="RUB49" s="472"/>
      <c r="RUC49" s="473"/>
      <c r="RUD49" s="474"/>
      <c r="RUE49" s="471"/>
      <c r="RUF49" s="472"/>
      <c r="RUG49" s="473"/>
      <c r="RUH49" s="474"/>
      <c r="RUI49" s="471"/>
      <c r="RUJ49" s="472"/>
      <c r="RUK49" s="473"/>
      <c r="RUL49" s="474"/>
      <c r="RUM49" s="471"/>
      <c r="RUN49" s="472"/>
      <c r="RUO49" s="473"/>
      <c r="RUP49" s="474"/>
      <c r="RUQ49" s="471"/>
      <c r="RUR49" s="472"/>
      <c r="RUS49" s="473"/>
      <c r="RUT49" s="474"/>
      <c r="RUU49" s="471"/>
      <c r="RUV49" s="472"/>
      <c r="RUW49" s="473"/>
      <c r="RUX49" s="474"/>
      <c r="RUY49" s="471"/>
      <c r="RUZ49" s="472"/>
      <c r="RVA49" s="473"/>
      <c r="RVB49" s="474"/>
      <c r="RVC49" s="471"/>
      <c r="RVD49" s="472"/>
      <c r="RVE49" s="473"/>
      <c r="RVF49" s="474"/>
      <c r="RVG49" s="471"/>
      <c r="RVH49" s="472"/>
      <c r="RVI49" s="473"/>
      <c r="RVJ49" s="474"/>
      <c r="RVK49" s="471"/>
      <c r="RVL49" s="472"/>
      <c r="RVM49" s="473"/>
      <c r="RVN49" s="474"/>
      <c r="RVO49" s="471"/>
      <c r="RVP49" s="472"/>
      <c r="RVQ49" s="473"/>
      <c r="RVR49" s="474"/>
      <c r="RVS49" s="471"/>
      <c r="RVT49" s="472"/>
      <c r="RVU49" s="473"/>
      <c r="RVV49" s="474"/>
      <c r="RVW49" s="471"/>
      <c r="RVX49" s="472"/>
      <c r="RVY49" s="473"/>
      <c r="RVZ49" s="474"/>
      <c r="RWA49" s="471"/>
      <c r="RWB49" s="472"/>
      <c r="RWC49" s="473"/>
      <c r="RWD49" s="474"/>
      <c r="RWE49" s="471"/>
      <c r="RWF49" s="472"/>
      <c r="RWG49" s="473"/>
      <c r="RWH49" s="474"/>
      <c r="RWI49" s="471"/>
      <c r="RWJ49" s="472"/>
      <c r="RWK49" s="473"/>
      <c r="RWL49" s="474"/>
      <c r="RWM49" s="471"/>
      <c r="RWN49" s="472"/>
      <c r="RWO49" s="473"/>
      <c r="RWP49" s="474"/>
      <c r="RWQ49" s="471"/>
      <c r="RWR49" s="472"/>
      <c r="RWS49" s="473"/>
      <c r="RWT49" s="474"/>
      <c r="RWU49" s="471"/>
      <c r="RWV49" s="472"/>
      <c r="RWW49" s="473"/>
      <c r="RWX49" s="474"/>
      <c r="RWY49" s="471"/>
      <c r="RWZ49" s="472"/>
      <c r="RXA49" s="473"/>
      <c r="RXB49" s="474"/>
      <c r="RXC49" s="471"/>
      <c r="RXD49" s="472"/>
      <c r="RXE49" s="473"/>
      <c r="RXF49" s="474"/>
      <c r="RXG49" s="471"/>
      <c r="RXH49" s="472"/>
      <c r="RXI49" s="473"/>
      <c r="RXJ49" s="474"/>
      <c r="RXK49" s="471"/>
      <c r="RXL49" s="472"/>
      <c r="RXM49" s="473"/>
      <c r="RXN49" s="474"/>
      <c r="RXO49" s="471"/>
      <c r="RXP49" s="472"/>
      <c r="RXQ49" s="473"/>
      <c r="RXR49" s="474"/>
      <c r="RXS49" s="471"/>
      <c r="RXT49" s="472"/>
      <c r="RXU49" s="473"/>
      <c r="RXV49" s="474"/>
      <c r="RXW49" s="471"/>
      <c r="RXX49" s="472"/>
      <c r="RXY49" s="473"/>
      <c r="RXZ49" s="474"/>
      <c r="RYA49" s="471"/>
      <c r="RYB49" s="472"/>
      <c r="RYC49" s="473"/>
      <c r="RYD49" s="474"/>
      <c r="RYE49" s="471"/>
      <c r="RYF49" s="472"/>
      <c r="RYG49" s="473"/>
      <c r="RYH49" s="474"/>
      <c r="RYI49" s="471"/>
      <c r="RYJ49" s="472"/>
      <c r="RYK49" s="473"/>
      <c r="RYL49" s="474"/>
      <c r="RYM49" s="471"/>
      <c r="RYN49" s="472"/>
      <c r="RYO49" s="473"/>
      <c r="RYP49" s="474"/>
      <c r="RYQ49" s="471"/>
      <c r="RYR49" s="472"/>
      <c r="RYS49" s="473"/>
      <c r="RYT49" s="474"/>
      <c r="RYU49" s="471"/>
      <c r="RYV49" s="472"/>
      <c r="RYW49" s="473"/>
      <c r="RYX49" s="474"/>
      <c r="RYY49" s="471"/>
      <c r="RYZ49" s="472"/>
      <c r="RZA49" s="473"/>
      <c r="RZB49" s="474"/>
      <c r="RZC49" s="471"/>
      <c r="RZD49" s="472"/>
      <c r="RZE49" s="473"/>
      <c r="RZF49" s="474"/>
      <c r="RZG49" s="471"/>
      <c r="RZH49" s="472"/>
      <c r="RZI49" s="473"/>
      <c r="RZJ49" s="474"/>
      <c r="RZK49" s="471"/>
      <c r="RZL49" s="472"/>
      <c r="RZM49" s="473"/>
      <c r="RZN49" s="474"/>
      <c r="RZO49" s="471"/>
      <c r="RZP49" s="472"/>
      <c r="RZQ49" s="473"/>
      <c r="RZR49" s="474"/>
      <c r="RZS49" s="471"/>
      <c r="RZT49" s="472"/>
      <c r="RZU49" s="473"/>
      <c r="RZV49" s="474"/>
      <c r="RZW49" s="471"/>
      <c r="RZX49" s="472"/>
      <c r="RZY49" s="473"/>
      <c r="RZZ49" s="474"/>
      <c r="SAA49" s="471"/>
      <c r="SAB49" s="472"/>
      <c r="SAC49" s="473"/>
      <c r="SAD49" s="474"/>
      <c r="SAE49" s="471"/>
      <c r="SAF49" s="472"/>
      <c r="SAG49" s="473"/>
      <c r="SAH49" s="474"/>
      <c r="SAI49" s="471"/>
      <c r="SAJ49" s="472"/>
      <c r="SAK49" s="473"/>
      <c r="SAL49" s="474"/>
      <c r="SAM49" s="471"/>
      <c r="SAN49" s="472"/>
      <c r="SAO49" s="473"/>
      <c r="SAP49" s="474"/>
      <c r="SAQ49" s="471"/>
      <c r="SAR49" s="472"/>
      <c r="SAS49" s="473"/>
      <c r="SAT49" s="474"/>
      <c r="SAU49" s="471"/>
      <c r="SAV49" s="472"/>
      <c r="SAW49" s="473"/>
      <c r="SAX49" s="474"/>
      <c r="SAY49" s="471"/>
      <c r="SAZ49" s="472"/>
      <c r="SBA49" s="473"/>
      <c r="SBB49" s="474"/>
      <c r="SBC49" s="471"/>
      <c r="SBD49" s="472"/>
      <c r="SBE49" s="473"/>
      <c r="SBF49" s="474"/>
      <c r="SBG49" s="471"/>
      <c r="SBH49" s="472"/>
      <c r="SBI49" s="473"/>
      <c r="SBJ49" s="474"/>
      <c r="SBK49" s="471"/>
      <c r="SBL49" s="472"/>
      <c r="SBM49" s="473"/>
      <c r="SBN49" s="474"/>
      <c r="SBO49" s="471"/>
      <c r="SBP49" s="472"/>
      <c r="SBQ49" s="473"/>
      <c r="SBR49" s="474"/>
      <c r="SBS49" s="471"/>
      <c r="SBT49" s="472"/>
      <c r="SBU49" s="473"/>
      <c r="SBV49" s="474"/>
      <c r="SBW49" s="471"/>
      <c r="SBX49" s="472"/>
      <c r="SBY49" s="473"/>
      <c r="SBZ49" s="474"/>
      <c r="SCA49" s="471"/>
      <c r="SCB49" s="472"/>
      <c r="SCC49" s="473"/>
      <c r="SCD49" s="474"/>
      <c r="SCE49" s="471"/>
      <c r="SCF49" s="472"/>
      <c r="SCG49" s="473"/>
      <c r="SCH49" s="474"/>
      <c r="SCI49" s="471"/>
      <c r="SCJ49" s="472"/>
      <c r="SCK49" s="473"/>
      <c r="SCL49" s="474"/>
      <c r="SCM49" s="471"/>
      <c r="SCN49" s="472"/>
      <c r="SCO49" s="473"/>
      <c r="SCP49" s="474"/>
      <c r="SCQ49" s="471"/>
      <c r="SCR49" s="472"/>
      <c r="SCS49" s="473"/>
      <c r="SCT49" s="474"/>
      <c r="SCU49" s="471"/>
      <c r="SCV49" s="472"/>
      <c r="SCW49" s="473"/>
      <c r="SCX49" s="474"/>
      <c r="SCY49" s="471"/>
      <c r="SCZ49" s="472"/>
      <c r="SDA49" s="473"/>
      <c r="SDB49" s="474"/>
      <c r="SDC49" s="471"/>
      <c r="SDD49" s="472"/>
      <c r="SDE49" s="473"/>
      <c r="SDF49" s="474"/>
      <c r="SDG49" s="471"/>
      <c r="SDH49" s="472"/>
      <c r="SDI49" s="473"/>
      <c r="SDJ49" s="474"/>
      <c r="SDK49" s="471"/>
      <c r="SDL49" s="472"/>
      <c r="SDM49" s="473"/>
      <c r="SDN49" s="474"/>
      <c r="SDO49" s="471"/>
      <c r="SDP49" s="472"/>
      <c r="SDQ49" s="473"/>
      <c r="SDR49" s="474"/>
      <c r="SDS49" s="471"/>
      <c r="SDT49" s="472"/>
      <c r="SDU49" s="473"/>
      <c r="SDV49" s="474"/>
      <c r="SDW49" s="471"/>
      <c r="SDX49" s="472"/>
      <c r="SDY49" s="473"/>
      <c r="SDZ49" s="474"/>
      <c r="SEA49" s="471"/>
      <c r="SEB49" s="472"/>
      <c r="SEC49" s="473"/>
      <c r="SED49" s="474"/>
      <c r="SEE49" s="471"/>
      <c r="SEF49" s="472"/>
      <c r="SEG49" s="473"/>
      <c r="SEH49" s="474"/>
      <c r="SEI49" s="471"/>
      <c r="SEJ49" s="472"/>
      <c r="SEK49" s="473"/>
      <c r="SEL49" s="474"/>
      <c r="SEM49" s="471"/>
      <c r="SEN49" s="472"/>
      <c r="SEO49" s="473"/>
      <c r="SEP49" s="474"/>
      <c r="SEQ49" s="471"/>
      <c r="SER49" s="472"/>
      <c r="SES49" s="473"/>
      <c r="SET49" s="474"/>
      <c r="SEU49" s="471"/>
      <c r="SEV49" s="472"/>
      <c r="SEW49" s="473"/>
      <c r="SEX49" s="474"/>
      <c r="SEY49" s="471"/>
      <c r="SEZ49" s="472"/>
      <c r="SFA49" s="473"/>
      <c r="SFB49" s="474"/>
      <c r="SFC49" s="471"/>
      <c r="SFD49" s="472"/>
      <c r="SFE49" s="473"/>
      <c r="SFF49" s="474"/>
      <c r="SFG49" s="471"/>
      <c r="SFH49" s="472"/>
      <c r="SFI49" s="473"/>
      <c r="SFJ49" s="474"/>
      <c r="SFK49" s="471"/>
      <c r="SFL49" s="472"/>
      <c r="SFM49" s="473"/>
      <c r="SFN49" s="474"/>
      <c r="SFO49" s="471"/>
      <c r="SFP49" s="472"/>
      <c r="SFQ49" s="473"/>
      <c r="SFR49" s="474"/>
      <c r="SFS49" s="471"/>
      <c r="SFT49" s="472"/>
      <c r="SFU49" s="473"/>
      <c r="SFV49" s="474"/>
      <c r="SFW49" s="471"/>
      <c r="SFX49" s="472"/>
      <c r="SFY49" s="473"/>
      <c r="SFZ49" s="474"/>
      <c r="SGA49" s="471"/>
      <c r="SGB49" s="472"/>
      <c r="SGC49" s="473"/>
      <c r="SGD49" s="474"/>
      <c r="SGE49" s="471"/>
      <c r="SGF49" s="472"/>
      <c r="SGG49" s="473"/>
      <c r="SGH49" s="474"/>
      <c r="SGI49" s="471"/>
      <c r="SGJ49" s="472"/>
      <c r="SGK49" s="473"/>
      <c r="SGL49" s="474"/>
      <c r="SGM49" s="471"/>
      <c r="SGN49" s="472"/>
      <c r="SGO49" s="473"/>
      <c r="SGP49" s="474"/>
      <c r="SGQ49" s="471"/>
      <c r="SGR49" s="472"/>
      <c r="SGS49" s="473"/>
      <c r="SGT49" s="474"/>
      <c r="SGU49" s="471"/>
      <c r="SGV49" s="472"/>
      <c r="SGW49" s="473"/>
      <c r="SGX49" s="474"/>
      <c r="SGY49" s="471"/>
      <c r="SGZ49" s="472"/>
      <c r="SHA49" s="473"/>
      <c r="SHB49" s="474"/>
      <c r="SHC49" s="471"/>
      <c r="SHD49" s="472"/>
      <c r="SHE49" s="473"/>
      <c r="SHF49" s="474"/>
      <c r="SHG49" s="471"/>
      <c r="SHH49" s="472"/>
      <c r="SHI49" s="473"/>
      <c r="SHJ49" s="474"/>
      <c r="SHK49" s="471"/>
      <c r="SHL49" s="472"/>
      <c r="SHM49" s="473"/>
      <c r="SHN49" s="474"/>
      <c r="SHO49" s="471"/>
      <c r="SHP49" s="472"/>
      <c r="SHQ49" s="473"/>
      <c r="SHR49" s="474"/>
      <c r="SHS49" s="471"/>
      <c r="SHT49" s="472"/>
      <c r="SHU49" s="473"/>
      <c r="SHV49" s="474"/>
      <c r="SHW49" s="471"/>
      <c r="SHX49" s="472"/>
      <c r="SHY49" s="473"/>
      <c r="SHZ49" s="474"/>
      <c r="SIA49" s="471"/>
      <c r="SIB49" s="472"/>
      <c r="SIC49" s="473"/>
      <c r="SID49" s="474"/>
      <c r="SIE49" s="471"/>
      <c r="SIF49" s="472"/>
      <c r="SIG49" s="473"/>
      <c r="SIH49" s="474"/>
      <c r="SII49" s="471"/>
      <c r="SIJ49" s="472"/>
      <c r="SIK49" s="473"/>
      <c r="SIL49" s="474"/>
      <c r="SIM49" s="471"/>
      <c r="SIN49" s="472"/>
      <c r="SIO49" s="473"/>
      <c r="SIP49" s="474"/>
      <c r="SIQ49" s="471"/>
      <c r="SIR49" s="472"/>
      <c r="SIS49" s="473"/>
      <c r="SIT49" s="474"/>
      <c r="SIU49" s="471"/>
      <c r="SIV49" s="472"/>
      <c r="SIW49" s="473"/>
      <c r="SIX49" s="474"/>
      <c r="SIY49" s="471"/>
      <c r="SIZ49" s="472"/>
      <c r="SJA49" s="473"/>
      <c r="SJB49" s="474"/>
      <c r="SJC49" s="471"/>
      <c r="SJD49" s="472"/>
      <c r="SJE49" s="473"/>
      <c r="SJF49" s="474"/>
      <c r="SJG49" s="471"/>
      <c r="SJH49" s="472"/>
      <c r="SJI49" s="473"/>
      <c r="SJJ49" s="474"/>
      <c r="SJK49" s="471"/>
      <c r="SJL49" s="472"/>
      <c r="SJM49" s="473"/>
      <c r="SJN49" s="474"/>
      <c r="SJO49" s="471"/>
      <c r="SJP49" s="472"/>
      <c r="SJQ49" s="473"/>
      <c r="SJR49" s="474"/>
      <c r="SJS49" s="471"/>
      <c r="SJT49" s="472"/>
      <c r="SJU49" s="473"/>
      <c r="SJV49" s="474"/>
      <c r="SJW49" s="471"/>
      <c r="SJX49" s="472"/>
      <c r="SJY49" s="473"/>
      <c r="SJZ49" s="474"/>
      <c r="SKA49" s="471"/>
      <c r="SKB49" s="472"/>
      <c r="SKC49" s="473"/>
      <c r="SKD49" s="474"/>
      <c r="SKE49" s="471"/>
      <c r="SKF49" s="472"/>
      <c r="SKG49" s="473"/>
      <c r="SKH49" s="474"/>
      <c r="SKI49" s="471"/>
      <c r="SKJ49" s="472"/>
      <c r="SKK49" s="473"/>
      <c r="SKL49" s="474"/>
      <c r="SKM49" s="471"/>
      <c r="SKN49" s="472"/>
      <c r="SKO49" s="473"/>
      <c r="SKP49" s="474"/>
      <c r="SKQ49" s="471"/>
      <c r="SKR49" s="472"/>
      <c r="SKS49" s="473"/>
      <c r="SKT49" s="474"/>
      <c r="SKU49" s="471"/>
      <c r="SKV49" s="472"/>
      <c r="SKW49" s="473"/>
      <c r="SKX49" s="474"/>
      <c r="SKY49" s="471"/>
      <c r="SKZ49" s="472"/>
      <c r="SLA49" s="473"/>
      <c r="SLB49" s="474"/>
      <c r="SLC49" s="471"/>
      <c r="SLD49" s="472"/>
      <c r="SLE49" s="473"/>
      <c r="SLF49" s="474"/>
      <c r="SLG49" s="471"/>
      <c r="SLH49" s="472"/>
      <c r="SLI49" s="473"/>
      <c r="SLJ49" s="474"/>
      <c r="SLK49" s="471"/>
      <c r="SLL49" s="472"/>
      <c r="SLM49" s="473"/>
      <c r="SLN49" s="474"/>
      <c r="SLO49" s="471"/>
      <c r="SLP49" s="472"/>
      <c r="SLQ49" s="473"/>
      <c r="SLR49" s="474"/>
      <c r="SLS49" s="471"/>
      <c r="SLT49" s="472"/>
      <c r="SLU49" s="473"/>
      <c r="SLV49" s="474"/>
      <c r="SLW49" s="471"/>
      <c r="SLX49" s="472"/>
      <c r="SLY49" s="473"/>
      <c r="SLZ49" s="474"/>
      <c r="SMA49" s="471"/>
      <c r="SMB49" s="472"/>
      <c r="SMC49" s="473"/>
      <c r="SMD49" s="474"/>
      <c r="SME49" s="471"/>
      <c r="SMF49" s="472"/>
      <c r="SMG49" s="473"/>
      <c r="SMH49" s="474"/>
      <c r="SMI49" s="471"/>
      <c r="SMJ49" s="472"/>
      <c r="SMK49" s="473"/>
      <c r="SML49" s="474"/>
      <c r="SMM49" s="471"/>
      <c r="SMN49" s="472"/>
      <c r="SMO49" s="473"/>
      <c r="SMP49" s="474"/>
      <c r="SMQ49" s="471"/>
      <c r="SMR49" s="472"/>
      <c r="SMS49" s="473"/>
      <c r="SMT49" s="474"/>
      <c r="SMU49" s="471"/>
      <c r="SMV49" s="472"/>
      <c r="SMW49" s="473"/>
      <c r="SMX49" s="474"/>
      <c r="SMY49" s="471"/>
      <c r="SMZ49" s="472"/>
      <c r="SNA49" s="473"/>
      <c r="SNB49" s="474"/>
      <c r="SNC49" s="471"/>
      <c r="SND49" s="472"/>
      <c r="SNE49" s="473"/>
      <c r="SNF49" s="474"/>
      <c r="SNG49" s="471"/>
      <c r="SNH49" s="472"/>
      <c r="SNI49" s="473"/>
      <c r="SNJ49" s="474"/>
      <c r="SNK49" s="471"/>
      <c r="SNL49" s="472"/>
      <c r="SNM49" s="473"/>
      <c r="SNN49" s="474"/>
      <c r="SNO49" s="471"/>
      <c r="SNP49" s="472"/>
      <c r="SNQ49" s="473"/>
      <c r="SNR49" s="474"/>
      <c r="SNS49" s="471"/>
      <c r="SNT49" s="472"/>
      <c r="SNU49" s="473"/>
      <c r="SNV49" s="474"/>
      <c r="SNW49" s="471"/>
      <c r="SNX49" s="472"/>
      <c r="SNY49" s="473"/>
      <c r="SNZ49" s="474"/>
      <c r="SOA49" s="471"/>
      <c r="SOB49" s="472"/>
      <c r="SOC49" s="473"/>
      <c r="SOD49" s="474"/>
      <c r="SOE49" s="471"/>
      <c r="SOF49" s="472"/>
      <c r="SOG49" s="473"/>
      <c r="SOH49" s="474"/>
      <c r="SOI49" s="471"/>
      <c r="SOJ49" s="472"/>
      <c r="SOK49" s="473"/>
      <c r="SOL49" s="474"/>
      <c r="SOM49" s="471"/>
      <c r="SON49" s="472"/>
      <c r="SOO49" s="473"/>
      <c r="SOP49" s="474"/>
      <c r="SOQ49" s="471"/>
      <c r="SOR49" s="472"/>
      <c r="SOS49" s="473"/>
      <c r="SOT49" s="474"/>
      <c r="SOU49" s="471"/>
      <c r="SOV49" s="472"/>
      <c r="SOW49" s="473"/>
      <c r="SOX49" s="474"/>
      <c r="SOY49" s="471"/>
      <c r="SOZ49" s="472"/>
      <c r="SPA49" s="473"/>
      <c r="SPB49" s="474"/>
      <c r="SPC49" s="471"/>
      <c r="SPD49" s="472"/>
      <c r="SPE49" s="473"/>
      <c r="SPF49" s="474"/>
      <c r="SPG49" s="471"/>
      <c r="SPH49" s="472"/>
      <c r="SPI49" s="473"/>
      <c r="SPJ49" s="474"/>
      <c r="SPK49" s="471"/>
      <c r="SPL49" s="472"/>
      <c r="SPM49" s="473"/>
      <c r="SPN49" s="474"/>
      <c r="SPO49" s="471"/>
      <c r="SPP49" s="472"/>
      <c r="SPQ49" s="473"/>
      <c r="SPR49" s="474"/>
      <c r="SPS49" s="471"/>
      <c r="SPT49" s="472"/>
      <c r="SPU49" s="473"/>
      <c r="SPV49" s="474"/>
      <c r="SPW49" s="471"/>
      <c r="SPX49" s="472"/>
      <c r="SPY49" s="473"/>
      <c r="SPZ49" s="474"/>
      <c r="SQA49" s="471"/>
      <c r="SQB49" s="472"/>
      <c r="SQC49" s="473"/>
      <c r="SQD49" s="474"/>
      <c r="SQE49" s="471"/>
      <c r="SQF49" s="472"/>
      <c r="SQG49" s="473"/>
      <c r="SQH49" s="474"/>
      <c r="SQI49" s="471"/>
      <c r="SQJ49" s="472"/>
      <c r="SQK49" s="473"/>
      <c r="SQL49" s="474"/>
      <c r="SQM49" s="471"/>
      <c r="SQN49" s="472"/>
      <c r="SQO49" s="473"/>
      <c r="SQP49" s="474"/>
      <c r="SQQ49" s="471"/>
      <c r="SQR49" s="472"/>
      <c r="SQS49" s="473"/>
      <c r="SQT49" s="474"/>
      <c r="SQU49" s="471"/>
      <c r="SQV49" s="472"/>
      <c r="SQW49" s="473"/>
      <c r="SQX49" s="474"/>
      <c r="SQY49" s="471"/>
      <c r="SQZ49" s="472"/>
      <c r="SRA49" s="473"/>
      <c r="SRB49" s="474"/>
      <c r="SRC49" s="471"/>
      <c r="SRD49" s="472"/>
      <c r="SRE49" s="473"/>
      <c r="SRF49" s="474"/>
      <c r="SRG49" s="471"/>
      <c r="SRH49" s="472"/>
      <c r="SRI49" s="473"/>
      <c r="SRJ49" s="474"/>
      <c r="SRK49" s="471"/>
      <c r="SRL49" s="472"/>
      <c r="SRM49" s="473"/>
      <c r="SRN49" s="474"/>
      <c r="SRO49" s="471"/>
      <c r="SRP49" s="472"/>
      <c r="SRQ49" s="473"/>
      <c r="SRR49" s="474"/>
      <c r="SRS49" s="471"/>
      <c r="SRT49" s="472"/>
      <c r="SRU49" s="473"/>
      <c r="SRV49" s="474"/>
      <c r="SRW49" s="471"/>
      <c r="SRX49" s="472"/>
      <c r="SRY49" s="473"/>
      <c r="SRZ49" s="474"/>
      <c r="SSA49" s="471"/>
      <c r="SSB49" s="472"/>
      <c r="SSC49" s="473"/>
      <c r="SSD49" s="474"/>
      <c r="SSE49" s="471"/>
      <c r="SSF49" s="472"/>
      <c r="SSG49" s="473"/>
      <c r="SSH49" s="474"/>
      <c r="SSI49" s="471"/>
      <c r="SSJ49" s="472"/>
      <c r="SSK49" s="473"/>
      <c r="SSL49" s="474"/>
      <c r="SSM49" s="471"/>
      <c r="SSN49" s="472"/>
      <c r="SSO49" s="473"/>
      <c r="SSP49" s="474"/>
      <c r="SSQ49" s="471"/>
      <c r="SSR49" s="472"/>
      <c r="SSS49" s="473"/>
      <c r="SST49" s="474"/>
      <c r="SSU49" s="471"/>
      <c r="SSV49" s="472"/>
      <c r="SSW49" s="473"/>
      <c r="SSX49" s="474"/>
      <c r="SSY49" s="471"/>
      <c r="SSZ49" s="472"/>
      <c r="STA49" s="473"/>
      <c r="STB49" s="474"/>
      <c r="STC49" s="471"/>
      <c r="STD49" s="472"/>
      <c r="STE49" s="473"/>
      <c r="STF49" s="474"/>
      <c r="STG49" s="471"/>
      <c r="STH49" s="472"/>
      <c r="STI49" s="473"/>
      <c r="STJ49" s="474"/>
      <c r="STK49" s="471"/>
      <c r="STL49" s="472"/>
      <c r="STM49" s="473"/>
      <c r="STN49" s="474"/>
      <c r="STO49" s="471"/>
      <c r="STP49" s="472"/>
      <c r="STQ49" s="473"/>
      <c r="STR49" s="474"/>
      <c r="STS49" s="471"/>
      <c r="STT49" s="472"/>
      <c r="STU49" s="473"/>
      <c r="STV49" s="474"/>
      <c r="STW49" s="471"/>
      <c r="STX49" s="472"/>
      <c r="STY49" s="473"/>
      <c r="STZ49" s="474"/>
      <c r="SUA49" s="471"/>
      <c r="SUB49" s="472"/>
      <c r="SUC49" s="473"/>
      <c r="SUD49" s="474"/>
      <c r="SUE49" s="471"/>
      <c r="SUF49" s="472"/>
      <c r="SUG49" s="473"/>
      <c r="SUH49" s="474"/>
      <c r="SUI49" s="471"/>
      <c r="SUJ49" s="472"/>
      <c r="SUK49" s="473"/>
      <c r="SUL49" s="474"/>
      <c r="SUM49" s="471"/>
      <c r="SUN49" s="472"/>
      <c r="SUO49" s="473"/>
      <c r="SUP49" s="474"/>
      <c r="SUQ49" s="471"/>
      <c r="SUR49" s="472"/>
      <c r="SUS49" s="473"/>
      <c r="SUT49" s="474"/>
      <c r="SUU49" s="471"/>
      <c r="SUV49" s="472"/>
      <c r="SUW49" s="473"/>
      <c r="SUX49" s="474"/>
      <c r="SUY49" s="471"/>
      <c r="SUZ49" s="472"/>
      <c r="SVA49" s="473"/>
      <c r="SVB49" s="474"/>
      <c r="SVC49" s="471"/>
      <c r="SVD49" s="472"/>
      <c r="SVE49" s="473"/>
      <c r="SVF49" s="474"/>
      <c r="SVG49" s="471"/>
      <c r="SVH49" s="472"/>
      <c r="SVI49" s="473"/>
      <c r="SVJ49" s="474"/>
      <c r="SVK49" s="471"/>
      <c r="SVL49" s="472"/>
      <c r="SVM49" s="473"/>
      <c r="SVN49" s="474"/>
      <c r="SVO49" s="471"/>
      <c r="SVP49" s="472"/>
      <c r="SVQ49" s="473"/>
      <c r="SVR49" s="474"/>
      <c r="SVS49" s="471"/>
      <c r="SVT49" s="472"/>
      <c r="SVU49" s="473"/>
      <c r="SVV49" s="474"/>
      <c r="SVW49" s="471"/>
      <c r="SVX49" s="472"/>
      <c r="SVY49" s="473"/>
      <c r="SVZ49" s="474"/>
      <c r="SWA49" s="471"/>
      <c r="SWB49" s="472"/>
      <c r="SWC49" s="473"/>
      <c r="SWD49" s="474"/>
      <c r="SWE49" s="471"/>
      <c r="SWF49" s="472"/>
      <c r="SWG49" s="473"/>
      <c r="SWH49" s="474"/>
      <c r="SWI49" s="471"/>
      <c r="SWJ49" s="472"/>
      <c r="SWK49" s="473"/>
      <c r="SWL49" s="474"/>
      <c r="SWM49" s="471"/>
      <c r="SWN49" s="472"/>
      <c r="SWO49" s="473"/>
      <c r="SWP49" s="474"/>
      <c r="SWQ49" s="471"/>
      <c r="SWR49" s="472"/>
      <c r="SWS49" s="473"/>
      <c r="SWT49" s="474"/>
      <c r="SWU49" s="471"/>
      <c r="SWV49" s="472"/>
      <c r="SWW49" s="473"/>
      <c r="SWX49" s="474"/>
      <c r="SWY49" s="471"/>
      <c r="SWZ49" s="472"/>
      <c r="SXA49" s="473"/>
      <c r="SXB49" s="474"/>
      <c r="SXC49" s="471"/>
      <c r="SXD49" s="472"/>
      <c r="SXE49" s="473"/>
      <c r="SXF49" s="474"/>
      <c r="SXG49" s="471"/>
      <c r="SXH49" s="472"/>
      <c r="SXI49" s="473"/>
      <c r="SXJ49" s="474"/>
      <c r="SXK49" s="471"/>
      <c r="SXL49" s="472"/>
      <c r="SXM49" s="473"/>
      <c r="SXN49" s="474"/>
      <c r="SXO49" s="471"/>
      <c r="SXP49" s="472"/>
      <c r="SXQ49" s="473"/>
      <c r="SXR49" s="474"/>
      <c r="SXS49" s="471"/>
      <c r="SXT49" s="472"/>
      <c r="SXU49" s="473"/>
      <c r="SXV49" s="474"/>
      <c r="SXW49" s="471"/>
      <c r="SXX49" s="472"/>
      <c r="SXY49" s="473"/>
      <c r="SXZ49" s="474"/>
      <c r="SYA49" s="471"/>
      <c r="SYB49" s="472"/>
      <c r="SYC49" s="473"/>
      <c r="SYD49" s="474"/>
      <c r="SYE49" s="471"/>
      <c r="SYF49" s="472"/>
      <c r="SYG49" s="473"/>
      <c r="SYH49" s="474"/>
      <c r="SYI49" s="471"/>
      <c r="SYJ49" s="472"/>
      <c r="SYK49" s="473"/>
      <c r="SYL49" s="474"/>
      <c r="SYM49" s="471"/>
      <c r="SYN49" s="472"/>
      <c r="SYO49" s="473"/>
      <c r="SYP49" s="474"/>
      <c r="SYQ49" s="471"/>
      <c r="SYR49" s="472"/>
      <c r="SYS49" s="473"/>
      <c r="SYT49" s="474"/>
      <c r="SYU49" s="471"/>
      <c r="SYV49" s="472"/>
      <c r="SYW49" s="473"/>
      <c r="SYX49" s="474"/>
      <c r="SYY49" s="471"/>
      <c r="SYZ49" s="472"/>
      <c r="SZA49" s="473"/>
      <c r="SZB49" s="474"/>
      <c r="SZC49" s="471"/>
      <c r="SZD49" s="472"/>
      <c r="SZE49" s="473"/>
      <c r="SZF49" s="474"/>
      <c r="SZG49" s="471"/>
      <c r="SZH49" s="472"/>
      <c r="SZI49" s="473"/>
      <c r="SZJ49" s="474"/>
      <c r="SZK49" s="471"/>
      <c r="SZL49" s="472"/>
      <c r="SZM49" s="473"/>
      <c r="SZN49" s="474"/>
      <c r="SZO49" s="471"/>
      <c r="SZP49" s="472"/>
      <c r="SZQ49" s="473"/>
      <c r="SZR49" s="474"/>
      <c r="SZS49" s="471"/>
      <c r="SZT49" s="472"/>
      <c r="SZU49" s="473"/>
      <c r="SZV49" s="474"/>
      <c r="SZW49" s="471"/>
      <c r="SZX49" s="472"/>
      <c r="SZY49" s="473"/>
      <c r="SZZ49" s="474"/>
      <c r="TAA49" s="471"/>
      <c r="TAB49" s="472"/>
      <c r="TAC49" s="473"/>
      <c r="TAD49" s="474"/>
      <c r="TAE49" s="471"/>
      <c r="TAF49" s="472"/>
      <c r="TAG49" s="473"/>
      <c r="TAH49" s="474"/>
      <c r="TAI49" s="471"/>
      <c r="TAJ49" s="472"/>
      <c r="TAK49" s="473"/>
      <c r="TAL49" s="474"/>
      <c r="TAM49" s="471"/>
      <c r="TAN49" s="472"/>
      <c r="TAO49" s="473"/>
      <c r="TAP49" s="474"/>
      <c r="TAQ49" s="471"/>
      <c r="TAR49" s="472"/>
      <c r="TAS49" s="473"/>
      <c r="TAT49" s="474"/>
      <c r="TAU49" s="471"/>
      <c r="TAV49" s="472"/>
      <c r="TAW49" s="473"/>
      <c r="TAX49" s="474"/>
      <c r="TAY49" s="471"/>
      <c r="TAZ49" s="472"/>
      <c r="TBA49" s="473"/>
      <c r="TBB49" s="474"/>
      <c r="TBC49" s="471"/>
      <c r="TBD49" s="472"/>
      <c r="TBE49" s="473"/>
      <c r="TBF49" s="474"/>
      <c r="TBG49" s="471"/>
      <c r="TBH49" s="472"/>
      <c r="TBI49" s="473"/>
      <c r="TBJ49" s="474"/>
      <c r="TBK49" s="471"/>
      <c r="TBL49" s="472"/>
      <c r="TBM49" s="473"/>
      <c r="TBN49" s="474"/>
      <c r="TBO49" s="471"/>
      <c r="TBP49" s="472"/>
      <c r="TBQ49" s="473"/>
      <c r="TBR49" s="474"/>
      <c r="TBS49" s="471"/>
      <c r="TBT49" s="472"/>
      <c r="TBU49" s="473"/>
      <c r="TBV49" s="474"/>
      <c r="TBW49" s="471"/>
      <c r="TBX49" s="472"/>
      <c r="TBY49" s="473"/>
      <c r="TBZ49" s="474"/>
      <c r="TCA49" s="471"/>
      <c r="TCB49" s="472"/>
      <c r="TCC49" s="473"/>
      <c r="TCD49" s="474"/>
      <c r="TCE49" s="471"/>
      <c r="TCF49" s="472"/>
      <c r="TCG49" s="473"/>
      <c r="TCH49" s="474"/>
      <c r="TCI49" s="471"/>
      <c r="TCJ49" s="472"/>
      <c r="TCK49" s="473"/>
      <c r="TCL49" s="474"/>
      <c r="TCM49" s="471"/>
      <c r="TCN49" s="472"/>
      <c r="TCO49" s="473"/>
      <c r="TCP49" s="474"/>
      <c r="TCQ49" s="471"/>
      <c r="TCR49" s="472"/>
      <c r="TCS49" s="473"/>
      <c r="TCT49" s="474"/>
      <c r="TCU49" s="471"/>
      <c r="TCV49" s="472"/>
      <c r="TCW49" s="473"/>
      <c r="TCX49" s="474"/>
      <c r="TCY49" s="471"/>
      <c r="TCZ49" s="472"/>
      <c r="TDA49" s="473"/>
      <c r="TDB49" s="474"/>
      <c r="TDC49" s="471"/>
      <c r="TDD49" s="472"/>
      <c r="TDE49" s="473"/>
      <c r="TDF49" s="474"/>
      <c r="TDG49" s="471"/>
      <c r="TDH49" s="472"/>
      <c r="TDI49" s="473"/>
      <c r="TDJ49" s="474"/>
      <c r="TDK49" s="471"/>
      <c r="TDL49" s="472"/>
      <c r="TDM49" s="473"/>
      <c r="TDN49" s="474"/>
      <c r="TDO49" s="471"/>
      <c r="TDP49" s="472"/>
      <c r="TDQ49" s="473"/>
      <c r="TDR49" s="474"/>
      <c r="TDS49" s="471"/>
      <c r="TDT49" s="472"/>
      <c r="TDU49" s="473"/>
      <c r="TDV49" s="474"/>
      <c r="TDW49" s="471"/>
      <c r="TDX49" s="472"/>
      <c r="TDY49" s="473"/>
      <c r="TDZ49" s="474"/>
      <c r="TEA49" s="471"/>
      <c r="TEB49" s="472"/>
      <c r="TEC49" s="473"/>
      <c r="TED49" s="474"/>
      <c r="TEE49" s="471"/>
      <c r="TEF49" s="472"/>
      <c r="TEG49" s="473"/>
      <c r="TEH49" s="474"/>
      <c r="TEI49" s="471"/>
      <c r="TEJ49" s="472"/>
      <c r="TEK49" s="473"/>
      <c r="TEL49" s="474"/>
      <c r="TEM49" s="471"/>
      <c r="TEN49" s="472"/>
      <c r="TEO49" s="473"/>
      <c r="TEP49" s="474"/>
      <c r="TEQ49" s="471"/>
      <c r="TER49" s="472"/>
      <c r="TES49" s="473"/>
      <c r="TET49" s="474"/>
      <c r="TEU49" s="471"/>
      <c r="TEV49" s="472"/>
      <c r="TEW49" s="473"/>
      <c r="TEX49" s="474"/>
      <c r="TEY49" s="471"/>
      <c r="TEZ49" s="472"/>
      <c r="TFA49" s="473"/>
      <c r="TFB49" s="474"/>
      <c r="TFC49" s="471"/>
      <c r="TFD49" s="472"/>
      <c r="TFE49" s="473"/>
      <c r="TFF49" s="474"/>
      <c r="TFG49" s="471"/>
      <c r="TFH49" s="472"/>
      <c r="TFI49" s="473"/>
      <c r="TFJ49" s="474"/>
      <c r="TFK49" s="471"/>
      <c r="TFL49" s="472"/>
      <c r="TFM49" s="473"/>
      <c r="TFN49" s="474"/>
      <c r="TFO49" s="471"/>
      <c r="TFP49" s="472"/>
      <c r="TFQ49" s="473"/>
      <c r="TFR49" s="474"/>
      <c r="TFS49" s="471"/>
      <c r="TFT49" s="472"/>
      <c r="TFU49" s="473"/>
      <c r="TFV49" s="474"/>
      <c r="TFW49" s="471"/>
      <c r="TFX49" s="472"/>
      <c r="TFY49" s="473"/>
      <c r="TFZ49" s="474"/>
      <c r="TGA49" s="471"/>
      <c r="TGB49" s="472"/>
      <c r="TGC49" s="473"/>
      <c r="TGD49" s="474"/>
      <c r="TGE49" s="471"/>
      <c r="TGF49" s="472"/>
      <c r="TGG49" s="473"/>
      <c r="TGH49" s="474"/>
      <c r="TGI49" s="471"/>
      <c r="TGJ49" s="472"/>
      <c r="TGK49" s="473"/>
      <c r="TGL49" s="474"/>
      <c r="TGM49" s="471"/>
      <c r="TGN49" s="472"/>
      <c r="TGO49" s="473"/>
      <c r="TGP49" s="474"/>
      <c r="TGQ49" s="471"/>
      <c r="TGR49" s="472"/>
      <c r="TGS49" s="473"/>
      <c r="TGT49" s="474"/>
      <c r="TGU49" s="471"/>
      <c r="TGV49" s="472"/>
      <c r="TGW49" s="473"/>
      <c r="TGX49" s="474"/>
      <c r="TGY49" s="471"/>
      <c r="TGZ49" s="472"/>
      <c r="THA49" s="473"/>
      <c r="THB49" s="474"/>
      <c r="THC49" s="471"/>
      <c r="THD49" s="472"/>
      <c r="THE49" s="473"/>
      <c r="THF49" s="474"/>
      <c r="THG49" s="471"/>
      <c r="THH49" s="472"/>
      <c r="THI49" s="473"/>
      <c r="THJ49" s="474"/>
      <c r="THK49" s="471"/>
      <c r="THL49" s="472"/>
      <c r="THM49" s="473"/>
      <c r="THN49" s="474"/>
      <c r="THO49" s="471"/>
      <c r="THP49" s="472"/>
      <c r="THQ49" s="473"/>
      <c r="THR49" s="474"/>
      <c r="THS49" s="471"/>
      <c r="THT49" s="472"/>
      <c r="THU49" s="473"/>
      <c r="THV49" s="474"/>
      <c r="THW49" s="471"/>
      <c r="THX49" s="472"/>
      <c r="THY49" s="473"/>
      <c r="THZ49" s="474"/>
      <c r="TIA49" s="471"/>
      <c r="TIB49" s="472"/>
      <c r="TIC49" s="473"/>
      <c r="TID49" s="474"/>
      <c r="TIE49" s="471"/>
      <c r="TIF49" s="472"/>
      <c r="TIG49" s="473"/>
      <c r="TIH49" s="474"/>
      <c r="TII49" s="471"/>
      <c r="TIJ49" s="472"/>
      <c r="TIK49" s="473"/>
      <c r="TIL49" s="474"/>
      <c r="TIM49" s="471"/>
      <c r="TIN49" s="472"/>
      <c r="TIO49" s="473"/>
      <c r="TIP49" s="474"/>
      <c r="TIQ49" s="471"/>
      <c r="TIR49" s="472"/>
      <c r="TIS49" s="473"/>
      <c r="TIT49" s="474"/>
      <c r="TIU49" s="471"/>
      <c r="TIV49" s="472"/>
      <c r="TIW49" s="473"/>
      <c r="TIX49" s="474"/>
      <c r="TIY49" s="471"/>
      <c r="TIZ49" s="472"/>
      <c r="TJA49" s="473"/>
      <c r="TJB49" s="474"/>
      <c r="TJC49" s="471"/>
      <c r="TJD49" s="472"/>
      <c r="TJE49" s="473"/>
      <c r="TJF49" s="474"/>
      <c r="TJG49" s="471"/>
      <c r="TJH49" s="472"/>
      <c r="TJI49" s="473"/>
      <c r="TJJ49" s="474"/>
      <c r="TJK49" s="471"/>
      <c r="TJL49" s="472"/>
      <c r="TJM49" s="473"/>
      <c r="TJN49" s="474"/>
      <c r="TJO49" s="471"/>
      <c r="TJP49" s="472"/>
      <c r="TJQ49" s="473"/>
      <c r="TJR49" s="474"/>
      <c r="TJS49" s="471"/>
      <c r="TJT49" s="472"/>
      <c r="TJU49" s="473"/>
      <c r="TJV49" s="474"/>
      <c r="TJW49" s="471"/>
      <c r="TJX49" s="472"/>
      <c r="TJY49" s="473"/>
      <c r="TJZ49" s="474"/>
      <c r="TKA49" s="471"/>
      <c r="TKB49" s="472"/>
      <c r="TKC49" s="473"/>
      <c r="TKD49" s="474"/>
      <c r="TKE49" s="471"/>
      <c r="TKF49" s="472"/>
      <c r="TKG49" s="473"/>
      <c r="TKH49" s="474"/>
      <c r="TKI49" s="471"/>
      <c r="TKJ49" s="472"/>
      <c r="TKK49" s="473"/>
      <c r="TKL49" s="474"/>
      <c r="TKM49" s="471"/>
      <c r="TKN49" s="472"/>
      <c r="TKO49" s="473"/>
      <c r="TKP49" s="474"/>
      <c r="TKQ49" s="471"/>
      <c r="TKR49" s="472"/>
      <c r="TKS49" s="473"/>
      <c r="TKT49" s="474"/>
      <c r="TKU49" s="471"/>
      <c r="TKV49" s="472"/>
      <c r="TKW49" s="473"/>
      <c r="TKX49" s="474"/>
      <c r="TKY49" s="471"/>
      <c r="TKZ49" s="472"/>
      <c r="TLA49" s="473"/>
      <c r="TLB49" s="474"/>
      <c r="TLC49" s="471"/>
      <c r="TLD49" s="472"/>
      <c r="TLE49" s="473"/>
      <c r="TLF49" s="474"/>
      <c r="TLG49" s="471"/>
      <c r="TLH49" s="472"/>
      <c r="TLI49" s="473"/>
      <c r="TLJ49" s="474"/>
      <c r="TLK49" s="471"/>
      <c r="TLL49" s="472"/>
      <c r="TLM49" s="473"/>
      <c r="TLN49" s="474"/>
      <c r="TLO49" s="471"/>
      <c r="TLP49" s="472"/>
      <c r="TLQ49" s="473"/>
      <c r="TLR49" s="474"/>
      <c r="TLS49" s="471"/>
      <c r="TLT49" s="472"/>
      <c r="TLU49" s="473"/>
      <c r="TLV49" s="474"/>
      <c r="TLW49" s="471"/>
      <c r="TLX49" s="472"/>
      <c r="TLY49" s="473"/>
      <c r="TLZ49" s="474"/>
      <c r="TMA49" s="471"/>
      <c r="TMB49" s="472"/>
      <c r="TMC49" s="473"/>
      <c r="TMD49" s="474"/>
      <c r="TME49" s="471"/>
      <c r="TMF49" s="472"/>
      <c r="TMG49" s="473"/>
      <c r="TMH49" s="474"/>
      <c r="TMI49" s="471"/>
      <c r="TMJ49" s="472"/>
      <c r="TMK49" s="473"/>
      <c r="TML49" s="474"/>
      <c r="TMM49" s="471"/>
      <c r="TMN49" s="472"/>
      <c r="TMO49" s="473"/>
      <c r="TMP49" s="474"/>
      <c r="TMQ49" s="471"/>
      <c r="TMR49" s="472"/>
      <c r="TMS49" s="473"/>
      <c r="TMT49" s="474"/>
      <c r="TMU49" s="471"/>
      <c r="TMV49" s="472"/>
      <c r="TMW49" s="473"/>
      <c r="TMX49" s="474"/>
      <c r="TMY49" s="471"/>
      <c r="TMZ49" s="472"/>
      <c r="TNA49" s="473"/>
      <c r="TNB49" s="474"/>
      <c r="TNC49" s="471"/>
      <c r="TND49" s="472"/>
      <c r="TNE49" s="473"/>
      <c r="TNF49" s="474"/>
      <c r="TNG49" s="471"/>
      <c r="TNH49" s="472"/>
      <c r="TNI49" s="473"/>
      <c r="TNJ49" s="474"/>
      <c r="TNK49" s="471"/>
      <c r="TNL49" s="472"/>
      <c r="TNM49" s="473"/>
      <c r="TNN49" s="474"/>
      <c r="TNO49" s="471"/>
      <c r="TNP49" s="472"/>
      <c r="TNQ49" s="473"/>
      <c r="TNR49" s="474"/>
      <c r="TNS49" s="471"/>
      <c r="TNT49" s="472"/>
      <c r="TNU49" s="473"/>
      <c r="TNV49" s="474"/>
      <c r="TNW49" s="471"/>
      <c r="TNX49" s="472"/>
      <c r="TNY49" s="473"/>
      <c r="TNZ49" s="474"/>
      <c r="TOA49" s="471"/>
      <c r="TOB49" s="472"/>
      <c r="TOC49" s="473"/>
      <c r="TOD49" s="474"/>
      <c r="TOE49" s="471"/>
      <c r="TOF49" s="472"/>
      <c r="TOG49" s="473"/>
      <c r="TOH49" s="474"/>
      <c r="TOI49" s="471"/>
      <c r="TOJ49" s="472"/>
      <c r="TOK49" s="473"/>
      <c r="TOL49" s="474"/>
      <c r="TOM49" s="471"/>
      <c r="TON49" s="472"/>
      <c r="TOO49" s="473"/>
      <c r="TOP49" s="474"/>
      <c r="TOQ49" s="471"/>
      <c r="TOR49" s="472"/>
      <c r="TOS49" s="473"/>
      <c r="TOT49" s="474"/>
      <c r="TOU49" s="471"/>
      <c r="TOV49" s="472"/>
      <c r="TOW49" s="473"/>
      <c r="TOX49" s="474"/>
      <c r="TOY49" s="471"/>
      <c r="TOZ49" s="472"/>
      <c r="TPA49" s="473"/>
      <c r="TPB49" s="474"/>
      <c r="TPC49" s="471"/>
      <c r="TPD49" s="472"/>
      <c r="TPE49" s="473"/>
      <c r="TPF49" s="474"/>
      <c r="TPG49" s="471"/>
      <c r="TPH49" s="472"/>
      <c r="TPI49" s="473"/>
      <c r="TPJ49" s="474"/>
      <c r="TPK49" s="471"/>
      <c r="TPL49" s="472"/>
      <c r="TPM49" s="473"/>
      <c r="TPN49" s="474"/>
      <c r="TPO49" s="471"/>
      <c r="TPP49" s="472"/>
      <c r="TPQ49" s="473"/>
      <c r="TPR49" s="474"/>
      <c r="TPS49" s="471"/>
      <c r="TPT49" s="472"/>
      <c r="TPU49" s="473"/>
      <c r="TPV49" s="474"/>
      <c r="TPW49" s="471"/>
      <c r="TPX49" s="472"/>
      <c r="TPY49" s="473"/>
      <c r="TPZ49" s="474"/>
      <c r="TQA49" s="471"/>
      <c r="TQB49" s="472"/>
      <c r="TQC49" s="473"/>
      <c r="TQD49" s="474"/>
      <c r="TQE49" s="471"/>
      <c r="TQF49" s="472"/>
      <c r="TQG49" s="473"/>
      <c r="TQH49" s="474"/>
      <c r="TQI49" s="471"/>
      <c r="TQJ49" s="472"/>
      <c r="TQK49" s="473"/>
      <c r="TQL49" s="474"/>
      <c r="TQM49" s="471"/>
      <c r="TQN49" s="472"/>
      <c r="TQO49" s="473"/>
      <c r="TQP49" s="474"/>
      <c r="TQQ49" s="471"/>
      <c r="TQR49" s="472"/>
      <c r="TQS49" s="473"/>
      <c r="TQT49" s="474"/>
      <c r="TQU49" s="471"/>
      <c r="TQV49" s="472"/>
      <c r="TQW49" s="473"/>
      <c r="TQX49" s="474"/>
      <c r="TQY49" s="471"/>
      <c r="TQZ49" s="472"/>
      <c r="TRA49" s="473"/>
      <c r="TRB49" s="474"/>
      <c r="TRC49" s="471"/>
      <c r="TRD49" s="472"/>
      <c r="TRE49" s="473"/>
      <c r="TRF49" s="474"/>
      <c r="TRG49" s="471"/>
      <c r="TRH49" s="472"/>
      <c r="TRI49" s="473"/>
      <c r="TRJ49" s="474"/>
      <c r="TRK49" s="471"/>
      <c r="TRL49" s="472"/>
      <c r="TRM49" s="473"/>
      <c r="TRN49" s="474"/>
      <c r="TRO49" s="471"/>
      <c r="TRP49" s="472"/>
      <c r="TRQ49" s="473"/>
      <c r="TRR49" s="474"/>
      <c r="TRS49" s="471"/>
      <c r="TRT49" s="472"/>
      <c r="TRU49" s="473"/>
      <c r="TRV49" s="474"/>
      <c r="TRW49" s="471"/>
      <c r="TRX49" s="472"/>
      <c r="TRY49" s="473"/>
      <c r="TRZ49" s="474"/>
      <c r="TSA49" s="471"/>
      <c r="TSB49" s="472"/>
      <c r="TSC49" s="473"/>
      <c r="TSD49" s="474"/>
      <c r="TSE49" s="471"/>
      <c r="TSF49" s="472"/>
      <c r="TSG49" s="473"/>
      <c r="TSH49" s="474"/>
      <c r="TSI49" s="471"/>
      <c r="TSJ49" s="472"/>
      <c r="TSK49" s="473"/>
      <c r="TSL49" s="474"/>
      <c r="TSM49" s="471"/>
      <c r="TSN49" s="472"/>
      <c r="TSO49" s="473"/>
      <c r="TSP49" s="474"/>
      <c r="TSQ49" s="471"/>
      <c r="TSR49" s="472"/>
      <c r="TSS49" s="473"/>
      <c r="TST49" s="474"/>
      <c r="TSU49" s="471"/>
      <c r="TSV49" s="472"/>
      <c r="TSW49" s="473"/>
      <c r="TSX49" s="474"/>
      <c r="TSY49" s="471"/>
      <c r="TSZ49" s="472"/>
      <c r="TTA49" s="473"/>
      <c r="TTB49" s="474"/>
      <c r="TTC49" s="471"/>
      <c r="TTD49" s="472"/>
      <c r="TTE49" s="473"/>
      <c r="TTF49" s="474"/>
      <c r="TTG49" s="471"/>
      <c r="TTH49" s="472"/>
      <c r="TTI49" s="473"/>
      <c r="TTJ49" s="474"/>
      <c r="TTK49" s="471"/>
      <c r="TTL49" s="472"/>
      <c r="TTM49" s="473"/>
      <c r="TTN49" s="474"/>
      <c r="TTO49" s="471"/>
      <c r="TTP49" s="472"/>
      <c r="TTQ49" s="473"/>
      <c r="TTR49" s="474"/>
      <c r="TTS49" s="471"/>
      <c r="TTT49" s="472"/>
      <c r="TTU49" s="473"/>
      <c r="TTV49" s="474"/>
      <c r="TTW49" s="471"/>
      <c r="TTX49" s="472"/>
      <c r="TTY49" s="473"/>
      <c r="TTZ49" s="474"/>
      <c r="TUA49" s="471"/>
      <c r="TUB49" s="472"/>
      <c r="TUC49" s="473"/>
      <c r="TUD49" s="474"/>
      <c r="TUE49" s="471"/>
      <c r="TUF49" s="472"/>
      <c r="TUG49" s="473"/>
      <c r="TUH49" s="474"/>
      <c r="TUI49" s="471"/>
      <c r="TUJ49" s="472"/>
      <c r="TUK49" s="473"/>
      <c r="TUL49" s="474"/>
      <c r="TUM49" s="471"/>
      <c r="TUN49" s="472"/>
      <c r="TUO49" s="473"/>
      <c r="TUP49" s="474"/>
      <c r="TUQ49" s="471"/>
      <c r="TUR49" s="472"/>
      <c r="TUS49" s="473"/>
      <c r="TUT49" s="474"/>
      <c r="TUU49" s="471"/>
      <c r="TUV49" s="472"/>
      <c r="TUW49" s="473"/>
      <c r="TUX49" s="474"/>
      <c r="TUY49" s="471"/>
      <c r="TUZ49" s="472"/>
      <c r="TVA49" s="473"/>
      <c r="TVB49" s="474"/>
      <c r="TVC49" s="471"/>
      <c r="TVD49" s="472"/>
      <c r="TVE49" s="473"/>
      <c r="TVF49" s="474"/>
      <c r="TVG49" s="471"/>
      <c r="TVH49" s="472"/>
      <c r="TVI49" s="473"/>
      <c r="TVJ49" s="474"/>
      <c r="TVK49" s="471"/>
      <c r="TVL49" s="472"/>
      <c r="TVM49" s="473"/>
      <c r="TVN49" s="474"/>
      <c r="TVO49" s="471"/>
      <c r="TVP49" s="472"/>
      <c r="TVQ49" s="473"/>
      <c r="TVR49" s="474"/>
      <c r="TVS49" s="471"/>
      <c r="TVT49" s="472"/>
      <c r="TVU49" s="473"/>
      <c r="TVV49" s="474"/>
      <c r="TVW49" s="471"/>
      <c r="TVX49" s="472"/>
      <c r="TVY49" s="473"/>
      <c r="TVZ49" s="474"/>
      <c r="TWA49" s="471"/>
      <c r="TWB49" s="472"/>
      <c r="TWC49" s="473"/>
      <c r="TWD49" s="474"/>
      <c r="TWE49" s="471"/>
      <c r="TWF49" s="472"/>
      <c r="TWG49" s="473"/>
      <c r="TWH49" s="474"/>
      <c r="TWI49" s="471"/>
      <c r="TWJ49" s="472"/>
      <c r="TWK49" s="473"/>
      <c r="TWL49" s="474"/>
      <c r="TWM49" s="471"/>
      <c r="TWN49" s="472"/>
      <c r="TWO49" s="473"/>
      <c r="TWP49" s="474"/>
      <c r="TWQ49" s="471"/>
      <c r="TWR49" s="472"/>
      <c r="TWS49" s="473"/>
      <c r="TWT49" s="474"/>
      <c r="TWU49" s="471"/>
      <c r="TWV49" s="472"/>
      <c r="TWW49" s="473"/>
      <c r="TWX49" s="474"/>
      <c r="TWY49" s="471"/>
      <c r="TWZ49" s="472"/>
      <c r="TXA49" s="473"/>
      <c r="TXB49" s="474"/>
      <c r="TXC49" s="471"/>
      <c r="TXD49" s="472"/>
      <c r="TXE49" s="473"/>
      <c r="TXF49" s="474"/>
      <c r="TXG49" s="471"/>
      <c r="TXH49" s="472"/>
      <c r="TXI49" s="473"/>
      <c r="TXJ49" s="474"/>
      <c r="TXK49" s="471"/>
      <c r="TXL49" s="472"/>
      <c r="TXM49" s="473"/>
      <c r="TXN49" s="474"/>
      <c r="TXO49" s="471"/>
      <c r="TXP49" s="472"/>
      <c r="TXQ49" s="473"/>
      <c r="TXR49" s="474"/>
      <c r="TXS49" s="471"/>
      <c r="TXT49" s="472"/>
      <c r="TXU49" s="473"/>
      <c r="TXV49" s="474"/>
      <c r="TXW49" s="471"/>
      <c r="TXX49" s="472"/>
      <c r="TXY49" s="473"/>
      <c r="TXZ49" s="474"/>
      <c r="TYA49" s="471"/>
      <c r="TYB49" s="472"/>
      <c r="TYC49" s="473"/>
      <c r="TYD49" s="474"/>
      <c r="TYE49" s="471"/>
      <c r="TYF49" s="472"/>
      <c r="TYG49" s="473"/>
      <c r="TYH49" s="474"/>
      <c r="TYI49" s="471"/>
      <c r="TYJ49" s="472"/>
      <c r="TYK49" s="473"/>
      <c r="TYL49" s="474"/>
      <c r="TYM49" s="471"/>
      <c r="TYN49" s="472"/>
      <c r="TYO49" s="473"/>
      <c r="TYP49" s="474"/>
      <c r="TYQ49" s="471"/>
      <c r="TYR49" s="472"/>
      <c r="TYS49" s="473"/>
      <c r="TYT49" s="474"/>
      <c r="TYU49" s="471"/>
      <c r="TYV49" s="472"/>
      <c r="TYW49" s="473"/>
      <c r="TYX49" s="474"/>
      <c r="TYY49" s="471"/>
      <c r="TYZ49" s="472"/>
      <c r="TZA49" s="473"/>
      <c r="TZB49" s="474"/>
      <c r="TZC49" s="471"/>
      <c r="TZD49" s="472"/>
      <c r="TZE49" s="473"/>
      <c r="TZF49" s="474"/>
      <c r="TZG49" s="471"/>
      <c r="TZH49" s="472"/>
      <c r="TZI49" s="473"/>
      <c r="TZJ49" s="474"/>
      <c r="TZK49" s="471"/>
      <c r="TZL49" s="472"/>
      <c r="TZM49" s="473"/>
      <c r="TZN49" s="474"/>
      <c r="TZO49" s="471"/>
      <c r="TZP49" s="472"/>
      <c r="TZQ49" s="473"/>
      <c r="TZR49" s="474"/>
      <c r="TZS49" s="471"/>
      <c r="TZT49" s="472"/>
      <c r="TZU49" s="473"/>
      <c r="TZV49" s="474"/>
      <c r="TZW49" s="471"/>
      <c r="TZX49" s="472"/>
      <c r="TZY49" s="473"/>
      <c r="TZZ49" s="474"/>
      <c r="UAA49" s="471"/>
      <c r="UAB49" s="472"/>
      <c r="UAC49" s="473"/>
      <c r="UAD49" s="474"/>
      <c r="UAE49" s="471"/>
      <c r="UAF49" s="472"/>
      <c r="UAG49" s="473"/>
      <c r="UAH49" s="474"/>
      <c r="UAI49" s="471"/>
      <c r="UAJ49" s="472"/>
      <c r="UAK49" s="473"/>
      <c r="UAL49" s="474"/>
      <c r="UAM49" s="471"/>
      <c r="UAN49" s="472"/>
      <c r="UAO49" s="473"/>
      <c r="UAP49" s="474"/>
      <c r="UAQ49" s="471"/>
      <c r="UAR49" s="472"/>
      <c r="UAS49" s="473"/>
      <c r="UAT49" s="474"/>
      <c r="UAU49" s="471"/>
      <c r="UAV49" s="472"/>
      <c r="UAW49" s="473"/>
      <c r="UAX49" s="474"/>
      <c r="UAY49" s="471"/>
      <c r="UAZ49" s="472"/>
      <c r="UBA49" s="473"/>
      <c r="UBB49" s="474"/>
      <c r="UBC49" s="471"/>
      <c r="UBD49" s="472"/>
      <c r="UBE49" s="473"/>
      <c r="UBF49" s="474"/>
      <c r="UBG49" s="471"/>
      <c r="UBH49" s="472"/>
      <c r="UBI49" s="473"/>
      <c r="UBJ49" s="474"/>
      <c r="UBK49" s="471"/>
      <c r="UBL49" s="472"/>
      <c r="UBM49" s="473"/>
      <c r="UBN49" s="474"/>
      <c r="UBO49" s="471"/>
      <c r="UBP49" s="472"/>
      <c r="UBQ49" s="473"/>
      <c r="UBR49" s="474"/>
      <c r="UBS49" s="471"/>
      <c r="UBT49" s="472"/>
      <c r="UBU49" s="473"/>
      <c r="UBV49" s="474"/>
      <c r="UBW49" s="471"/>
      <c r="UBX49" s="472"/>
      <c r="UBY49" s="473"/>
      <c r="UBZ49" s="474"/>
      <c r="UCA49" s="471"/>
      <c r="UCB49" s="472"/>
      <c r="UCC49" s="473"/>
      <c r="UCD49" s="474"/>
      <c r="UCE49" s="471"/>
      <c r="UCF49" s="472"/>
      <c r="UCG49" s="473"/>
      <c r="UCH49" s="474"/>
      <c r="UCI49" s="471"/>
      <c r="UCJ49" s="472"/>
      <c r="UCK49" s="473"/>
      <c r="UCL49" s="474"/>
      <c r="UCM49" s="471"/>
      <c r="UCN49" s="472"/>
      <c r="UCO49" s="473"/>
      <c r="UCP49" s="474"/>
      <c r="UCQ49" s="471"/>
      <c r="UCR49" s="472"/>
      <c r="UCS49" s="473"/>
      <c r="UCT49" s="474"/>
      <c r="UCU49" s="471"/>
      <c r="UCV49" s="472"/>
      <c r="UCW49" s="473"/>
      <c r="UCX49" s="474"/>
      <c r="UCY49" s="471"/>
      <c r="UCZ49" s="472"/>
      <c r="UDA49" s="473"/>
      <c r="UDB49" s="474"/>
      <c r="UDC49" s="471"/>
      <c r="UDD49" s="472"/>
      <c r="UDE49" s="473"/>
      <c r="UDF49" s="474"/>
      <c r="UDG49" s="471"/>
      <c r="UDH49" s="472"/>
      <c r="UDI49" s="473"/>
      <c r="UDJ49" s="474"/>
      <c r="UDK49" s="471"/>
      <c r="UDL49" s="472"/>
      <c r="UDM49" s="473"/>
      <c r="UDN49" s="474"/>
      <c r="UDO49" s="471"/>
      <c r="UDP49" s="472"/>
      <c r="UDQ49" s="473"/>
      <c r="UDR49" s="474"/>
      <c r="UDS49" s="471"/>
      <c r="UDT49" s="472"/>
      <c r="UDU49" s="473"/>
      <c r="UDV49" s="474"/>
      <c r="UDW49" s="471"/>
      <c r="UDX49" s="472"/>
      <c r="UDY49" s="473"/>
      <c r="UDZ49" s="474"/>
      <c r="UEA49" s="471"/>
      <c r="UEB49" s="472"/>
      <c r="UEC49" s="473"/>
      <c r="UED49" s="474"/>
      <c r="UEE49" s="471"/>
      <c r="UEF49" s="472"/>
      <c r="UEG49" s="473"/>
      <c r="UEH49" s="474"/>
      <c r="UEI49" s="471"/>
      <c r="UEJ49" s="472"/>
      <c r="UEK49" s="473"/>
      <c r="UEL49" s="474"/>
      <c r="UEM49" s="471"/>
      <c r="UEN49" s="472"/>
      <c r="UEO49" s="473"/>
      <c r="UEP49" s="474"/>
      <c r="UEQ49" s="471"/>
      <c r="UER49" s="472"/>
      <c r="UES49" s="473"/>
      <c r="UET49" s="474"/>
      <c r="UEU49" s="471"/>
      <c r="UEV49" s="472"/>
      <c r="UEW49" s="473"/>
      <c r="UEX49" s="474"/>
      <c r="UEY49" s="471"/>
      <c r="UEZ49" s="472"/>
      <c r="UFA49" s="473"/>
      <c r="UFB49" s="474"/>
      <c r="UFC49" s="471"/>
      <c r="UFD49" s="472"/>
      <c r="UFE49" s="473"/>
      <c r="UFF49" s="474"/>
      <c r="UFG49" s="471"/>
      <c r="UFH49" s="472"/>
      <c r="UFI49" s="473"/>
      <c r="UFJ49" s="474"/>
      <c r="UFK49" s="471"/>
      <c r="UFL49" s="472"/>
      <c r="UFM49" s="473"/>
      <c r="UFN49" s="474"/>
      <c r="UFO49" s="471"/>
      <c r="UFP49" s="472"/>
      <c r="UFQ49" s="473"/>
      <c r="UFR49" s="474"/>
      <c r="UFS49" s="471"/>
      <c r="UFT49" s="472"/>
      <c r="UFU49" s="473"/>
      <c r="UFV49" s="474"/>
      <c r="UFW49" s="471"/>
      <c r="UFX49" s="472"/>
      <c r="UFY49" s="473"/>
      <c r="UFZ49" s="474"/>
      <c r="UGA49" s="471"/>
      <c r="UGB49" s="472"/>
      <c r="UGC49" s="473"/>
      <c r="UGD49" s="474"/>
      <c r="UGE49" s="471"/>
      <c r="UGF49" s="472"/>
      <c r="UGG49" s="473"/>
      <c r="UGH49" s="474"/>
      <c r="UGI49" s="471"/>
      <c r="UGJ49" s="472"/>
      <c r="UGK49" s="473"/>
      <c r="UGL49" s="474"/>
      <c r="UGM49" s="471"/>
      <c r="UGN49" s="472"/>
      <c r="UGO49" s="473"/>
      <c r="UGP49" s="474"/>
      <c r="UGQ49" s="471"/>
      <c r="UGR49" s="472"/>
      <c r="UGS49" s="473"/>
      <c r="UGT49" s="474"/>
      <c r="UGU49" s="471"/>
      <c r="UGV49" s="472"/>
      <c r="UGW49" s="473"/>
      <c r="UGX49" s="474"/>
      <c r="UGY49" s="471"/>
      <c r="UGZ49" s="472"/>
      <c r="UHA49" s="473"/>
      <c r="UHB49" s="474"/>
      <c r="UHC49" s="471"/>
      <c r="UHD49" s="472"/>
      <c r="UHE49" s="473"/>
      <c r="UHF49" s="474"/>
      <c r="UHG49" s="471"/>
      <c r="UHH49" s="472"/>
      <c r="UHI49" s="473"/>
      <c r="UHJ49" s="474"/>
      <c r="UHK49" s="471"/>
      <c r="UHL49" s="472"/>
      <c r="UHM49" s="473"/>
      <c r="UHN49" s="474"/>
      <c r="UHO49" s="471"/>
      <c r="UHP49" s="472"/>
      <c r="UHQ49" s="473"/>
      <c r="UHR49" s="474"/>
      <c r="UHS49" s="471"/>
      <c r="UHT49" s="472"/>
      <c r="UHU49" s="473"/>
      <c r="UHV49" s="474"/>
      <c r="UHW49" s="471"/>
      <c r="UHX49" s="472"/>
      <c r="UHY49" s="473"/>
      <c r="UHZ49" s="474"/>
      <c r="UIA49" s="471"/>
      <c r="UIB49" s="472"/>
      <c r="UIC49" s="473"/>
      <c r="UID49" s="474"/>
      <c r="UIE49" s="471"/>
      <c r="UIF49" s="472"/>
      <c r="UIG49" s="473"/>
      <c r="UIH49" s="474"/>
      <c r="UII49" s="471"/>
      <c r="UIJ49" s="472"/>
      <c r="UIK49" s="473"/>
      <c r="UIL49" s="474"/>
      <c r="UIM49" s="471"/>
      <c r="UIN49" s="472"/>
      <c r="UIO49" s="473"/>
      <c r="UIP49" s="474"/>
      <c r="UIQ49" s="471"/>
      <c r="UIR49" s="472"/>
      <c r="UIS49" s="473"/>
      <c r="UIT49" s="474"/>
      <c r="UIU49" s="471"/>
      <c r="UIV49" s="472"/>
      <c r="UIW49" s="473"/>
      <c r="UIX49" s="474"/>
      <c r="UIY49" s="471"/>
      <c r="UIZ49" s="472"/>
      <c r="UJA49" s="473"/>
      <c r="UJB49" s="474"/>
      <c r="UJC49" s="471"/>
      <c r="UJD49" s="472"/>
      <c r="UJE49" s="473"/>
      <c r="UJF49" s="474"/>
      <c r="UJG49" s="471"/>
      <c r="UJH49" s="472"/>
      <c r="UJI49" s="473"/>
      <c r="UJJ49" s="474"/>
      <c r="UJK49" s="471"/>
      <c r="UJL49" s="472"/>
      <c r="UJM49" s="473"/>
      <c r="UJN49" s="474"/>
      <c r="UJO49" s="471"/>
      <c r="UJP49" s="472"/>
      <c r="UJQ49" s="473"/>
      <c r="UJR49" s="474"/>
      <c r="UJS49" s="471"/>
      <c r="UJT49" s="472"/>
      <c r="UJU49" s="473"/>
      <c r="UJV49" s="474"/>
      <c r="UJW49" s="471"/>
      <c r="UJX49" s="472"/>
      <c r="UJY49" s="473"/>
      <c r="UJZ49" s="474"/>
      <c r="UKA49" s="471"/>
      <c r="UKB49" s="472"/>
      <c r="UKC49" s="473"/>
      <c r="UKD49" s="474"/>
      <c r="UKE49" s="471"/>
      <c r="UKF49" s="472"/>
      <c r="UKG49" s="473"/>
      <c r="UKH49" s="474"/>
      <c r="UKI49" s="471"/>
      <c r="UKJ49" s="472"/>
      <c r="UKK49" s="473"/>
      <c r="UKL49" s="474"/>
      <c r="UKM49" s="471"/>
      <c r="UKN49" s="472"/>
      <c r="UKO49" s="473"/>
      <c r="UKP49" s="474"/>
      <c r="UKQ49" s="471"/>
      <c r="UKR49" s="472"/>
      <c r="UKS49" s="473"/>
      <c r="UKT49" s="474"/>
      <c r="UKU49" s="471"/>
      <c r="UKV49" s="472"/>
      <c r="UKW49" s="473"/>
      <c r="UKX49" s="474"/>
      <c r="UKY49" s="471"/>
      <c r="UKZ49" s="472"/>
      <c r="ULA49" s="473"/>
      <c r="ULB49" s="474"/>
      <c r="ULC49" s="471"/>
      <c r="ULD49" s="472"/>
      <c r="ULE49" s="473"/>
      <c r="ULF49" s="474"/>
      <c r="ULG49" s="471"/>
      <c r="ULH49" s="472"/>
      <c r="ULI49" s="473"/>
      <c r="ULJ49" s="474"/>
      <c r="ULK49" s="471"/>
      <c r="ULL49" s="472"/>
      <c r="ULM49" s="473"/>
      <c r="ULN49" s="474"/>
      <c r="ULO49" s="471"/>
      <c r="ULP49" s="472"/>
      <c r="ULQ49" s="473"/>
      <c r="ULR49" s="474"/>
      <c r="ULS49" s="471"/>
      <c r="ULT49" s="472"/>
      <c r="ULU49" s="473"/>
      <c r="ULV49" s="474"/>
      <c r="ULW49" s="471"/>
      <c r="ULX49" s="472"/>
      <c r="ULY49" s="473"/>
      <c r="ULZ49" s="474"/>
      <c r="UMA49" s="471"/>
      <c r="UMB49" s="472"/>
      <c r="UMC49" s="473"/>
      <c r="UMD49" s="474"/>
      <c r="UME49" s="471"/>
      <c r="UMF49" s="472"/>
      <c r="UMG49" s="473"/>
      <c r="UMH49" s="474"/>
      <c r="UMI49" s="471"/>
      <c r="UMJ49" s="472"/>
      <c r="UMK49" s="473"/>
      <c r="UML49" s="474"/>
      <c r="UMM49" s="471"/>
      <c r="UMN49" s="472"/>
      <c r="UMO49" s="473"/>
      <c r="UMP49" s="474"/>
      <c r="UMQ49" s="471"/>
      <c r="UMR49" s="472"/>
      <c r="UMS49" s="473"/>
      <c r="UMT49" s="474"/>
      <c r="UMU49" s="471"/>
      <c r="UMV49" s="472"/>
      <c r="UMW49" s="473"/>
      <c r="UMX49" s="474"/>
      <c r="UMY49" s="471"/>
      <c r="UMZ49" s="472"/>
      <c r="UNA49" s="473"/>
      <c r="UNB49" s="474"/>
      <c r="UNC49" s="471"/>
      <c r="UND49" s="472"/>
      <c r="UNE49" s="473"/>
      <c r="UNF49" s="474"/>
      <c r="UNG49" s="471"/>
      <c r="UNH49" s="472"/>
      <c r="UNI49" s="473"/>
      <c r="UNJ49" s="474"/>
      <c r="UNK49" s="471"/>
      <c r="UNL49" s="472"/>
      <c r="UNM49" s="473"/>
      <c r="UNN49" s="474"/>
      <c r="UNO49" s="471"/>
      <c r="UNP49" s="472"/>
      <c r="UNQ49" s="473"/>
      <c r="UNR49" s="474"/>
      <c r="UNS49" s="471"/>
      <c r="UNT49" s="472"/>
      <c r="UNU49" s="473"/>
      <c r="UNV49" s="474"/>
      <c r="UNW49" s="471"/>
      <c r="UNX49" s="472"/>
      <c r="UNY49" s="473"/>
      <c r="UNZ49" s="474"/>
      <c r="UOA49" s="471"/>
      <c r="UOB49" s="472"/>
      <c r="UOC49" s="473"/>
      <c r="UOD49" s="474"/>
      <c r="UOE49" s="471"/>
      <c r="UOF49" s="472"/>
      <c r="UOG49" s="473"/>
      <c r="UOH49" s="474"/>
      <c r="UOI49" s="471"/>
      <c r="UOJ49" s="472"/>
      <c r="UOK49" s="473"/>
      <c r="UOL49" s="474"/>
      <c r="UOM49" s="471"/>
      <c r="UON49" s="472"/>
      <c r="UOO49" s="473"/>
      <c r="UOP49" s="474"/>
      <c r="UOQ49" s="471"/>
      <c r="UOR49" s="472"/>
      <c r="UOS49" s="473"/>
      <c r="UOT49" s="474"/>
      <c r="UOU49" s="471"/>
      <c r="UOV49" s="472"/>
      <c r="UOW49" s="473"/>
      <c r="UOX49" s="474"/>
      <c r="UOY49" s="471"/>
      <c r="UOZ49" s="472"/>
      <c r="UPA49" s="473"/>
      <c r="UPB49" s="474"/>
      <c r="UPC49" s="471"/>
      <c r="UPD49" s="472"/>
      <c r="UPE49" s="473"/>
      <c r="UPF49" s="474"/>
      <c r="UPG49" s="471"/>
      <c r="UPH49" s="472"/>
      <c r="UPI49" s="473"/>
      <c r="UPJ49" s="474"/>
      <c r="UPK49" s="471"/>
      <c r="UPL49" s="472"/>
      <c r="UPM49" s="473"/>
      <c r="UPN49" s="474"/>
      <c r="UPO49" s="471"/>
      <c r="UPP49" s="472"/>
      <c r="UPQ49" s="473"/>
      <c r="UPR49" s="474"/>
      <c r="UPS49" s="471"/>
      <c r="UPT49" s="472"/>
      <c r="UPU49" s="473"/>
      <c r="UPV49" s="474"/>
      <c r="UPW49" s="471"/>
      <c r="UPX49" s="472"/>
      <c r="UPY49" s="473"/>
      <c r="UPZ49" s="474"/>
      <c r="UQA49" s="471"/>
      <c r="UQB49" s="472"/>
      <c r="UQC49" s="473"/>
      <c r="UQD49" s="474"/>
      <c r="UQE49" s="471"/>
      <c r="UQF49" s="472"/>
      <c r="UQG49" s="473"/>
      <c r="UQH49" s="474"/>
      <c r="UQI49" s="471"/>
      <c r="UQJ49" s="472"/>
      <c r="UQK49" s="473"/>
      <c r="UQL49" s="474"/>
      <c r="UQM49" s="471"/>
      <c r="UQN49" s="472"/>
      <c r="UQO49" s="473"/>
      <c r="UQP49" s="474"/>
      <c r="UQQ49" s="471"/>
      <c r="UQR49" s="472"/>
      <c r="UQS49" s="473"/>
      <c r="UQT49" s="474"/>
      <c r="UQU49" s="471"/>
      <c r="UQV49" s="472"/>
      <c r="UQW49" s="473"/>
      <c r="UQX49" s="474"/>
      <c r="UQY49" s="471"/>
      <c r="UQZ49" s="472"/>
      <c r="URA49" s="473"/>
      <c r="URB49" s="474"/>
      <c r="URC49" s="471"/>
      <c r="URD49" s="472"/>
      <c r="URE49" s="473"/>
      <c r="URF49" s="474"/>
      <c r="URG49" s="471"/>
      <c r="URH49" s="472"/>
      <c r="URI49" s="473"/>
      <c r="URJ49" s="474"/>
      <c r="URK49" s="471"/>
      <c r="URL49" s="472"/>
      <c r="URM49" s="473"/>
      <c r="URN49" s="474"/>
      <c r="URO49" s="471"/>
      <c r="URP49" s="472"/>
      <c r="URQ49" s="473"/>
      <c r="URR49" s="474"/>
      <c r="URS49" s="471"/>
      <c r="URT49" s="472"/>
      <c r="URU49" s="473"/>
      <c r="URV49" s="474"/>
      <c r="URW49" s="471"/>
      <c r="URX49" s="472"/>
      <c r="URY49" s="473"/>
      <c r="URZ49" s="474"/>
      <c r="USA49" s="471"/>
      <c r="USB49" s="472"/>
      <c r="USC49" s="473"/>
      <c r="USD49" s="474"/>
      <c r="USE49" s="471"/>
      <c r="USF49" s="472"/>
      <c r="USG49" s="473"/>
      <c r="USH49" s="474"/>
      <c r="USI49" s="471"/>
      <c r="USJ49" s="472"/>
      <c r="USK49" s="473"/>
      <c r="USL49" s="474"/>
      <c r="USM49" s="471"/>
      <c r="USN49" s="472"/>
      <c r="USO49" s="473"/>
      <c r="USP49" s="474"/>
      <c r="USQ49" s="471"/>
      <c r="USR49" s="472"/>
      <c r="USS49" s="473"/>
      <c r="UST49" s="474"/>
      <c r="USU49" s="471"/>
      <c r="USV49" s="472"/>
      <c r="USW49" s="473"/>
      <c r="USX49" s="474"/>
      <c r="USY49" s="471"/>
      <c r="USZ49" s="472"/>
      <c r="UTA49" s="473"/>
      <c r="UTB49" s="474"/>
      <c r="UTC49" s="471"/>
      <c r="UTD49" s="472"/>
      <c r="UTE49" s="473"/>
      <c r="UTF49" s="474"/>
      <c r="UTG49" s="471"/>
      <c r="UTH49" s="472"/>
      <c r="UTI49" s="473"/>
      <c r="UTJ49" s="474"/>
      <c r="UTK49" s="471"/>
      <c r="UTL49" s="472"/>
      <c r="UTM49" s="473"/>
      <c r="UTN49" s="474"/>
      <c r="UTO49" s="471"/>
      <c r="UTP49" s="472"/>
      <c r="UTQ49" s="473"/>
      <c r="UTR49" s="474"/>
      <c r="UTS49" s="471"/>
      <c r="UTT49" s="472"/>
      <c r="UTU49" s="473"/>
      <c r="UTV49" s="474"/>
      <c r="UTW49" s="471"/>
      <c r="UTX49" s="472"/>
      <c r="UTY49" s="473"/>
      <c r="UTZ49" s="474"/>
      <c r="UUA49" s="471"/>
      <c r="UUB49" s="472"/>
      <c r="UUC49" s="473"/>
      <c r="UUD49" s="474"/>
      <c r="UUE49" s="471"/>
      <c r="UUF49" s="472"/>
      <c r="UUG49" s="473"/>
      <c r="UUH49" s="474"/>
      <c r="UUI49" s="471"/>
      <c r="UUJ49" s="472"/>
      <c r="UUK49" s="473"/>
      <c r="UUL49" s="474"/>
      <c r="UUM49" s="471"/>
      <c r="UUN49" s="472"/>
      <c r="UUO49" s="473"/>
      <c r="UUP49" s="474"/>
      <c r="UUQ49" s="471"/>
      <c r="UUR49" s="472"/>
      <c r="UUS49" s="473"/>
      <c r="UUT49" s="474"/>
      <c r="UUU49" s="471"/>
      <c r="UUV49" s="472"/>
      <c r="UUW49" s="473"/>
      <c r="UUX49" s="474"/>
      <c r="UUY49" s="471"/>
      <c r="UUZ49" s="472"/>
      <c r="UVA49" s="473"/>
      <c r="UVB49" s="474"/>
      <c r="UVC49" s="471"/>
      <c r="UVD49" s="472"/>
      <c r="UVE49" s="473"/>
      <c r="UVF49" s="474"/>
      <c r="UVG49" s="471"/>
      <c r="UVH49" s="472"/>
      <c r="UVI49" s="473"/>
      <c r="UVJ49" s="474"/>
      <c r="UVK49" s="471"/>
      <c r="UVL49" s="472"/>
      <c r="UVM49" s="473"/>
      <c r="UVN49" s="474"/>
      <c r="UVO49" s="471"/>
      <c r="UVP49" s="472"/>
      <c r="UVQ49" s="473"/>
      <c r="UVR49" s="474"/>
      <c r="UVS49" s="471"/>
      <c r="UVT49" s="472"/>
      <c r="UVU49" s="473"/>
      <c r="UVV49" s="474"/>
      <c r="UVW49" s="471"/>
      <c r="UVX49" s="472"/>
      <c r="UVY49" s="473"/>
      <c r="UVZ49" s="474"/>
      <c r="UWA49" s="471"/>
      <c r="UWB49" s="472"/>
      <c r="UWC49" s="473"/>
      <c r="UWD49" s="474"/>
      <c r="UWE49" s="471"/>
      <c r="UWF49" s="472"/>
      <c r="UWG49" s="473"/>
      <c r="UWH49" s="474"/>
      <c r="UWI49" s="471"/>
      <c r="UWJ49" s="472"/>
      <c r="UWK49" s="473"/>
      <c r="UWL49" s="474"/>
      <c r="UWM49" s="471"/>
      <c r="UWN49" s="472"/>
      <c r="UWO49" s="473"/>
      <c r="UWP49" s="474"/>
      <c r="UWQ49" s="471"/>
      <c r="UWR49" s="472"/>
      <c r="UWS49" s="473"/>
      <c r="UWT49" s="474"/>
      <c r="UWU49" s="471"/>
      <c r="UWV49" s="472"/>
      <c r="UWW49" s="473"/>
      <c r="UWX49" s="474"/>
      <c r="UWY49" s="471"/>
      <c r="UWZ49" s="472"/>
      <c r="UXA49" s="473"/>
      <c r="UXB49" s="474"/>
      <c r="UXC49" s="471"/>
      <c r="UXD49" s="472"/>
      <c r="UXE49" s="473"/>
      <c r="UXF49" s="474"/>
      <c r="UXG49" s="471"/>
      <c r="UXH49" s="472"/>
      <c r="UXI49" s="473"/>
      <c r="UXJ49" s="474"/>
      <c r="UXK49" s="471"/>
      <c r="UXL49" s="472"/>
      <c r="UXM49" s="473"/>
      <c r="UXN49" s="474"/>
      <c r="UXO49" s="471"/>
      <c r="UXP49" s="472"/>
      <c r="UXQ49" s="473"/>
      <c r="UXR49" s="474"/>
      <c r="UXS49" s="471"/>
      <c r="UXT49" s="472"/>
      <c r="UXU49" s="473"/>
      <c r="UXV49" s="474"/>
      <c r="UXW49" s="471"/>
      <c r="UXX49" s="472"/>
      <c r="UXY49" s="473"/>
      <c r="UXZ49" s="474"/>
      <c r="UYA49" s="471"/>
      <c r="UYB49" s="472"/>
      <c r="UYC49" s="473"/>
      <c r="UYD49" s="474"/>
      <c r="UYE49" s="471"/>
      <c r="UYF49" s="472"/>
      <c r="UYG49" s="473"/>
      <c r="UYH49" s="474"/>
      <c r="UYI49" s="471"/>
      <c r="UYJ49" s="472"/>
      <c r="UYK49" s="473"/>
      <c r="UYL49" s="474"/>
      <c r="UYM49" s="471"/>
      <c r="UYN49" s="472"/>
      <c r="UYO49" s="473"/>
      <c r="UYP49" s="474"/>
      <c r="UYQ49" s="471"/>
      <c r="UYR49" s="472"/>
      <c r="UYS49" s="473"/>
      <c r="UYT49" s="474"/>
      <c r="UYU49" s="471"/>
      <c r="UYV49" s="472"/>
      <c r="UYW49" s="473"/>
      <c r="UYX49" s="474"/>
      <c r="UYY49" s="471"/>
      <c r="UYZ49" s="472"/>
      <c r="UZA49" s="473"/>
      <c r="UZB49" s="474"/>
      <c r="UZC49" s="471"/>
      <c r="UZD49" s="472"/>
      <c r="UZE49" s="473"/>
      <c r="UZF49" s="474"/>
      <c r="UZG49" s="471"/>
      <c r="UZH49" s="472"/>
      <c r="UZI49" s="473"/>
      <c r="UZJ49" s="474"/>
      <c r="UZK49" s="471"/>
      <c r="UZL49" s="472"/>
      <c r="UZM49" s="473"/>
      <c r="UZN49" s="474"/>
      <c r="UZO49" s="471"/>
      <c r="UZP49" s="472"/>
      <c r="UZQ49" s="473"/>
      <c r="UZR49" s="474"/>
      <c r="UZS49" s="471"/>
      <c r="UZT49" s="472"/>
      <c r="UZU49" s="473"/>
      <c r="UZV49" s="474"/>
      <c r="UZW49" s="471"/>
      <c r="UZX49" s="472"/>
      <c r="UZY49" s="473"/>
      <c r="UZZ49" s="474"/>
      <c r="VAA49" s="471"/>
      <c r="VAB49" s="472"/>
      <c r="VAC49" s="473"/>
      <c r="VAD49" s="474"/>
      <c r="VAE49" s="471"/>
      <c r="VAF49" s="472"/>
      <c r="VAG49" s="473"/>
      <c r="VAH49" s="474"/>
      <c r="VAI49" s="471"/>
      <c r="VAJ49" s="472"/>
      <c r="VAK49" s="473"/>
      <c r="VAL49" s="474"/>
      <c r="VAM49" s="471"/>
      <c r="VAN49" s="472"/>
      <c r="VAO49" s="473"/>
      <c r="VAP49" s="474"/>
      <c r="VAQ49" s="471"/>
      <c r="VAR49" s="472"/>
      <c r="VAS49" s="473"/>
      <c r="VAT49" s="474"/>
      <c r="VAU49" s="471"/>
      <c r="VAV49" s="472"/>
      <c r="VAW49" s="473"/>
      <c r="VAX49" s="474"/>
      <c r="VAY49" s="471"/>
      <c r="VAZ49" s="472"/>
      <c r="VBA49" s="473"/>
      <c r="VBB49" s="474"/>
      <c r="VBC49" s="471"/>
      <c r="VBD49" s="472"/>
      <c r="VBE49" s="473"/>
      <c r="VBF49" s="474"/>
      <c r="VBG49" s="471"/>
      <c r="VBH49" s="472"/>
      <c r="VBI49" s="473"/>
      <c r="VBJ49" s="474"/>
      <c r="VBK49" s="471"/>
      <c r="VBL49" s="472"/>
      <c r="VBM49" s="473"/>
      <c r="VBN49" s="474"/>
      <c r="VBO49" s="471"/>
      <c r="VBP49" s="472"/>
      <c r="VBQ49" s="473"/>
      <c r="VBR49" s="474"/>
      <c r="VBS49" s="471"/>
      <c r="VBT49" s="472"/>
      <c r="VBU49" s="473"/>
      <c r="VBV49" s="474"/>
      <c r="VBW49" s="471"/>
      <c r="VBX49" s="472"/>
      <c r="VBY49" s="473"/>
      <c r="VBZ49" s="474"/>
      <c r="VCA49" s="471"/>
      <c r="VCB49" s="472"/>
      <c r="VCC49" s="473"/>
      <c r="VCD49" s="474"/>
      <c r="VCE49" s="471"/>
      <c r="VCF49" s="472"/>
      <c r="VCG49" s="473"/>
      <c r="VCH49" s="474"/>
      <c r="VCI49" s="471"/>
      <c r="VCJ49" s="472"/>
      <c r="VCK49" s="473"/>
      <c r="VCL49" s="474"/>
      <c r="VCM49" s="471"/>
      <c r="VCN49" s="472"/>
      <c r="VCO49" s="473"/>
      <c r="VCP49" s="474"/>
      <c r="VCQ49" s="471"/>
      <c r="VCR49" s="472"/>
      <c r="VCS49" s="473"/>
      <c r="VCT49" s="474"/>
      <c r="VCU49" s="471"/>
      <c r="VCV49" s="472"/>
      <c r="VCW49" s="473"/>
      <c r="VCX49" s="474"/>
      <c r="VCY49" s="471"/>
      <c r="VCZ49" s="472"/>
      <c r="VDA49" s="473"/>
      <c r="VDB49" s="474"/>
      <c r="VDC49" s="471"/>
      <c r="VDD49" s="472"/>
      <c r="VDE49" s="473"/>
      <c r="VDF49" s="474"/>
      <c r="VDG49" s="471"/>
      <c r="VDH49" s="472"/>
      <c r="VDI49" s="473"/>
      <c r="VDJ49" s="474"/>
      <c r="VDK49" s="471"/>
      <c r="VDL49" s="472"/>
      <c r="VDM49" s="473"/>
      <c r="VDN49" s="474"/>
      <c r="VDO49" s="471"/>
      <c r="VDP49" s="472"/>
      <c r="VDQ49" s="473"/>
      <c r="VDR49" s="474"/>
      <c r="VDS49" s="471"/>
      <c r="VDT49" s="472"/>
      <c r="VDU49" s="473"/>
      <c r="VDV49" s="474"/>
      <c r="VDW49" s="471"/>
      <c r="VDX49" s="472"/>
      <c r="VDY49" s="473"/>
      <c r="VDZ49" s="474"/>
      <c r="VEA49" s="471"/>
      <c r="VEB49" s="472"/>
      <c r="VEC49" s="473"/>
      <c r="VED49" s="474"/>
      <c r="VEE49" s="471"/>
      <c r="VEF49" s="472"/>
      <c r="VEG49" s="473"/>
      <c r="VEH49" s="474"/>
      <c r="VEI49" s="471"/>
      <c r="VEJ49" s="472"/>
      <c r="VEK49" s="473"/>
      <c r="VEL49" s="474"/>
      <c r="VEM49" s="471"/>
      <c r="VEN49" s="472"/>
      <c r="VEO49" s="473"/>
      <c r="VEP49" s="474"/>
      <c r="VEQ49" s="471"/>
      <c r="VER49" s="472"/>
      <c r="VES49" s="473"/>
      <c r="VET49" s="474"/>
      <c r="VEU49" s="471"/>
      <c r="VEV49" s="472"/>
      <c r="VEW49" s="473"/>
      <c r="VEX49" s="474"/>
      <c r="VEY49" s="471"/>
      <c r="VEZ49" s="472"/>
      <c r="VFA49" s="473"/>
      <c r="VFB49" s="474"/>
      <c r="VFC49" s="471"/>
      <c r="VFD49" s="472"/>
      <c r="VFE49" s="473"/>
      <c r="VFF49" s="474"/>
      <c r="VFG49" s="471"/>
      <c r="VFH49" s="472"/>
      <c r="VFI49" s="473"/>
      <c r="VFJ49" s="474"/>
      <c r="VFK49" s="471"/>
      <c r="VFL49" s="472"/>
      <c r="VFM49" s="473"/>
      <c r="VFN49" s="474"/>
      <c r="VFO49" s="471"/>
      <c r="VFP49" s="472"/>
      <c r="VFQ49" s="473"/>
      <c r="VFR49" s="474"/>
      <c r="VFS49" s="471"/>
      <c r="VFT49" s="472"/>
      <c r="VFU49" s="473"/>
      <c r="VFV49" s="474"/>
      <c r="VFW49" s="471"/>
      <c r="VFX49" s="472"/>
      <c r="VFY49" s="473"/>
      <c r="VFZ49" s="474"/>
      <c r="VGA49" s="471"/>
      <c r="VGB49" s="472"/>
      <c r="VGC49" s="473"/>
      <c r="VGD49" s="474"/>
      <c r="VGE49" s="471"/>
      <c r="VGF49" s="472"/>
      <c r="VGG49" s="473"/>
      <c r="VGH49" s="474"/>
      <c r="VGI49" s="471"/>
      <c r="VGJ49" s="472"/>
      <c r="VGK49" s="473"/>
      <c r="VGL49" s="474"/>
      <c r="VGM49" s="471"/>
      <c r="VGN49" s="472"/>
      <c r="VGO49" s="473"/>
      <c r="VGP49" s="474"/>
      <c r="VGQ49" s="471"/>
      <c r="VGR49" s="472"/>
      <c r="VGS49" s="473"/>
      <c r="VGT49" s="474"/>
      <c r="VGU49" s="471"/>
      <c r="VGV49" s="472"/>
      <c r="VGW49" s="473"/>
      <c r="VGX49" s="474"/>
      <c r="VGY49" s="471"/>
      <c r="VGZ49" s="472"/>
      <c r="VHA49" s="473"/>
      <c r="VHB49" s="474"/>
      <c r="VHC49" s="471"/>
      <c r="VHD49" s="472"/>
      <c r="VHE49" s="473"/>
      <c r="VHF49" s="474"/>
      <c r="VHG49" s="471"/>
      <c r="VHH49" s="472"/>
      <c r="VHI49" s="473"/>
      <c r="VHJ49" s="474"/>
      <c r="VHK49" s="471"/>
      <c r="VHL49" s="472"/>
      <c r="VHM49" s="473"/>
      <c r="VHN49" s="474"/>
      <c r="VHO49" s="471"/>
      <c r="VHP49" s="472"/>
      <c r="VHQ49" s="473"/>
      <c r="VHR49" s="474"/>
      <c r="VHS49" s="471"/>
      <c r="VHT49" s="472"/>
      <c r="VHU49" s="473"/>
      <c r="VHV49" s="474"/>
      <c r="VHW49" s="471"/>
      <c r="VHX49" s="472"/>
      <c r="VHY49" s="473"/>
      <c r="VHZ49" s="474"/>
      <c r="VIA49" s="471"/>
      <c r="VIB49" s="472"/>
      <c r="VIC49" s="473"/>
      <c r="VID49" s="474"/>
      <c r="VIE49" s="471"/>
      <c r="VIF49" s="472"/>
      <c r="VIG49" s="473"/>
      <c r="VIH49" s="474"/>
      <c r="VII49" s="471"/>
      <c r="VIJ49" s="472"/>
      <c r="VIK49" s="473"/>
      <c r="VIL49" s="474"/>
      <c r="VIM49" s="471"/>
      <c r="VIN49" s="472"/>
      <c r="VIO49" s="473"/>
      <c r="VIP49" s="474"/>
      <c r="VIQ49" s="471"/>
      <c r="VIR49" s="472"/>
      <c r="VIS49" s="473"/>
      <c r="VIT49" s="474"/>
      <c r="VIU49" s="471"/>
      <c r="VIV49" s="472"/>
      <c r="VIW49" s="473"/>
      <c r="VIX49" s="474"/>
      <c r="VIY49" s="471"/>
      <c r="VIZ49" s="472"/>
      <c r="VJA49" s="473"/>
      <c r="VJB49" s="474"/>
      <c r="VJC49" s="471"/>
      <c r="VJD49" s="472"/>
      <c r="VJE49" s="473"/>
      <c r="VJF49" s="474"/>
      <c r="VJG49" s="471"/>
      <c r="VJH49" s="472"/>
      <c r="VJI49" s="473"/>
      <c r="VJJ49" s="474"/>
      <c r="VJK49" s="471"/>
      <c r="VJL49" s="472"/>
      <c r="VJM49" s="473"/>
      <c r="VJN49" s="474"/>
      <c r="VJO49" s="471"/>
      <c r="VJP49" s="472"/>
      <c r="VJQ49" s="473"/>
      <c r="VJR49" s="474"/>
      <c r="VJS49" s="471"/>
      <c r="VJT49" s="472"/>
      <c r="VJU49" s="473"/>
      <c r="VJV49" s="474"/>
      <c r="VJW49" s="471"/>
      <c r="VJX49" s="472"/>
      <c r="VJY49" s="473"/>
      <c r="VJZ49" s="474"/>
      <c r="VKA49" s="471"/>
      <c r="VKB49" s="472"/>
      <c r="VKC49" s="473"/>
      <c r="VKD49" s="474"/>
      <c r="VKE49" s="471"/>
      <c r="VKF49" s="472"/>
      <c r="VKG49" s="473"/>
      <c r="VKH49" s="474"/>
      <c r="VKI49" s="471"/>
      <c r="VKJ49" s="472"/>
      <c r="VKK49" s="473"/>
      <c r="VKL49" s="474"/>
      <c r="VKM49" s="471"/>
      <c r="VKN49" s="472"/>
      <c r="VKO49" s="473"/>
      <c r="VKP49" s="474"/>
      <c r="VKQ49" s="471"/>
      <c r="VKR49" s="472"/>
      <c r="VKS49" s="473"/>
      <c r="VKT49" s="474"/>
      <c r="VKU49" s="471"/>
      <c r="VKV49" s="472"/>
      <c r="VKW49" s="473"/>
      <c r="VKX49" s="474"/>
      <c r="VKY49" s="471"/>
      <c r="VKZ49" s="472"/>
      <c r="VLA49" s="473"/>
      <c r="VLB49" s="474"/>
      <c r="VLC49" s="471"/>
      <c r="VLD49" s="472"/>
      <c r="VLE49" s="473"/>
      <c r="VLF49" s="474"/>
      <c r="VLG49" s="471"/>
      <c r="VLH49" s="472"/>
      <c r="VLI49" s="473"/>
      <c r="VLJ49" s="474"/>
      <c r="VLK49" s="471"/>
      <c r="VLL49" s="472"/>
      <c r="VLM49" s="473"/>
      <c r="VLN49" s="474"/>
      <c r="VLO49" s="471"/>
      <c r="VLP49" s="472"/>
      <c r="VLQ49" s="473"/>
      <c r="VLR49" s="474"/>
      <c r="VLS49" s="471"/>
      <c r="VLT49" s="472"/>
      <c r="VLU49" s="473"/>
      <c r="VLV49" s="474"/>
      <c r="VLW49" s="471"/>
      <c r="VLX49" s="472"/>
      <c r="VLY49" s="473"/>
      <c r="VLZ49" s="474"/>
      <c r="VMA49" s="471"/>
      <c r="VMB49" s="472"/>
      <c r="VMC49" s="473"/>
      <c r="VMD49" s="474"/>
      <c r="VME49" s="471"/>
      <c r="VMF49" s="472"/>
      <c r="VMG49" s="473"/>
      <c r="VMH49" s="474"/>
      <c r="VMI49" s="471"/>
      <c r="VMJ49" s="472"/>
      <c r="VMK49" s="473"/>
      <c r="VML49" s="474"/>
      <c r="VMM49" s="471"/>
      <c r="VMN49" s="472"/>
      <c r="VMO49" s="473"/>
      <c r="VMP49" s="474"/>
      <c r="VMQ49" s="471"/>
      <c r="VMR49" s="472"/>
      <c r="VMS49" s="473"/>
      <c r="VMT49" s="474"/>
      <c r="VMU49" s="471"/>
      <c r="VMV49" s="472"/>
      <c r="VMW49" s="473"/>
      <c r="VMX49" s="474"/>
      <c r="VMY49" s="471"/>
      <c r="VMZ49" s="472"/>
      <c r="VNA49" s="473"/>
      <c r="VNB49" s="474"/>
      <c r="VNC49" s="471"/>
      <c r="VND49" s="472"/>
      <c r="VNE49" s="473"/>
      <c r="VNF49" s="474"/>
      <c r="VNG49" s="471"/>
      <c r="VNH49" s="472"/>
      <c r="VNI49" s="473"/>
      <c r="VNJ49" s="474"/>
      <c r="VNK49" s="471"/>
      <c r="VNL49" s="472"/>
      <c r="VNM49" s="473"/>
      <c r="VNN49" s="474"/>
      <c r="VNO49" s="471"/>
      <c r="VNP49" s="472"/>
      <c r="VNQ49" s="473"/>
      <c r="VNR49" s="474"/>
      <c r="VNS49" s="471"/>
      <c r="VNT49" s="472"/>
      <c r="VNU49" s="473"/>
      <c r="VNV49" s="474"/>
      <c r="VNW49" s="471"/>
      <c r="VNX49" s="472"/>
      <c r="VNY49" s="473"/>
      <c r="VNZ49" s="474"/>
      <c r="VOA49" s="471"/>
      <c r="VOB49" s="472"/>
      <c r="VOC49" s="473"/>
      <c r="VOD49" s="474"/>
      <c r="VOE49" s="471"/>
      <c r="VOF49" s="472"/>
      <c r="VOG49" s="473"/>
      <c r="VOH49" s="474"/>
      <c r="VOI49" s="471"/>
      <c r="VOJ49" s="472"/>
      <c r="VOK49" s="473"/>
      <c r="VOL49" s="474"/>
      <c r="VOM49" s="471"/>
      <c r="VON49" s="472"/>
      <c r="VOO49" s="473"/>
      <c r="VOP49" s="474"/>
      <c r="VOQ49" s="471"/>
      <c r="VOR49" s="472"/>
      <c r="VOS49" s="473"/>
      <c r="VOT49" s="474"/>
      <c r="VOU49" s="471"/>
      <c r="VOV49" s="472"/>
      <c r="VOW49" s="473"/>
      <c r="VOX49" s="474"/>
      <c r="VOY49" s="471"/>
      <c r="VOZ49" s="472"/>
      <c r="VPA49" s="473"/>
      <c r="VPB49" s="474"/>
      <c r="VPC49" s="471"/>
      <c r="VPD49" s="472"/>
      <c r="VPE49" s="473"/>
      <c r="VPF49" s="474"/>
      <c r="VPG49" s="471"/>
      <c r="VPH49" s="472"/>
      <c r="VPI49" s="473"/>
      <c r="VPJ49" s="474"/>
      <c r="VPK49" s="471"/>
      <c r="VPL49" s="472"/>
      <c r="VPM49" s="473"/>
      <c r="VPN49" s="474"/>
      <c r="VPO49" s="471"/>
      <c r="VPP49" s="472"/>
      <c r="VPQ49" s="473"/>
      <c r="VPR49" s="474"/>
      <c r="VPS49" s="471"/>
      <c r="VPT49" s="472"/>
      <c r="VPU49" s="473"/>
      <c r="VPV49" s="474"/>
      <c r="VPW49" s="471"/>
      <c r="VPX49" s="472"/>
      <c r="VPY49" s="473"/>
      <c r="VPZ49" s="474"/>
      <c r="VQA49" s="471"/>
      <c r="VQB49" s="472"/>
      <c r="VQC49" s="473"/>
      <c r="VQD49" s="474"/>
      <c r="VQE49" s="471"/>
      <c r="VQF49" s="472"/>
      <c r="VQG49" s="473"/>
      <c r="VQH49" s="474"/>
      <c r="VQI49" s="471"/>
      <c r="VQJ49" s="472"/>
      <c r="VQK49" s="473"/>
      <c r="VQL49" s="474"/>
      <c r="VQM49" s="471"/>
      <c r="VQN49" s="472"/>
      <c r="VQO49" s="473"/>
      <c r="VQP49" s="474"/>
      <c r="VQQ49" s="471"/>
      <c r="VQR49" s="472"/>
      <c r="VQS49" s="473"/>
      <c r="VQT49" s="474"/>
      <c r="VQU49" s="471"/>
      <c r="VQV49" s="472"/>
      <c r="VQW49" s="473"/>
      <c r="VQX49" s="474"/>
      <c r="VQY49" s="471"/>
      <c r="VQZ49" s="472"/>
      <c r="VRA49" s="473"/>
      <c r="VRB49" s="474"/>
      <c r="VRC49" s="471"/>
      <c r="VRD49" s="472"/>
      <c r="VRE49" s="473"/>
      <c r="VRF49" s="474"/>
      <c r="VRG49" s="471"/>
      <c r="VRH49" s="472"/>
      <c r="VRI49" s="473"/>
      <c r="VRJ49" s="474"/>
      <c r="VRK49" s="471"/>
      <c r="VRL49" s="472"/>
      <c r="VRM49" s="473"/>
      <c r="VRN49" s="474"/>
      <c r="VRO49" s="471"/>
      <c r="VRP49" s="472"/>
      <c r="VRQ49" s="473"/>
      <c r="VRR49" s="474"/>
      <c r="VRS49" s="471"/>
      <c r="VRT49" s="472"/>
      <c r="VRU49" s="473"/>
      <c r="VRV49" s="474"/>
      <c r="VRW49" s="471"/>
      <c r="VRX49" s="472"/>
      <c r="VRY49" s="473"/>
      <c r="VRZ49" s="474"/>
      <c r="VSA49" s="471"/>
      <c r="VSB49" s="472"/>
      <c r="VSC49" s="473"/>
      <c r="VSD49" s="474"/>
      <c r="VSE49" s="471"/>
      <c r="VSF49" s="472"/>
      <c r="VSG49" s="473"/>
      <c r="VSH49" s="474"/>
      <c r="VSI49" s="471"/>
      <c r="VSJ49" s="472"/>
      <c r="VSK49" s="473"/>
      <c r="VSL49" s="474"/>
      <c r="VSM49" s="471"/>
      <c r="VSN49" s="472"/>
      <c r="VSO49" s="473"/>
      <c r="VSP49" s="474"/>
      <c r="VSQ49" s="471"/>
      <c r="VSR49" s="472"/>
      <c r="VSS49" s="473"/>
      <c r="VST49" s="474"/>
      <c r="VSU49" s="471"/>
      <c r="VSV49" s="472"/>
      <c r="VSW49" s="473"/>
      <c r="VSX49" s="474"/>
      <c r="VSY49" s="471"/>
      <c r="VSZ49" s="472"/>
      <c r="VTA49" s="473"/>
      <c r="VTB49" s="474"/>
      <c r="VTC49" s="471"/>
      <c r="VTD49" s="472"/>
      <c r="VTE49" s="473"/>
      <c r="VTF49" s="474"/>
      <c r="VTG49" s="471"/>
      <c r="VTH49" s="472"/>
      <c r="VTI49" s="473"/>
      <c r="VTJ49" s="474"/>
      <c r="VTK49" s="471"/>
      <c r="VTL49" s="472"/>
      <c r="VTM49" s="473"/>
      <c r="VTN49" s="474"/>
      <c r="VTO49" s="471"/>
      <c r="VTP49" s="472"/>
      <c r="VTQ49" s="473"/>
      <c r="VTR49" s="474"/>
      <c r="VTS49" s="471"/>
      <c r="VTT49" s="472"/>
      <c r="VTU49" s="473"/>
      <c r="VTV49" s="474"/>
      <c r="VTW49" s="471"/>
      <c r="VTX49" s="472"/>
      <c r="VTY49" s="473"/>
      <c r="VTZ49" s="474"/>
      <c r="VUA49" s="471"/>
      <c r="VUB49" s="472"/>
      <c r="VUC49" s="473"/>
      <c r="VUD49" s="474"/>
      <c r="VUE49" s="471"/>
      <c r="VUF49" s="472"/>
      <c r="VUG49" s="473"/>
      <c r="VUH49" s="474"/>
      <c r="VUI49" s="471"/>
      <c r="VUJ49" s="472"/>
      <c r="VUK49" s="473"/>
      <c r="VUL49" s="474"/>
      <c r="VUM49" s="471"/>
      <c r="VUN49" s="472"/>
      <c r="VUO49" s="473"/>
      <c r="VUP49" s="474"/>
      <c r="VUQ49" s="471"/>
      <c r="VUR49" s="472"/>
      <c r="VUS49" s="473"/>
      <c r="VUT49" s="474"/>
      <c r="VUU49" s="471"/>
      <c r="VUV49" s="472"/>
      <c r="VUW49" s="473"/>
      <c r="VUX49" s="474"/>
      <c r="VUY49" s="471"/>
      <c r="VUZ49" s="472"/>
      <c r="VVA49" s="473"/>
      <c r="VVB49" s="474"/>
      <c r="VVC49" s="471"/>
      <c r="VVD49" s="472"/>
      <c r="VVE49" s="473"/>
      <c r="VVF49" s="474"/>
      <c r="VVG49" s="471"/>
      <c r="VVH49" s="472"/>
      <c r="VVI49" s="473"/>
      <c r="VVJ49" s="474"/>
      <c r="VVK49" s="471"/>
      <c r="VVL49" s="472"/>
      <c r="VVM49" s="473"/>
      <c r="VVN49" s="474"/>
      <c r="VVO49" s="471"/>
      <c r="VVP49" s="472"/>
      <c r="VVQ49" s="473"/>
      <c r="VVR49" s="474"/>
      <c r="VVS49" s="471"/>
      <c r="VVT49" s="472"/>
      <c r="VVU49" s="473"/>
      <c r="VVV49" s="474"/>
      <c r="VVW49" s="471"/>
      <c r="VVX49" s="472"/>
      <c r="VVY49" s="473"/>
      <c r="VVZ49" s="474"/>
      <c r="VWA49" s="471"/>
      <c r="VWB49" s="472"/>
      <c r="VWC49" s="473"/>
      <c r="VWD49" s="474"/>
      <c r="VWE49" s="471"/>
      <c r="VWF49" s="472"/>
      <c r="VWG49" s="473"/>
      <c r="VWH49" s="474"/>
      <c r="VWI49" s="471"/>
      <c r="VWJ49" s="472"/>
      <c r="VWK49" s="473"/>
      <c r="VWL49" s="474"/>
      <c r="VWM49" s="471"/>
      <c r="VWN49" s="472"/>
      <c r="VWO49" s="473"/>
      <c r="VWP49" s="474"/>
      <c r="VWQ49" s="471"/>
      <c r="VWR49" s="472"/>
      <c r="VWS49" s="473"/>
      <c r="VWT49" s="474"/>
      <c r="VWU49" s="471"/>
      <c r="VWV49" s="472"/>
      <c r="VWW49" s="473"/>
      <c r="VWX49" s="474"/>
      <c r="VWY49" s="471"/>
      <c r="VWZ49" s="472"/>
      <c r="VXA49" s="473"/>
      <c r="VXB49" s="474"/>
      <c r="VXC49" s="471"/>
      <c r="VXD49" s="472"/>
      <c r="VXE49" s="473"/>
      <c r="VXF49" s="474"/>
      <c r="VXG49" s="471"/>
      <c r="VXH49" s="472"/>
      <c r="VXI49" s="473"/>
      <c r="VXJ49" s="474"/>
      <c r="VXK49" s="471"/>
      <c r="VXL49" s="472"/>
      <c r="VXM49" s="473"/>
      <c r="VXN49" s="474"/>
      <c r="VXO49" s="471"/>
      <c r="VXP49" s="472"/>
      <c r="VXQ49" s="473"/>
      <c r="VXR49" s="474"/>
      <c r="VXS49" s="471"/>
      <c r="VXT49" s="472"/>
      <c r="VXU49" s="473"/>
      <c r="VXV49" s="474"/>
      <c r="VXW49" s="471"/>
      <c r="VXX49" s="472"/>
      <c r="VXY49" s="473"/>
      <c r="VXZ49" s="474"/>
      <c r="VYA49" s="471"/>
      <c r="VYB49" s="472"/>
      <c r="VYC49" s="473"/>
      <c r="VYD49" s="474"/>
      <c r="VYE49" s="471"/>
      <c r="VYF49" s="472"/>
      <c r="VYG49" s="473"/>
      <c r="VYH49" s="474"/>
      <c r="VYI49" s="471"/>
      <c r="VYJ49" s="472"/>
      <c r="VYK49" s="473"/>
      <c r="VYL49" s="474"/>
      <c r="VYM49" s="471"/>
      <c r="VYN49" s="472"/>
      <c r="VYO49" s="473"/>
      <c r="VYP49" s="474"/>
      <c r="VYQ49" s="471"/>
      <c r="VYR49" s="472"/>
      <c r="VYS49" s="473"/>
      <c r="VYT49" s="474"/>
      <c r="VYU49" s="471"/>
      <c r="VYV49" s="472"/>
      <c r="VYW49" s="473"/>
      <c r="VYX49" s="474"/>
      <c r="VYY49" s="471"/>
      <c r="VYZ49" s="472"/>
      <c r="VZA49" s="473"/>
      <c r="VZB49" s="474"/>
      <c r="VZC49" s="471"/>
      <c r="VZD49" s="472"/>
      <c r="VZE49" s="473"/>
      <c r="VZF49" s="474"/>
      <c r="VZG49" s="471"/>
      <c r="VZH49" s="472"/>
      <c r="VZI49" s="473"/>
      <c r="VZJ49" s="474"/>
      <c r="VZK49" s="471"/>
      <c r="VZL49" s="472"/>
      <c r="VZM49" s="473"/>
      <c r="VZN49" s="474"/>
      <c r="VZO49" s="471"/>
      <c r="VZP49" s="472"/>
      <c r="VZQ49" s="473"/>
      <c r="VZR49" s="474"/>
      <c r="VZS49" s="471"/>
      <c r="VZT49" s="472"/>
      <c r="VZU49" s="473"/>
      <c r="VZV49" s="474"/>
      <c r="VZW49" s="471"/>
      <c r="VZX49" s="472"/>
      <c r="VZY49" s="473"/>
      <c r="VZZ49" s="474"/>
      <c r="WAA49" s="471"/>
      <c r="WAB49" s="472"/>
      <c r="WAC49" s="473"/>
      <c r="WAD49" s="474"/>
      <c r="WAE49" s="471"/>
      <c r="WAF49" s="472"/>
      <c r="WAG49" s="473"/>
      <c r="WAH49" s="474"/>
      <c r="WAI49" s="471"/>
      <c r="WAJ49" s="472"/>
      <c r="WAK49" s="473"/>
      <c r="WAL49" s="474"/>
      <c r="WAM49" s="471"/>
      <c r="WAN49" s="472"/>
      <c r="WAO49" s="473"/>
      <c r="WAP49" s="474"/>
      <c r="WAQ49" s="471"/>
      <c r="WAR49" s="472"/>
      <c r="WAS49" s="473"/>
      <c r="WAT49" s="474"/>
      <c r="WAU49" s="471"/>
      <c r="WAV49" s="472"/>
      <c r="WAW49" s="473"/>
      <c r="WAX49" s="474"/>
      <c r="WAY49" s="471"/>
      <c r="WAZ49" s="472"/>
      <c r="WBA49" s="473"/>
      <c r="WBB49" s="474"/>
      <c r="WBC49" s="471"/>
      <c r="WBD49" s="472"/>
      <c r="WBE49" s="473"/>
      <c r="WBF49" s="474"/>
      <c r="WBG49" s="471"/>
      <c r="WBH49" s="472"/>
      <c r="WBI49" s="473"/>
      <c r="WBJ49" s="474"/>
      <c r="WBK49" s="471"/>
      <c r="WBL49" s="472"/>
      <c r="WBM49" s="473"/>
      <c r="WBN49" s="474"/>
      <c r="WBO49" s="471"/>
      <c r="WBP49" s="472"/>
      <c r="WBQ49" s="473"/>
      <c r="WBR49" s="474"/>
      <c r="WBS49" s="471"/>
      <c r="WBT49" s="472"/>
      <c r="WBU49" s="473"/>
      <c r="WBV49" s="474"/>
      <c r="WBW49" s="471"/>
      <c r="WBX49" s="472"/>
      <c r="WBY49" s="473"/>
      <c r="WBZ49" s="474"/>
      <c r="WCA49" s="471"/>
      <c r="WCB49" s="472"/>
      <c r="WCC49" s="473"/>
      <c r="WCD49" s="474"/>
      <c r="WCE49" s="471"/>
      <c r="WCF49" s="472"/>
      <c r="WCG49" s="473"/>
      <c r="WCH49" s="474"/>
      <c r="WCI49" s="471"/>
      <c r="WCJ49" s="472"/>
      <c r="WCK49" s="473"/>
      <c r="WCL49" s="474"/>
      <c r="WCM49" s="471"/>
      <c r="WCN49" s="472"/>
      <c r="WCO49" s="473"/>
      <c r="WCP49" s="474"/>
      <c r="WCQ49" s="471"/>
      <c r="WCR49" s="472"/>
      <c r="WCS49" s="473"/>
      <c r="WCT49" s="474"/>
      <c r="WCU49" s="471"/>
      <c r="WCV49" s="472"/>
      <c r="WCW49" s="473"/>
      <c r="WCX49" s="474"/>
      <c r="WCY49" s="471"/>
      <c r="WCZ49" s="472"/>
      <c r="WDA49" s="473"/>
      <c r="WDB49" s="474"/>
      <c r="WDC49" s="471"/>
      <c r="WDD49" s="472"/>
      <c r="WDE49" s="473"/>
      <c r="WDF49" s="474"/>
      <c r="WDG49" s="471"/>
      <c r="WDH49" s="472"/>
      <c r="WDI49" s="473"/>
      <c r="WDJ49" s="474"/>
      <c r="WDK49" s="471"/>
      <c r="WDL49" s="472"/>
      <c r="WDM49" s="473"/>
      <c r="WDN49" s="474"/>
      <c r="WDO49" s="471"/>
      <c r="WDP49" s="472"/>
      <c r="WDQ49" s="473"/>
      <c r="WDR49" s="474"/>
      <c r="WDS49" s="471"/>
      <c r="WDT49" s="472"/>
      <c r="WDU49" s="473"/>
      <c r="WDV49" s="474"/>
      <c r="WDW49" s="471"/>
      <c r="WDX49" s="472"/>
      <c r="WDY49" s="473"/>
      <c r="WDZ49" s="474"/>
      <c r="WEA49" s="471"/>
      <c r="WEB49" s="472"/>
      <c r="WEC49" s="473"/>
      <c r="WED49" s="474"/>
      <c r="WEE49" s="471"/>
      <c r="WEF49" s="472"/>
      <c r="WEG49" s="473"/>
      <c r="WEH49" s="474"/>
      <c r="WEI49" s="471"/>
      <c r="WEJ49" s="472"/>
      <c r="WEK49" s="473"/>
      <c r="WEL49" s="474"/>
      <c r="WEM49" s="471"/>
      <c r="WEN49" s="472"/>
      <c r="WEO49" s="473"/>
      <c r="WEP49" s="474"/>
      <c r="WEQ49" s="471"/>
      <c r="WER49" s="472"/>
      <c r="WES49" s="473"/>
      <c r="WET49" s="474"/>
      <c r="WEU49" s="471"/>
      <c r="WEV49" s="472"/>
      <c r="WEW49" s="473"/>
      <c r="WEX49" s="474"/>
      <c r="WEY49" s="471"/>
      <c r="WEZ49" s="472"/>
      <c r="WFA49" s="473"/>
      <c r="WFB49" s="474"/>
      <c r="WFC49" s="471"/>
      <c r="WFD49" s="472"/>
      <c r="WFE49" s="473"/>
      <c r="WFF49" s="474"/>
      <c r="WFG49" s="471"/>
      <c r="WFH49" s="472"/>
      <c r="WFI49" s="473"/>
      <c r="WFJ49" s="474"/>
      <c r="WFK49" s="471"/>
      <c r="WFL49" s="472"/>
      <c r="WFM49" s="473"/>
      <c r="WFN49" s="474"/>
      <c r="WFO49" s="471"/>
      <c r="WFP49" s="472"/>
      <c r="WFQ49" s="473"/>
      <c r="WFR49" s="474"/>
      <c r="WFS49" s="471"/>
      <c r="WFT49" s="472"/>
      <c r="WFU49" s="473"/>
      <c r="WFV49" s="474"/>
      <c r="WFW49" s="471"/>
      <c r="WFX49" s="472"/>
      <c r="WFY49" s="473"/>
      <c r="WFZ49" s="474"/>
      <c r="WGA49" s="471"/>
      <c r="WGB49" s="472"/>
      <c r="WGC49" s="473"/>
      <c r="WGD49" s="474"/>
      <c r="WGE49" s="471"/>
      <c r="WGF49" s="472"/>
      <c r="WGG49" s="473"/>
      <c r="WGH49" s="474"/>
      <c r="WGI49" s="471"/>
      <c r="WGJ49" s="472"/>
      <c r="WGK49" s="473"/>
      <c r="WGL49" s="474"/>
      <c r="WGM49" s="471"/>
      <c r="WGN49" s="472"/>
      <c r="WGO49" s="473"/>
      <c r="WGP49" s="474"/>
      <c r="WGQ49" s="471"/>
      <c r="WGR49" s="472"/>
      <c r="WGS49" s="473"/>
      <c r="WGT49" s="474"/>
      <c r="WGU49" s="471"/>
      <c r="WGV49" s="472"/>
      <c r="WGW49" s="473"/>
      <c r="WGX49" s="474"/>
      <c r="WGY49" s="471"/>
      <c r="WGZ49" s="472"/>
      <c r="WHA49" s="473"/>
      <c r="WHB49" s="474"/>
      <c r="WHC49" s="471"/>
      <c r="WHD49" s="472"/>
      <c r="WHE49" s="473"/>
      <c r="WHF49" s="474"/>
      <c r="WHG49" s="471"/>
      <c r="WHH49" s="472"/>
      <c r="WHI49" s="473"/>
      <c r="WHJ49" s="474"/>
      <c r="WHK49" s="471"/>
      <c r="WHL49" s="472"/>
      <c r="WHM49" s="473"/>
      <c r="WHN49" s="474"/>
      <c r="WHO49" s="471"/>
      <c r="WHP49" s="472"/>
      <c r="WHQ49" s="473"/>
      <c r="WHR49" s="474"/>
      <c r="WHS49" s="471"/>
      <c r="WHT49" s="472"/>
      <c r="WHU49" s="473"/>
      <c r="WHV49" s="474"/>
      <c r="WHW49" s="471"/>
      <c r="WHX49" s="472"/>
      <c r="WHY49" s="473"/>
      <c r="WHZ49" s="474"/>
      <c r="WIA49" s="471"/>
      <c r="WIB49" s="472"/>
      <c r="WIC49" s="473"/>
      <c r="WID49" s="474"/>
      <c r="WIE49" s="471"/>
      <c r="WIF49" s="472"/>
      <c r="WIG49" s="473"/>
      <c r="WIH49" s="474"/>
      <c r="WII49" s="471"/>
      <c r="WIJ49" s="472"/>
      <c r="WIK49" s="473"/>
      <c r="WIL49" s="474"/>
      <c r="WIM49" s="471"/>
      <c r="WIN49" s="472"/>
      <c r="WIO49" s="473"/>
      <c r="WIP49" s="474"/>
      <c r="WIQ49" s="471"/>
      <c r="WIR49" s="472"/>
      <c r="WIS49" s="473"/>
      <c r="WIT49" s="474"/>
      <c r="WIU49" s="471"/>
      <c r="WIV49" s="472"/>
      <c r="WIW49" s="473"/>
      <c r="WIX49" s="474"/>
      <c r="WIY49" s="471"/>
      <c r="WIZ49" s="472"/>
      <c r="WJA49" s="473"/>
      <c r="WJB49" s="474"/>
      <c r="WJC49" s="471"/>
      <c r="WJD49" s="472"/>
      <c r="WJE49" s="473"/>
      <c r="WJF49" s="474"/>
      <c r="WJG49" s="471"/>
      <c r="WJH49" s="472"/>
      <c r="WJI49" s="473"/>
      <c r="WJJ49" s="474"/>
      <c r="WJK49" s="471"/>
      <c r="WJL49" s="472"/>
      <c r="WJM49" s="473"/>
      <c r="WJN49" s="474"/>
      <c r="WJO49" s="471"/>
      <c r="WJP49" s="472"/>
      <c r="WJQ49" s="473"/>
      <c r="WJR49" s="474"/>
      <c r="WJS49" s="471"/>
      <c r="WJT49" s="472"/>
      <c r="WJU49" s="473"/>
      <c r="WJV49" s="474"/>
      <c r="WJW49" s="471"/>
      <c r="WJX49" s="472"/>
      <c r="WJY49" s="473"/>
      <c r="WJZ49" s="474"/>
      <c r="WKA49" s="471"/>
      <c r="WKB49" s="472"/>
      <c r="WKC49" s="473"/>
      <c r="WKD49" s="474"/>
      <c r="WKE49" s="471"/>
      <c r="WKF49" s="472"/>
      <c r="WKG49" s="473"/>
      <c r="WKH49" s="474"/>
      <c r="WKI49" s="471"/>
      <c r="WKJ49" s="472"/>
      <c r="WKK49" s="473"/>
      <c r="WKL49" s="474"/>
      <c r="WKM49" s="471"/>
      <c r="WKN49" s="472"/>
      <c r="WKO49" s="473"/>
      <c r="WKP49" s="474"/>
      <c r="WKQ49" s="471"/>
      <c r="WKR49" s="472"/>
      <c r="WKS49" s="473"/>
      <c r="WKT49" s="474"/>
      <c r="WKU49" s="471"/>
      <c r="WKV49" s="472"/>
      <c r="WKW49" s="473"/>
      <c r="WKX49" s="474"/>
      <c r="WKY49" s="471"/>
      <c r="WKZ49" s="472"/>
      <c r="WLA49" s="473"/>
      <c r="WLB49" s="474"/>
      <c r="WLC49" s="471"/>
      <c r="WLD49" s="472"/>
      <c r="WLE49" s="473"/>
      <c r="WLF49" s="474"/>
      <c r="WLG49" s="471"/>
      <c r="WLH49" s="472"/>
      <c r="WLI49" s="473"/>
      <c r="WLJ49" s="474"/>
      <c r="WLK49" s="471"/>
      <c r="WLL49" s="472"/>
      <c r="WLM49" s="473"/>
      <c r="WLN49" s="474"/>
      <c r="WLO49" s="471"/>
      <c r="WLP49" s="472"/>
      <c r="WLQ49" s="473"/>
      <c r="WLR49" s="474"/>
      <c r="WLS49" s="471"/>
      <c r="WLT49" s="472"/>
      <c r="WLU49" s="473"/>
      <c r="WLV49" s="474"/>
      <c r="WLW49" s="471"/>
      <c r="WLX49" s="472"/>
      <c r="WLY49" s="473"/>
      <c r="WLZ49" s="474"/>
      <c r="WMA49" s="471"/>
      <c r="WMB49" s="472"/>
      <c r="WMC49" s="473"/>
      <c r="WMD49" s="474"/>
      <c r="WME49" s="471"/>
      <c r="WMF49" s="472"/>
      <c r="WMG49" s="473"/>
      <c r="WMH49" s="474"/>
      <c r="WMI49" s="471"/>
      <c r="WMJ49" s="472"/>
      <c r="WMK49" s="473"/>
      <c r="WML49" s="474"/>
      <c r="WMM49" s="471"/>
      <c r="WMN49" s="472"/>
      <c r="WMO49" s="473"/>
      <c r="WMP49" s="474"/>
      <c r="WMQ49" s="471"/>
      <c r="WMR49" s="472"/>
      <c r="WMS49" s="473"/>
      <c r="WMT49" s="474"/>
      <c r="WMU49" s="471"/>
      <c r="WMV49" s="472"/>
      <c r="WMW49" s="473"/>
      <c r="WMX49" s="474"/>
      <c r="WMY49" s="471"/>
      <c r="WMZ49" s="472"/>
      <c r="WNA49" s="473"/>
      <c r="WNB49" s="474"/>
      <c r="WNC49" s="471"/>
      <c r="WND49" s="472"/>
      <c r="WNE49" s="473"/>
      <c r="WNF49" s="474"/>
      <c r="WNG49" s="471"/>
      <c r="WNH49" s="472"/>
      <c r="WNI49" s="473"/>
      <c r="WNJ49" s="474"/>
      <c r="WNK49" s="471"/>
      <c r="WNL49" s="472"/>
      <c r="WNM49" s="473"/>
      <c r="WNN49" s="474"/>
      <c r="WNO49" s="471"/>
      <c r="WNP49" s="472"/>
      <c r="WNQ49" s="473"/>
      <c r="WNR49" s="474"/>
      <c r="WNS49" s="471"/>
      <c r="WNT49" s="472"/>
      <c r="WNU49" s="473"/>
      <c r="WNV49" s="474"/>
      <c r="WNW49" s="471"/>
      <c r="WNX49" s="472"/>
      <c r="WNY49" s="473"/>
      <c r="WNZ49" s="474"/>
      <c r="WOA49" s="471"/>
      <c r="WOB49" s="472"/>
      <c r="WOC49" s="473"/>
      <c r="WOD49" s="474"/>
      <c r="WOE49" s="471"/>
      <c r="WOF49" s="472"/>
      <c r="WOG49" s="473"/>
      <c r="WOH49" s="474"/>
      <c r="WOI49" s="471"/>
      <c r="WOJ49" s="472"/>
      <c r="WOK49" s="473"/>
      <c r="WOL49" s="474"/>
      <c r="WOM49" s="471"/>
      <c r="WON49" s="472"/>
      <c r="WOO49" s="473"/>
      <c r="WOP49" s="474"/>
      <c r="WOQ49" s="471"/>
      <c r="WOR49" s="472"/>
      <c r="WOS49" s="473"/>
      <c r="WOT49" s="474"/>
      <c r="WOU49" s="471"/>
      <c r="WOV49" s="472"/>
      <c r="WOW49" s="473"/>
      <c r="WOX49" s="474"/>
      <c r="WOY49" s="471"/>
      <c r="WOZ49" s="472"/>
      <c r="WPA49" s="473"/>
      <c r="WPB49" s="474"/>
      <c r="WPC49" s="471"/>
      <c r="WPD49" s="472"/>
      <c r="WPE49" s="473"/>
      <c r="WPF49" s="474"/>
      <c r="WPG49" s="471"/>
      <c r="WPH49" s="472"/>
      <c r="WPI49" s="473"/>
      <c r="WPJ49" s="474"/>
      <c r="WPK49" s="471"/>
      <c r="WPL49" s="472"/>
      <c r="WPM49" s="473"/>
      <c r="WPN49" s="474"/>
      <c r="WPO49" s="471"/>
      <c r="WPP49" s="472"/>
      <c r="WPQ49" s="473"/>
      <c r="WPR49" s="474"/>
      <c r="WPS49" s="471"/>
      <c r="WPT49" s="472"/>
      <c r="WPU49" s="473"/>
      <c r="WPV49" s="474"/>
      <c r="WPW49" s="471"/>
      <c r="WPX49" s="472"/>
      <c r="WPY49" s="473"/>
      <c r="WPZ49" s="474"/>
      <c r="WQA49" s="471"/>
      <c r="WQB49" s="472"/>
      <c r="WQC49" s="473"/>
      <c r="WQD49" s="474"/>
      <c r="WQE49" s="471"/>
      <c r="WQF49" s="472"/>
      <c r="WQG49" s="473"/>
      <c r="WQH49" s="474"/>
      <c r="WQI49" s="471"/>
      <c r="WQJ49" s="472"/>
      <c r="WQK49" s="473"/>
      <c r="WQL49" s="474"/>
      <c r="WQM49" s="471"/>
      <c r="WQN49" s="472"/>
      <c r="WQO49" s="473"/>
      <c r="WQP49" s="474"/>
      <c r="WQQ49" s="471"/>
      <c r="WQR49" s="472"/>
      <c r="WQS49" s="473"/>
      <c r="WQT49" s="474"/>
      <c r="WQU49" s="471"/>
      <c r="WQV49" s="472"/>
      <c r="WQW49" s="473"/>
      <c r="WQX49" s="474"/>
      <c r="WQY49" s="471"/>
      <c r="WQZ49" s="472"/>
      <c r="WRA49" s="473"/>
      <c r="WRB49" s="474"/>
      <c r="WRC49" s="471"/>
      <c r="WRD49" s="472"/>
      <c r="WRE49" s="473"/>
      <c r="WRF49" s="474"/>
      <c r="WRG49" s="471"/>
      <c r="WRH49" s="472"/>
      <c r="WRI49" s="473"/>
      <c r="WRJ49" s="474"/>
      <c r="WRK49" s="471"/>
      <c r="WRL49" s="472"/>
      <c r="WRM49" s="473"/>
      <c r="WRN49" s="474"/>
      <c r="WRO49" s="471"/>
      <c r="WRP49" s="472"/>
      <c r="WRQ49" s="473"/>
      <c r="WRR49" s="474"/>
      <c r="WRS49" s="471"/>
      <c r="WRT49" s="472"/>
      <c r="WRU49" s="473"/>
      <c r="WRV49" s="474"/>
      <c r="WRW49" s="471"/>
      <c r="WRX49" s="472"/>
      <c r="WRY49" s="473"/>
      <c r="WRZ49" s="474"/>
      <c r="WSA49" s="471"/>
      <c r="WSB49" s="472"/>
      <c r="WSC49" s="473"/>
      <c r="WSD49" s="474"/>
      <c r="WSE49" s="471"/>
      <c r="WSF49" s="472"/>
      <c r="WSG49" s="473"/>
      <c r="WSH49" s="474"/>
      <c r="WSI49" s="471"/>
      <c r="WSJ49" s="472"/>
      <c r="WSK49" s="473"/>
      <c r="WSL49" s="474"/>
      <c r="WSM49" s="471"/>
      <c r="WSN49" s="472"/>
      <c r="WSO49" s="473"/>
      <c r="WSP49" s="474"/>
      <c r="WSQ49" s="471"/>
      <c r="WSR49" s="472"/>
      <c r="WSS49" s="473"/>
      <c r="WST49" s="474"/>
      <c r="WSU49" s="471"/>
      <c r="WSV49" s="472"/>
      <c r="WSW49" s="473"/>
      <c r="WSX49" s="474"/>
      <c r="WSY49" s="471"/>
      <c r="WSZ49" s="472"/>
      <c r="WTA49" s="473"/>
      <c r="WTB49" s="474"/>
      <c r="WTC49" s="471"/>
      <c r="WTD49" s="472"/>
      <c r="WTE49" s="473"/>
      <c r="WTF49" s="474"/>
      <c r="WTG49" s="471"/>
      <c r="WTH49" s="472"/>
      <c r="WTI49" s="473"/>
      <c r="WTJ49" s="474"/>
      <c r="WTK49" s="471"/>
      <c r="WTL49" s="472"/>
      <c r="WTM49" s="473"/>
      <c r="WTN49" s="474"/>
      <c r="WTO49" s="471"/>
      <c r="WTP49" s="472"/>
      <c r="WTQ49" s="473"/>
      <c r="WTR49" s="474"/>
      <c r="WTS49" s="471"/>
      <c r="WTT49" s="472"/>
      <c r="WTU49" s="473"/>
      <c r="WTV49" s="474"/>
      <c r="WTW49" s="471"/>
      <c r="WTX49" s="472"/>
      <c r="WTY49" s="473"/>
      <c r="WTZ49" s="474"/>
      <c r="WUA49" s="471"/>
      <c r="WUB49" s="472"/>
      <c r="WUC49" s="473"/>
      <c r="WUD49" s="474"/>
      <c r="WUE49" s="471"/>
      <c r="WUF49" s="472"/>
      <c r="WUG49" s="473"/>
      <c r="WUH49" s="474"/>
      <c r="WUI49" s="471"/>
      <c r="WUJ49" s="472"/>
      <c r="WUK49" s="473"/>
      <c r="WUL49" s="474"/>
      <c r="WUM49" s="471"/>
      <c r="WUN49" s="472"/>
      <c r="WUO49" s="473"/>
      <c r="WUP49" s="474"/>
      <c r="WUQ49" s="471"/>
      <c r="WUR49" s="472"/>
      <c r="WUS49" s="473"/>
      <c r="WUT49" s="474"/>
      <c r="WUU49" s="471"/>
      <c r="WUV49" s="472"/>
      <c r="WUW49" s="473"/>
      <c r="WUX49" s="474"/>
      <c r="WUY49" s="471"/>
      <c r="WUZ49" s="472"/>
      <c r="WVA49" s="473"/>
      <c r="WVB49" s="474"/>
      <c r="WVC49" s="471"/>
      <c r="WVD49" s="472"/>
      <c r="WVE49" s="473"/>
      <c r="WVF49" s="474"/>
      <c r="WVG49" s="471"/>
      <c r="WVH49" s="472"/>
      <c r="WVI49" s="473"/>
      <c r="WVJ49" s="474"/>
      <c r="WVK49" s="471"/>
      <c r="WVL49" s="472"/>
      <c r="WVM49" s="473"/>
      <c r="WVN49" s="474"/>
      <c r="WVO49" s="471"/>
      <c r="WVP49" s="472"/>
      <c r="WVQ49" s="473"/>
      <c r="WVR49" s="474"/>
      <c r="WVS49" s="471"/>
      <c r="WVT49" s="472"/>
      <c r="WVU49" s="473"/>
      <c r="WVV49" s="474"/>
      <c r="WVW49" s="471"/>
      <c r="WVX49" s="472"/>
      <c r="WVY49" s="473"/>
      <c r="WVZ49" s="474"/>
      <c r="WWA49" s="471"/>
      <c r="WWB49" s="472"/>
      <c r="WWC49" s="473"/>
      <c r="WWD49" s="474"/>
      <c r="WWE49" s="471"/>
      <c r="WWF49" s="472"/>
      <c r="WWG49" s="473"/>
      <c r="WWH49" s="474"/>
      <c r="WWI49" s="471"/>
      <c r="WWJ49" s="472"/>
      <c r="WWK49" s="473"/>
      <c r="WWL49" s="474"/>
      <c r="WWM49" s="471"/>
      <c r="WWN49" s="472"/>
      <c r="WWO49" s="473"/>
      <c r="WWP49" s="474"/>
      <c r="WWQ49" s="471"/>
      <c r="WWR49" s="472"/>
      <c r="WWS49" s="473"/>
      <c r="WWT49" s="474"/>
      <c r="WWU49" s="471"/>
      <c r="WWV49" s="472"/>
      <c r="WWW49" s="473"/>
      <c r="WWX49" s="474"/>
      <c r="WWY49" s="471"/>
      <c r="WWZ49" s="472"/>
      <c r="WXA49" s="473"/>
      <c r="WXB49" s="474"/>
      <c r="WXC49" s="471"/>
      <c r="WXD49" s="472"/>
      <c r="WXE49" s="473"/>
      <c r="WXF49" s="474"/>
      <c r="WXG49" s="471"/>
      <c r="WXH49" s="472"/>
      <c r="WXI49" s="473"/>
      <c r="WXJ49" s="474"/>
      <c r="WXK49" s="471"/>
      <c r="WXL49" s="472"/>
      <c r="WXM49" s="473"/>
      <c r="WXN49" s="474"/>
      <c r="WXO49" s="471"/>
      <c r="WXP49" s="472"/>
      <c r="WXQ49" s="473"/>
      <c r="WXR49" s="474"/>
      <c r="WXS49" s="471"/>
      <c r="WXT49" s="472"/>
      <c r="WXU49" s="473"/>
      <c r="WXV49" s="474"/>
      <c r="WXW49" s="471"/>
      <c r="WXX49" s="472"/>
      <c r="WXY49" s="473"/>
      <c r="WXZ49" s="474"/>
      <c r="WYA49" s="471"/>
      <c r="WYB49" s="472"/>
      <c r="WYC49" s="473"/>
      <c r="WYD49" s="474"/>
      <c r="WYE49" s="471"/>
      <c r="WYF49" s="472"/>
      <c r="WYG49" s="473"/>
      <c r="WYH49" s="474"/>
      <c r="WYI49" s="471"/>
      <c r="WYJ49" s="472"/>
      <c r="WYK49" s="473"/>
      <c r="WYL49" s="474"/>
      <c r="WYM49" s="471"/>
      <c r="WYN49" s="472"/>
      <c r="WYO49" s="473"/>
      <c r="WYP49" s="474"/>
      <c r="WYQ49" s="471"/>
      <c r="WYR49" s="472"/>
      <c r="WYS49" s="473"/>
      <c r="WYT49" s="474"/>
      <c r="WYU49" s="471"/>
      <c r="WYV49" s="472"/>
      <c r="WYW49" s="473"/>
      <c r="WYX49" s="474"/>
      <c r="WYY49" s="471"/>
      <c r="WYZ49" s="472"/>
      <c r="WZA49" s="473"/>
      <c r="WZB49" s="474"/>
      <c r="WZC49" s="471"/>
      <c r="WZD49" s="472"/>
      <c r="WZE49" s="473"/>
      <c r="WZF49" s="474"/>
      <c r="WZG49" s="471"/>
      <c r="WZH49" s="472"/>
      <c r="WZI49" s="473"/>
      <c r="WZJ49" s="474"/>
      <c r="WZK49" s="471"/>
      <c r="WZL49" s="472"/>
      <c r="WZM49" s="473"/>
      <c r="WZN49" s="474"/>
      <c r="WZO49" s="471"/>
      <c r="WZP49" s="472"/>
      <c r="WZQ49" s="473"/>
      <c r="WZR49" s="474"/>
      <c r="WZS49" s="471"/>
      <c r="WZT49" s="472"/>
      <c r="WZU49" s="473"/>
      <c r="WZV49" s="474"/>
      <c r="WZW49" s="471"/>
      <c r="WZX49" s="472"/>
      <c r="WZY49" s="473"/>
      <c r="WZZ49" s="474"/>
      <c r="XAA49" s="471"/>
      <c r="XAB49" s="472"/>
      <c r="XAC49" s="473"/>
      <c r="XAD49" s="474"/>
      <c r="XAE49" s="471"/>
      <c r="XAF49" s="472"/>
      <c r="XAG49" s="473"/>
      <c r="XAH49" s="474"/>
      <c r="XAI49" s="471"/>
      <c r="XAJ49" s="472"/>
      <c r="XAK49" s="473"/>
      <c r="XAL49" s="474"/>
      <c r="XAM49" s="471"/>
      <c r="XAN49" s="472"/>
      <c r="XAO49" s="473"/>
      <c r="XAP49" s="474"/>
      <c r="XAQ49" s="471"/>
      <c r="XAR49" s="472"/>
      <c r="XAS49" s="473"/>
      <c r="XAT49" s="474"/>
      <c r="XAU49" s="471"/>
      <c r="XAV49" s="472"/>
      <c r="XAW49" s="473"/>
      <c r="XAX49" s="474"/>
      <c r="XAY49" s="471"/>
      <c r="XAZ49" s="472"/>
      <c r="XBA49" s="473"/>
      <c r="XBB49" s="474"/>
      <c r="XBC49" s="471"/>
      <c r="XBD49" s="472"/>
      <c r="XBE49" s="473"/>
      <c r="XBF49" s="474"/>
      <c r="XBG49" s="471"/>
      <c r="XBH49" s="472"/>
      <c r="XBI49" s="473"/>
      <c r="XBJ49" s="474"/>
      <c r="XBK49" s="471"/>
      <c r="XBL49" s="472"/>
      <c r="XBM49" s="473"/>
      <c r="XBN49" s="474"/>
      <c r="XBO49" s="471"/>
      <c r="XBP49" s="472"/>
      <c r="XBQ49" s="473"/>
      <c r="XBR49" s="474"/>
      <c r="XBS49" s="471"/>
      <c r="XBT49" s="472"/>
      <c r="XBU49" s="473"/>
      <c r="XBV49" s="474"/>
      <c r="XBW49" s="471"/>
      <c r="XBX49" s="472"/>
      <c r="XBY49" s="473"/>
      <c r="XBZ49" s="474"/>
      <c r="XCA49" s="471"/>
      <c r="XCB49" s="472"/>
      <c r="XCC49" s="473"/>
      <c r="XCD49" s="474"/>
      <c r="XCE49" s="471"/>
      <c r="XCF49" s="472"/>
      <c r="XCG49" s="473"/>
      <c r="XCH49" s="474"/>
      <c r="XCI49" s="471"/>
      <c r="XCJ49" s="472"/>
      <c r="XCK49" s="473"/>
      <c r="XCL49" s="474"/>
      <c r="XCM49" s="471"/>
      <c r="XCN49" s="472"/>
      <c r="XCO49" s="473"/>
      <c r="XCP49" s="474"/>
      <c r="XCQ49" s="471"/>
      <c r="XCR49" s="472"/>
      <c r="XCS49" s="473"/>
      <c r="XCT49" s="474"/>
      <c r="XCU49" s="471"/>
      <c r="XCV49" s="472"/>
      <c r="XCW49" s="473"/>
      <c r="XCX49" s="474"/>
      <c r="XCY49" s="471"/>
      <c r="XCZ49" s="472"/>
      <c r="XDA49" s="473"/>
      <c r="XDB49" s="474"/>
      <c r="XDC49" s="471"/>
      <c r="XDD49" s="472"/>
      <c r="XDE49" s="473"/>
      <c r="XDF49" s="474"/>
      <c r="XDG49" s="471"/>
      <c r="XDH49" s="472"/>
      <c r="XDI49" s="473"/>
      <c r="XDJ49" s="474"/>
      <c r="XDK49" s="471"/>
      <c r="XDL49" s="472"/>
      <c r="XDM49" s="473"/>
      <c r="XDN49" s="474"/>
      <c r="XDO49" s="471"/>
      <c r="XDP49" s="472"/>
      <c r="XDQ49" s="473"/>
      <c r="XDR49" s="474"/>
      <c r="XDS49" s="471"/>
      <c r="XDT49" s="472"/>
      <c r="XDU49" s="473"/>
      <c r="XDV49" s="474"/>
      <c r="XDW49" s="471"/>
      <c r="XDX49" s="472"/>
      <c r="XDY49" s="473"/>
      <c r="XDZ49" s="474"/>
      <c r="XEA49" s="471"/>
      <c r="XEB49" s="472"/>
      <c r="XEC49" s="473"/>
      <c r="XED49" s="474"/>
      <c r="XEE49" s="471"/>
      <c r="XEF49" s="472"/>
      <c r="XEG49" s="473"/>
      <c r="XEH49" s="474"/>
      <c r="XEI49" s="471"/>
      <c r="XEJ49" s="472"/>
      <c r="XEK49" s="473"/>
      <c r="XEL49" s="474"/>
      <c r="XEM49" s="471"/>
      <c r="XEN49" s="472"/>
      <c r="XEO49" s="473"/>
      <c r="XEP49" s="474"/>
      <c r="XEQ49" s="471"/>
      <c r="XER49" s="472"/>
      <c r="XES49" s="473"/>
      <c r="XET49" s="474"/>
    </row>
    <row r="50" spans="1:16374" ht="60" x14ac:dyDescent="0.2">
      <c r="A50" s="476">
        <v>17</v>
      </c>
      <c r="B50" s="477">
        <v>2302</v>
      </c>
      <c r="C50" s="478" t="s">
        <v>1224</v>
      </c>
      <c r="D50" s="491">
        <f>'SGTO POAI 2020'!BG342</f>
        <v>353721000</v>
      </c>
      <c r="E50" s="497">
        <f>D50/D50</f>
        <v>1</v>
      </c>
      <c r="F50" s="491">
        <f>'SGTO POAI 2020'!BH342</f>
        <v>329072188</v>
      </c>
      <c r="G50" s="497">
        <f>F50/D50</f>
        <v>0.93031566686738987</v>
      </c>
      <c r="H50" s="491">
        <f>'SGTO POAI 2020'!BI342</f>
        <v>329072188</v>
      </c>
      <c r="I50" s="497">
        <f>H50/D50</f>
        <v>0.93031566686738987</v>
      </c>
    </row>
    <row r="51" spans="1:16374" ht="45" x14ac:dyDescent="0.2">
      <c r="A51" s="461">
        <v>42</v>
      </c>
      <c r="B51" s="461">
        <v>4502</v>
      </c>
      <c r="C51" s="462" t="s">
        <v>99</v>
      </c>
      <c r="D51" s="491">
        <f>'SGTO POAI 2020'!BG12+'SGTO POAI 2020'!BG16+'SGTO POAI 2020'!BG73+'SGTO POAI 2020'!BG106+'SGTO POAI 2020'!BG192+'SGTO POAI 2020'!BG262</f>
        <v>381483575.15999997</v>
      </c>
      <c r="E51" s="497">
        <f>D51/D51</f>
        <v>1</v>
      </c>
      <c r="F51" s="491">
        <f>'SGTO POAI 2020'!BH12+'SGTO POAI 2020'!BH16+'SGTO POAI 2020'!BH73+'SGTO POAI 2020'!BH106+'SGTO POAI 2020'!BH192+'SGTO POAI 2020'!BH262</f>
        <v>270500656</v>
      </c>
      <c r="G51" s="497">
        <f>F51/D51</f>
        <v>0.70907549790721114</v>
      </c>
      <c r="H51" s="491">
        <f>'SGTO POAI 2020'!BI12+'SGTO POAI 2020'!BI16+'SGTO POAI 2020'!BI73+'SGTO POAI 2020'!BI106+'SGTO POAI 2020'!BI192+'SGTO POAI 2020'!BI262</f>
        <v>270500656</v>
      </c>
      <c r="I51" s="497">
        <f>H51/D51</f>
        <v>0.70907549790721114</v>
      </c>
    </row>
    <row r="52" spans="1:16374" ht="45" x14ac:dyDescent="0.2">
      <c r="A52" s="461">
        <v>45</v>
      </c>
      <c r="B52" s="461" t="s">
        <v>1379</v>
      </c>
      <c r="C52" s="462" t="s">
        <v>84</v>
      </c>
      <c r="D52" s="491">
        <f>'SGTO POAI 2020'!BG9+'SGTO POAI 2020'!BG18+'SGTO POAI 2020'!BG32+'SGTO POAI 2020'!BG71+'SGTO POAI 2020'!BG189+'SGTO POAI 2020'!BG380</f>
        <v>4196176890.5799999</v>
      </c>
      <c r="E52" s="497">
        <f>D52/D52</f>
        <v>1</v>
      </c>
      <c r="F52" s="491">
        <f>'SGTO POAI 2020'!BH9+'SGTO POAI 2020'!BH18+'SGTO POAI 2020'!BH32+'SGTO POAI 2020'!BH71+'SGTO POAI 2020'!BH189+'SGTO POAI 2020'!BH380</f>
        <v>3205451300.3299999</v>
      </c>
      <c r="G52" s="497">
        <f>F52/D52</f>
        <v>0.76389803955260316</v>
      </c>
      <c r="H52" s="491">
        <f>'SGTO POAI 2020'!BI9+'SGTO POAI 2020'!BI18+'SGTO POAI 2020'!BI32+'SGTO POAI 2020'!BI71+'SGTO POAI 2020'!BI189+'SGTO POAI 2020'!BI380</f>
        <v>3125406286.3299999</v>
      </c>
      <c r="I52" s="497">
        <f>H52/D52</f>
        <v>0.74482233895959593</v>
      </c>
    </row>
    <row r="53" spans="1:16374" x14ac:dyDescent="0.25">
      <c r="D53" s="492"/>
      <c r="E53" s="492"/>
      <c r="F53" s="492"/>
      <c r="G53" s="492"/>
      <c r="H53" s="492"/>
      <c r="I53" s="492"/>
    </row>
    <row r="54" spans="1:16374" x14ac:dyDescent="0.25">
      <c r="A54" s="468"/>
      <c r="B54" s="469"/>
      <c r="C54" s="470"/>
      <c r="D54" s="490">
        <f>D49+D38+D23+D3</f>
        <v>261880040260.62</v>
      </c>
      <c r="E54" s="496">
        <f>D54/D54</f>
        <v>1</v>
      </c>
      <c r="F54" s="490">
        <f>F49+F38+F23+F3</f>
        <v>239390220671.21329</v>
      </c>
      <c r="G54" s="496">
        <f>F54/D54</f>
        <v>0.91412167354554741</v>
      </c>
      <c r="H54" s="490">
        <f>H49+H38+H23+H3</f>
        <v>238322617351.21329</v>
      </c>
      <c r="I54" s="496">
        <f>H54/D54</f>
        <v>0.91004498515441412</v>
      </c>
    </row>
  </sheetData>
  <sheetProtection password="A60F" sheet="1" objects="1" scenarios="1"/>
  <mergeCells count="1">
    <mergeCell ref="A1:I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18"/>
  <sheetViews>
    <sheetView showGridLines="0" workbookViewId="0">
      <selection activeCell="A12" sqref="A12:H12"/>
    </sheetView>
  </sheetViews>
  <sheetFormatPr baseColWidth="10" defaultRowHeight="15" x14ac:dyDescent="0.25"/>
  <cols>
    <col min="2" max="2" width="46.28515625" customWidth="1"/>
    <col min="3" max="3" width="24.85546875" customWidth="1"/>
    <col min="4" max="4" width="14.42578125" customWidth="1"/>
    <col min="5" max="5" width="21.28515625" customWidth="1"/>
    <col min="6" max="6" width="15.140625" customWidth="1"/>
    <col min="7" max="7" width="23.85546875" customWidth="1"/>
    <col min="8" max="8" width="14.28515625" customWidth="1"/>
  </cols>
  <sheetData>
    <row r="1" spans="1:8" ht="53.25" customHeight="1" x14ac:dyDescent="0.25">
      <c r="A1" s="717" t="s">
        <v>1527</v>
      </c>
      <c r="B1" s="717"/>
      <c r="C1" s="717"/>
      <c r="D1" s="717"/>
      <c r="E1" s="717"/>
      <c r="F1" s="717"/>
      <c r="G1" s="717"/>
      <c r="H1" s="717"/>
    </row>
    <row r="2" spans="1:8" ht="33.75" customHeight="1" x14ac:dyDescent="0.25">
      <c r="A2" s="437"/>
      <c r="B2" s="441" t="s">
        <v>1513</v>
      </c>
      <c r="C2" s="442" t="s">
        <v>39</v>
      </c>
      <c r="D2" s="443" t="s">
        <v>1515</v>
      </c>
      <c r="E2" s="442" t="s">
        <v>43</v>
      </c>
      <c r="F2" s="443" t="s">
        <v>1515</v>
      </c>
      <c r="G2" s="442" t="s">
        <v>44</v>
      </c>
      <c r="H2" s="443" t="s">
        <v>1515</v>
      </c>
    </row>
    <row r="3" spans="1:8" x14ac:dyDescent="0.25">
      <c r="A3" s="434">
        <v>1</v>
      </c>
      <c r="B3" s="340" t="s">
        <v>1510</v>
      </c>
      <c r="C3" s="498">
        <f>'SGTO POAI 2020'!BG36+'SGTO POAI 2020'!BG76+'SGTO POAI 2020'!BG113+'SGTO POAI 2020'!BG195+'SGTO POAI 2020'!BG222+'SGTO POAI 2020'!BG265+'SGTO POAI 2020'!BG330+'SGTO POAI 2020'!BG347+'SGTO POAI 2020'!BG366</f>
        <v>247237373639.39999</v>
      </c>
      <c r="D3" s="435">
        <f>C3/$C$7</f>
        <v>0.94408635875171021</v>
      </c>
      <c r="E3" s="498">
        <f>'SGTO POAI 2020'!BH36+'SGTO POAI 2020'!BH76+'SGTO POAI 2020'!BH113+'SGTO POAI 2020'!BH195+'SGTO POAI 2020'!BH222+'SGTO POAI 2020'!BH265+'SGTO POAI 2020'!BH330+'SGTO POAI 2020'!BH347+'SGTO POAI 2020'!BH366</f>
        <v>228586087776.03329</v>
      </c>
      <c r="F3" s="435">
        <f>E3/$E$7</f>
        <v>0.95486811088236245</v>
      </c>
      <c r="G3" s="498">
        <f>'SGTO POAI 2020'!BI36+'SGTO POAI 2020'!BI76+'SGTO POAI 2020'!BI113+'SGTO POAI 2020'!BI195+'SGTO POAI 2020'!BI222+'SGTO POAI 2020'!BI265+'SGTO POAI 2020'!BI330+'SGTO POAI 2020'!BI347+'SGTO POAI 2020'!BI366</f>
        <v>227679437537.03329</v>
      </c>
      <c r="H3" s="435">
        <f>G3/$G$7</f>
        <v>0.95534129352693675</v>
      </c>
    </row>
    <row r="4" spans="1:8" ht="15.75" x14ac:dyDescent="0.25">
      <c r="A4" s="434">
        <v>2</v>
      </c>
      <c r="B4" s="436" t="s">
        <v>1511</v>
      </c>
      <c r="C4" s="498">
        <f>'SGTO POAI 2020'!BG49+'SGTO POAI 2020'!BG125+'SGTO POAI 2020'!BG141+'SGTO POAI 2020'!BG258+'SGTO POAI 2020'!BG336</f>
        <v>3847235864.8199997</v>
      </c>
      <c r="D4" s="435">
        <f>C4/$C$7</f>
        <v>1.469083272246054E-2</v>
      </c>
      <c r="E4" s="498">
        <f>'SGTO POAI 2020'!BH49+'SGTO POAI 2020'!BH125+'SGTO POAI 2020'!BH141+'SGTO POAI 2020'!BH258+'SGTO POAI 2020'!BH336</f>
        <v>2539730970</v>
      </c>
      <c r="F4" s="435">
        <f>E4/$E$7</f>
        <v>1.0609167587878008E-2</v>
      </c>
      <c r="G4" s="498">
        <f>'SGTO POAI 2020'!BI49+'SGTO POAI 2020'!BI125+'SGTO POAI 2020'!BI141+'SGTO POAI 2020'!BI258+'SGTO POAI 2020'!BI336</f>
        <v>2539730970</v>
      </c>
      <c r="H4" s="435">
        <f>G4/$G$7</f>
        <v>1.0656693008105176E-2</v>
      </c>
    </row>
    <row r="5" spans="1:8" ht="15.75" x14ac:dyDescent="0.25">
      <c r="A5" s="434">
        <v>3</v>
      </c>
      <c r="B5" s="436" t="s">
        <v>1512</v>
      </c>
      <c r="C5" s="499">
        <f>'SGTO POAI 2020'!BG54+'SGTO POAI 2020'!BG97+'SGTO POAI 2020'!BG172+'SGTO POAI 2020'!BG371+'SGTO POAI 2020'!BG383</f>
        <v>5864049290.6599998</v>
      </c>
      <c r="D5" s="435">
        <f>C5/$C$7</f>
        <v>2.2392120013515218E-2</v>
      </c>
      <c r="E5" s="499">
        <f>'SGTO POAI 2020'!BH54+'SGTO POAI 2020'!BH97+'SGTO POAI 2020'!BH172+'SGTO POAI 2020'!BH371+'SGTO POAI 2020'!BH383</f>
        <v>4459377780.8500004</v>
      </c>
      <c r="F5" s="435">
        <f>E5/$E$7</f>
        <v>1.8628069970220974E-2</v>
      </c>
      <c r="G5" s="499">
        <f>'SGTO POAI 2020'!BI54+'SGTO POAI 2020'!BI97+'SGTO POAI 2020'!BI172+'SGTO POAI 2020'!BI371+'SGTO POAI 2020'!BI383</f>
        <v>4378469713.8500004</v>
      </c>
      <c r="H5" s="435">
        <f>G5/$G$7</f>
        <v>1.8372027642670187E-2</v>
      </c>
    </row>
    <row r="6" spans="1:8" ht="15.75" x14ac:dyDescent="0.25">
      <c r="A6" s="434">
        <v>4</v>
      </c>
      <c r="B6" s="436" t="s">
        <v>1509</v>
      </c>
      <c r="C6" s="499">
        <f>'SGTO POAI 2020'!BG8+'SGTO POAI 2020'!BG15+'SGTO POAI 2020'!BG31+'SGTO POAI 2020'!BG70+'SGTO POAI 2020'!BG105+'SGTO POAI 2020'!BG188+'SGTO POAI 2020'!BG341+'SGTO POAI 2020'!BG379+'SGTO POAI 2020'!BG261</f>
        <v>4931381465.7399998</v>
      </c>
      <c r="D6" s="435">
        <f>C6/$C$7</f>
        <v>1.8830688512314057E-2</v>
      </c>
      <c r="E6" s="499">
        <f>'SGTO POAI 2020'!BH8+'SGTO POAI 2020'!BH15+'SGTO POAI 2020'!BH31+'SGTO POAI 2020'!BH70+'SGTO POAI 2020'!BH105+'SGTO POAI 2020'!BH188+'SGTO POAI 2020'!BH341+'SGTO POAI 2020'!BH379</f>
        <v>3805024144.3299999</v>
      </c>
      <c r="F6" s="435">
        <f>E6/$E$7</f>
        <v>1.589465155953864E-2</v>
      </c>
      <c r="G6" s="499">
        <f>'SGTO POAI 2020'!BI8+'SGTO POAI 2020'!BI15+'SGTO POAI 2020'!BI31+'SGTO POAI 2020'!BI70+'SGTO POAI 2020'!BI105+'SGTO POAI 2020'!BI188+'SGTO POAI 2020'!BI341+'SGTO POAI 2020'!BI379</f>
        <v>3724979130.3299999</v>
      </c>
      <c r="H6" s="435">
        <f>G6/$G$7</f>
        <v>1.5629985822287865E-2</v>
      </c>
    </row>
    <row r="7" spans="1:8" ht="15.75" x14ac:dyDescent="0.25">
      <c r="A7" s="437"/>
      <c r="B7" s="438" t="s">
        <v>1514</v>
      </c>
      <c r="C7" s="500">
        <f>SUM(C3:C6)</f>
        <v>261880040260.62</v>
      </c>
      <c r="D7" s="439">
        <f>SUM(D3:D6)</f>
        <v>1</v>
      </c>
      <c r="E7" s="500">
        <f>SUM(E3:E6)</f>
        <v>239390220671.21329</v>
      </c>
      <c r="F7" s="440">
        <f>E7/$E$7</f>
        <v>1</v>
      </c>
      <c r="G7" s="500">
        <f>SUM(G3:G6)</f>
        <v>238322617351.21329</v>
      </c>
      <c r="H7" s="440">
        <f>G7/$E$7</f>
        <v>0.99554032191872077</v>
      </c>
    </row>
    <row r="8" spans="1:8" ht="15.75" x14ac:dyDescent="0.25">
      <c r="B8" s="155"/>
      <c r="C8" s="433"/>
      <c r="D8" s="433"/>
      <c r="E8" s="433"/>
      <c r="F8" s="433"/>
      <c r="G8" s="433"/>
    </row>
    <row r="9" spans="1:8" ht="15.75" x14ac:dyDescent="0.25">
      <c r="B9" s="155"/>
      <c r="C9" s="433"/>
      <c r="D9" s="433"/>
    </row>
    <row r="12" spans="1:8" ht="48.75" customHeight="1" x14ac:dyDescent="0.25">
      <c r="A12" s="717" t="s">
        <v>1528</v>
      </c>
      <c r="B12" s="717"/>
      <c r="C12" s="717"/>
      <c r="D12" s="717"/>
      <c r="E12" s="717"/>
      <c r="F12" s="717"/>
      <c r="G12" s="717"/>
      <c r="H12" s="717"/>
    </row>
    <row r="13" spans="1:8" ht="15.75" x14ac:dyDescent="0.25">
      <c r="A13" s="437"/>
      <c r="B13" s="441" t="s">
        <v>1513</v>
      </c>
      <c r="C13" s="442" t="s">
        <v>39</v>
      </c>
      <c r="D13" s="443" t="s">
        <v>41</v>
      </c>
      <c r="E13" s="442" t="s">
        <v>43</v>
      </c>
      <c r="F13" s="443" t="s">
        <v>1516</v>
      </c>
      <c r="G13" s="442" t="s">
        <v>44</v>
      </c>
      <c r="H13" s="443" t="s">
        <v>41</v>
      </c>
    </row>
    <row r="14" spans="1:8" x14ac:dyDescent="0.25">
      <c r="A14" s="434">
        <v>1</v>
      </c>
      <c r="B14" s="340" t="s">
        <v>1510</v>
      </c>
      <c r="C14" s="498">
        <f>C3</f>
        <v>247237373639.39999</v>
      </c>
      <c r="D14" s="435">
        <f>C14/C14</f>
        <v>1</v>
      </c>
      <c r="E14" s="498">
        <f>E3</f>
        <v>228586087776.03329</v>
      </c>
      <c r="F14" s="509">
        <f>E14/C14</f>
        <v>0.9245612198964307</v>
      </c>
      <c r="G14" s="498">
        <f>G3</f>
        <v>227679437537.03329</v>
      </c>
      <c r="H14" s="509">
        <f>G14/C14</f>
        <v>0.9208940953607917</v>
      </c>
    </row>
    <row r="15" spans="1:8" ht="15.75" x14ac:dyDescent="0.25">
      <c r="A15" s="434">
        <v>2</v>
      </c>
      <c r="B15" s="436" t="s">
        <v>1511</v>
      </c>
      <c r="C15" s="498">
        <f>C4</f>
        <v>3847235864.8199997</v>
      </c>
      <c r="D15" s="435">
        <f>C15/C15</f>
        <v>1</v>
      </c>
      <c r="E15" s="498">
        <f>E4</f>
        <v>2539730970</v>
      </c>
      <c r="F15" s="509">
        <f>E15/C15</f>
        <v>0.66014433719124888</v>
      </c>
      <c r="G15" s="498">
        <f>G4</f>
        <v>2539730970</v>
      </c>
      <c r="H15" s="509">
        <f>G15/C15</f>
        <v>0.66014433719124888</v>
      </c>
    </row>
    <row r="16" spans="1:8" ht="15.75" x14ac:dyDescent="0.25">
      <c r="A16" s="434">
        <v>3</v>
      </c>
      <c r="B16" s="436" t="s">
        <v>1512</v>
      </c>
      <c r="C16" s="499">
        <f>C5</f>
        <v>5864049290.6599998</v>
      </c>
      <c r="D16" s="435">
        <f>C16/C16</f>
        <v>1</v>
      </c>
      <c r="E16" s="499">
        <f>E5</f>
        <v>4459377780.8500004</v>
      </c>
      <c r="F16" s="509">
        <f>E16/C16</f>
        <v>0.76046048725284443</v>
      </c>
      <c r="G16" s="499">
        <f>G5</f>
        <v>4378469713.8500004</v>
      </c>
      <c r="H16" s="509">
        <f>G16/C16</f>
        <v>0.74666318388964337</v>
      </c>
    </row>
    <row r="17" spans="1:8" ht="15.75" x14ac:dyDescent="0.25">
      <c r="A17" s="434">
        <v>4</v>
      </c>
      <c r="B17" s="436" t="s">
        <v>1509</v>
      </c>
      <c r="C17" s="499">
        <f>C6</f>
        <v>4931381465.7399998</v>
      </c>
      <c r="D17" s="435">
        <f>C17/C17</f>
        <v>1</v>
      </c>
      <c r="E17" s="499">
        <f>E6</f>
        <v>3805024144.3299999</v>
      </c>
      <c r="F17" s="509">
        <f>E17/C17</f>
        <v>0.77159395815651433</v>
      </c>
      <c r="G17" s="499">
        <f>G6</f>
        <v>3724979130.3299999</v>
      </c>
      <c r="H17" s="509">
        <f>G17/C17</f>
        <v>0.75536219540279104</v>
      </c>
    </row>
    <row r="18" spans="1:8" ht="15.75" x14ac:dyDescent="0.25">
      <c r="A18" s="437"/>
      <c r="B18" s="438" t="s">
        <v>1514</v>
      </c>
      <c r="C18" s="500">
        <f>SUM(C14:C17)</f>
        <v>261880040260.62</v>
      </c>
      <c r="D18" s="439">
        <f>C18/C18</f>
        <v>1</v>
      </c>
      <c r="E18" s="500">
        <f>SUM(E14:E17)</f>
        <v>239390220671.21329</v>
      </c>
      <c r="F18" s="510">
        <f>E18/C18</f>
        <v>0.91412167354554741</v>
      </c>
      <c r="G18" s="500">
        <f>SUM(G14:G17)</f>
        <v>238322617351.21329</v>
      </c>
      <c r="H18" s="510">
        <f>G18/E18</f>
        <v>0.99554032191872077</v>
      </c>
    </row>
  </sheetData>
  <sheetProtection password="A60F" sheet="1" objects="1" scenarios="1"/>
  <mergeCells count="2">
    <mergeCell ref="A1:H1"/>
    <mergeCell ref="A12:H1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SGTO POAI 2020</vt:lpstr>
      <vt:lpstr>PROYECTOS</vt:lpstr>
      <vt:lpstr>UNIDADES</vt:lpstr>
      <vt:lpstr>PROGRAMAS </vt:lpstr>
      <vt:lpstr>LINEAS ESTRATEGICAS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AUXPLANEACION03</dc:creator>
  <cp:lastModifiedBy>AUXPLANEACION03</cp:lastModifiedBy>
  <dcterms:created xsi:type="dcterms:W3CDTF">2020-07-04T13:49:41Z</dcterms:created>
  <dcterms:modified xsi:type="dcterms:W3CDTF">2021-02-12T14:54:49Z</dcterms:modified>
</cp:coreProperties>
</file>