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howInkAnnotation="0" codeName="ThisWorkbook"/>
  <mc:AlternateContent xmlns:mc="http://schemas.openxmlformats.org/markup-compatibility/2006">
    <mc:Choice Requires="x15">
      <x15ac:absPath xmlns:x15ac="http://schemas.microsoft.com/office/spreadsheetml/2010/11/ac" url="C:\Users\Fanny Villamil H\Desktop\INSTRUMENTOS PUBLICAR\"/>
    </mc:Choice>
  </mc:AlternateContent>
  <xr:revisionPtr revIDLastSave="0" documentId="13_ncr:1_{7E7E8F93-D0F8-4497-AF99-44F340EFC270}" xr6:coauthVersionLast="45" xr6:coauthVersionMax="45" xr10:uidLastSave="{00000000-0000-0000-0000-000000000000}"/>
  <bookViews>
    <workbookView xWindow="0" yWindow="0" windowWidth="20490" windowHeight="10920" xr2:uid="{00000000-000D-0000-FFFF-FFFF00000000}"/>
  </bookViews>
  <sheets>
    <sheet name="SGTO POAI SEPT 30" sheetId="8" r:id="rId1"/>
    <sheet name="LISTA PROYECTOS" sheetId="7" r:id="rId2"/>
    <sheet name="UNIDADES" sheetId="5" r:id="rId3"/>
  </sheet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CODIGO_DIVIPOLA">#REF!</definedName>
    <definedName name="DboREGISTRO_LEY_617">#REF!</definedName>
    <definedName name="ññ">#REF!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7" i="7" l="1"/>
  <c r="H167" i="7"/>
  <c r="G168" i="7"/>
  <c r="H168" i="7"/>
  <c r="G169" i="7"/>
  <c r="H169" i="7"/>
  <c r="G170" i="7"/>
  <c r="H170" i="7"/>
  <c r="G171" i="7"/>
  <c r="H171" i="7"/>
  <c r="G172" i="7"/>
  <c r="H172" i="7"/>
  <c r="G173" i="7"/>
  <c r="H173" i="7"/>
  <c r="G174" i="7"/>
  <c r="H174" i="7"/>
  <c r="G175" i="7"/>
  <c r="H175" i="7"/>
  <c r="G177" i="7"/>
  <c r="H177" i="7"/>
  <c r="G178" i="7"/>
  <c r="H178" i="7"/>
  <c r="G179" i="7"/>
  <c r="H179" i="7"/>
  <c r="G180" i="7"/>
  <c r="H180" i="7"/>
  <c r="G181" i="7"/>
  <c r="H181" i="7"/>
  <c r="G183" i="7"/>
  <c r="H183" i="7"/>
  <c r="G67" i="7"/>
  <c r="H67" i="7"/>
  <c r="G68" i="7"/>
  <c r="H68" i="7"/>
  <c r="G69" i="7"/>
  <c r="H69" i="7"/>
  <c r="G70" i="7"/>
  <c r="H70" i="7"/>
  <c r="G71" i="7"/>
  <c r="H71" i="7"/>
  <c r="G72" i="7"/>
  <c r="H72" i="7"/>
  <c r="G73" i="7"/>
  <c r="H73" i="7"/>
  <c r="G74" i="7"/>
  <c r="H74" i="7"/>
  <c r="G75" i="7"/>
  <c r="H75" i="7"/>
  <c r="G76" i="7"/>
  <c r="H76" i="7"/>
  <c r="G77" i="7"/>
  <c r="H77" i="7"/>
  <c r="G78" i="7"/>
  <c r="H78" i="7"/>
  <c r="G79" i="7"/>
  <c r="H79" i="7"/>
  <c r="G80" i="7"/>
  <c r="H80" i="7"/>
  <c r="G81" i="7"/>
  <c r="H81" i="7"/>
  <c r="G82" i="7"/>
  <c r="H82" i="7"/>
  <c r="G83" i="7"/>
  <c r="H83" i="7"/>
  <c r="G84" i="7"/>
  <c r="H84" i="7"/>
  <c r="G85" i="7"/>
  <c r="H85" i="7"/>
  <c r="G86" i="7"/>
  <c r="H86" i="7"/>
  <c r="G87" i="7"/>
  <c r="H87" i="7"/>
  <c r="BB374" i="8"/>
  <c r="BC374" i="8"/>
  <c r="AY374" i="8"/>
  <c r="AZ374" i="8"/>
  <c r="AY361" i="8"/>
  <c r="AZ361" i="8"/>
  <c r="AZ360" i="8"/>
  <c r="AZ359" i="8"/>
  <c r="BB361" i="8"/>
  <c r="BB360" i="8"/>
  <c r="BB359" i="8"/>
  <c r="BC361" i="8"/>
  <c r="AY354" i="8"/>
  <c r="AY353" i="8"/>
  <c r="AZ354" i="8"/>
  <c r="AZ353" i="8"/>
  <c r="AY351" i="8"/>
  <c r="AZ351" i="8"/>
  <c r="AY349" i="8"/>
  <c r="AZ349" i="8"/>
  <c r="AZ348" i="8"/>
  <c r="AY346" i="8"/>
  <c r="AZ346" i="8"/>
  <c r="AY343" i="8"/>
  <c r="AZ343" i="8"/>
  <c r="U233" i="8"/>
  <c r="V233" i="8"/>
  <c r="AY272" i="8"/>
  <c r="AY271" i="8"/>
  <c r="AZ272" i="8"/>
  <c r="AZ271" i="8"/>
  <c r="AY269" i="8"/>
  <c r="AY268" i="8"/>
  <c r="AZ269" i="8"/>
  <c r="AZ268" i="8"/>
  <c r="AY265" i="8"/>
  <c r="AZ265" i="8"/>
  <c r="AY255" i="8"/>
  <c r="AZ255" i="8"/>
  <c r="AY247" i="8"/>
  <c r="AZ247" i="8"/>
  <c r="AY238" i="8"/>
  <c r="AZ238" i="8"/>
  <c r="AY236" i="8"/>
  <c r="AZ236" i="8"/>
  <c r="AY233" i="8"/>
  <c r="AZ233" i="8"/>
  <c r="BA233" i="8"/>
  <c r="BD233" i="8"/>
  <c r="AX269" i="8"/>
  <c r="AX268" i="8"/>
  <c r="AX272" i="8"/>
  <c r="AX271" i="8"/>
  <c r="BF205" i="8"/>
  <c r="BE205" i="8"/>
  <c r="BD205" i="8"/>
  <c r="BC205" i="8"/>
  <c r="BC227" i="8"/>
  <c r="BC204" i="8"/>
  <c r="BC203" i="8"/>
  <c r="BB205" i="8"/>
  <c r="BA205" i="8"/>
  <c r="AZ205" i="8"/>
  <c r="AY205" i="8"/>
  <c r="AY227" i="8"/>
  <c r="AY204" i="8"/>
  <c r="AY203" i="8"/>
  <c r="AW205" i="8"/>
  <c r="AV205" i="8"/>
  <c r="AU205" i="8"/>
  <c r="AT205" i="8"/>
  <c r="AS205" i="8"/>
  <c r="AQ205" i="8"/>
  <c r="AP205" i="8"/>
  <c r="AN205" i="8"/>
  <c r="AM205" i="8"/>
  <c r="AK205" i="8"/>
  <c r="AJ205" i="8"/>
  <c r="AI205" i="8"/>
  <c r="AH205" i="8"/>
  <c r="AG205" i="8"/>
  <c r="AF205" i="8"/>
  <c r="AE205" i="8"/>
  <c r="AD205" i="8"/>
  <c r="AB205" i="8"/>
  <c r="AA205" i="8"/>
  <c r="Z205" i="8"/>
  <c r="Y205" i="8"/>
  <c r="X205" i="8"/>
  <c r="W205" i="8"/>
  <c r="V205" i="8"/>
  <c r="U205" i="8"/>
  <c r="T205" i="8"/>
  <c r="T227" i="8"/>
  <c r="T204" i="8"/>
  <c r="T203" i="8"/>
  <c r="BF227" i="8"/>
  <c r="BF204" i="8"/>
  <c r="BF203" i="8"/>
  <c r="BE227" i="8"/>
  <c r="BD227" i="8"/>
  <c r="BD204" i="8"/>
  <c r="BD203" i="8"/>
  <c r="BB227" i="8"/>
  <c r="BB204" i="8"/>
  <c r="BB203" i="8"/>
  <c r="BA227" i="8"/>
  <c r="AZ227" i="8"/>
  <c r="AZ204" i="8"/>
  <c r="AZ203" i="8"/>
  <c r="AW227" i="8"/>
  <c r="AV227" i="8"/>
  <c r="AU227" i="8"/>
  <c r="AU204" i="8"/>
  <c r="AU203" i="8"/>
  <c r="AT227" i="8"/>
  <c r="AS227" i="8"/>
  <c r="AR227" i="8"/>
  <c r="AQ227" i="8"/>
  <c r="AP227" i="8"/>
  <c r="AP204" i="8"/>
  <c r="AP203" i="8"/>
  <c r="AO227" i="8"/>
  <c r="AN227" i="8"/>
  <c r="AN204" i="8"/>
  <c r="AN203" i="8"/>
  <c r="AM227" i="8"/>
  <c r="AL227" i="8"/>
  <c r="AK227" i="8"/>
  <c r="AJ227" i="8"/>
  <c r="AJ204" i="8"/>
  <c r="AJ203" i="8"/>
  <c r="AI227" i="8"/>
  <c r="AH227" i="8"/>
  <c r="AG227" i="8"/>
  <c r="AF227" i="8"/>
  <c r="AF204" i="8"/>
  <c r="AF203" i="8"/>
  <c r="AE227" i="8"/>
  <c r="AE204" i="8"/>
  <c r="AE203" i="8"/>
  <c r="AD227" i="8"/>
  <c r="AC227" i="8"/>
  <c r="AB227" i="8"/>
  <c r="AA227" i="8"/>
  <c r="Z227" i="8"/>
  <c r="Y227" i="8"/>
  <c r="X227" i="8"/>
  <c r="W227" i="8"/>
  <c r="V227" i="8"/>
  <c r="U227" i="8"/>
  <c r="BF76" i="8"/>
  <c r="BE76" i="8"/>
  <c r="BD76" i="8"/>
  <c r="BC76" i="8"/>
  <c r="BB76" i="8"/>
  <c r="BA76" i="8"/>
  <c r="AZ76" i="8"/>
  <c r="AY76" i="8"/>
  <c r="AX76" i="8"/>
  <c r="AW76" i="8"/>
  <c r="AV76" i="8"/>
  <c r="AU76" i="8"/>
  <c r="AT76" i="8"/>
  <c r="AS76" i="8"/>
  <c r="AR76" i="8"/>
  <c r="AQ76" i="8"/>
  <c r="AP76" i="8"/>
  <c r="AO76" i="8"/>
  <c r="AN76" i="8"/>
  <c r="AM76" i="8"/>
  <c r="AL76" i="8"/>
  <c r="AK76" i="8"/>
  <c r="AJ76" i="8"/>
  <c r="AI76" i="8"/>
  <c r="AH76" i="8"/>
  <c r="AG76" i="8"/>
  <c r="AF76" i="8"/>
  <c r="AE76" i="8"/>
  <c r="AD76" i="8"/>
  <c r="AC76" i="8"/>
  <c r="AB76" i="8"/>
  <c r="AA76" i="8"/>
  <c r="Z76" i="8"/>
  <c r="Y76" i="8"/>
  <c r="X76" i="8"/>
  <c r="W76" i="8"/>
  <c r="V76" i="8"/>
  <c r="U76" i="8"/>
  <c r="T76" i="8"/>
  <c r="BF74" i="8"/>
  <c r="BE74" i="8"/>
  <c r="BE73" i="8"/>
  <c r="BD74" i="8"/>
  <c r="BC74" i="8"/>
  <c r="BB74" i="8"/>
  <c r="BA74" i="8"/>
  <c r="BA73" i="8"/>
  <c r="AZ74" i="8"/>
  <c r="AY74" i="8"/>
  <c r="AX74" i="8"/>
  <c r="AW74" i="8"/>
  <c r="AW73" i="8"/>
  <c r="AV74" i="8"/>
  <c r="AU74" i="8"/>
  <c r="AT74" i="8"/>
  <c r="AS74" i="8"/>
  <c r="AS73" i="8"/>
  <c r="AR74" i="8"/>
  <c r="AQ74" i="8"/>
  <c r="AP74" i="8"/>
  <c r="AO74" i="8"/>
  <c r="AO73" i="8"/>
  <c r="AN74" i="8"/>
  <c r="AM74" i="8"/>
  <c r="AL74" i="8"/>
  <c r="AK74" i="8"/>
  <c r="AK73" i="8"/>
  <c r="AJ74" i="8"/>
  <c r="AI74" i="8"/>
  <c r="AH74" i="8"/>
  <c r="AG74" i="8"/>
  <c r="AG73" i="8"/>
  <c r="AF74" i="8"/>
  <c r="AE74" i="8"/>
  <c r="AD74" i="8"/>
  <c r="AC74" i="8"/>
  <c r="AC73" i="8"/>
  <c r="AB74" i="8"/>
  <c r="AA74" i="8"/>
  <c r="Z74" i="8"/>
  <c r="Y74" i="8"/>
  <c r="Y73" i="8"/>
  <c r="X74" i="8"/>
  <c r="W74" i="8"/>
  <c r="V74" i="8"/>
  <c r="U74" i="8"/>
  <c r="U73" i="8"/>
  <c r="T74" i="8"/>
  <c r="BD73" i="8"/>
  <c r="AV73" i="8"/>
  <c r="AN73" i="8"/>
  <c r="AF73" i="8"/>
  <c r="X73" i="8"/>
  <c r="BF67" i="8"/>
  <c r="BE67" i="8"/>
  <c r="BD67" i="8"/>
  <c r="BC67" i="8"/>
  <c r="BB67" i="8"/>
  <c r="BA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BF65" i="8"/>
  <c r="BE65" i="8"/>
  <c r="BD65" i="8"/>
  <c r="BC65" i="8"/>
  <c r="BB65" i="8"/>
  <c r="BA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BF63" i="8"/>
  <c r="BE63" i="8"/>
  <c r="BD63" i="8"/>
  <c r="BC63" i="8"/>
  <c r="BB63" i="8"/>
  <c r="BA63" i="8"/>
  <c r="AZ63" i="8"/>
  <c r="AY63" i="8"/>
  <c r="AX63" i="8"/>
  <c r="AW63" i="8"/>
  <c r="AV63" i="8"/>
  <c r="AU63" i="8"/>
  <c r="AT63" i="8"/>
  <c r="AS63" i="8"/>
  <c r="AR63" i="8"/>
  <c r="AQ63" i="8"/>
  <c r="AP63" i="8"/>
  <c r="AO63" i="8"/>
  <c r="AN63" i="8"/>
  <c r="AM63" i="8"/>
  <c r="AL63" i="8"/>
  <c r="AK63" i="8"/>
  <c r="AJ63" i="8"/>
  <c r="AI63" i="8"/>
  <c r="AH63" i="8"/>
  <c r="AG63" i="8"/>
  <c r="AF63" i="8"/>
  <c r="AE63" i="8"/>
  <c r="AD63" i="8"/>
  <c r="AC63" i="8"/>
  <c r="AB63" i="8"/>
  <c r="AA63" i="8"/>
  <c r="Z63" i="8"/>
  <c r="Y63" i="8"/>
  <c r="X63" i="8"/>
  <c r="W63" i="8"/>
  <c r="V63" i="8"/>
  <c r="U63" i="8"/>
  <c r="T63" i="8"/>
  <c r="BF61" i="8"/>
  <c r="BE61" i="8"/>
  <c r="BD61" i="8"/>
  <c r="BC61" i="8"/>
  <c r="BB61" i="8"/>
  <c r="BA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W59" i="8"/>
  <c r="W58" i="8"/>
  <c r="V61" i="8"/>
  <c r="U61" i="8"/>
  <c r="T61" i="8"/>
  <c r="BF59" i="8"/>
  <c r="BE59" i="8"/>
  <c r="BD59" i="8"/>
  <c r="BC59" i="8"/>
  <c r="BC58" i="8"/>
  <c r="BB59" i="8"/>
  <c r="BA59" i="8"/>
  <c r="AZ59" i="8"/>
  <c r="AY59" i="8"/>
  <c r="AW59" i="8"/>
  <c r="AV59" i="8"/>
  <c r="AU59" i="8"/>
  <c r="AT59" i="8"/>
  <c r="AS59" i="8"/>
  <c r="AR59" i="8"/>
  <c r="AQ59" i="8"/>
  <c r="AP59" i="8"/>
  <c r="AO59" i="8"/>
  <c r="AN59" i="8"/>
  <c r="AM59" i="8"/>
  <c r="AL59" i="8"/>
  <c r="AK59" i="8"/>
  <c r="AJ59" i="8"/>
  <c r="AI59" i="8"/>
  <c r="AH59" i="8"/>
  <c r="AG59" i="8"/>
  <c r="AF59" i="8"/>
  <c r="AE59" i="8"/>
  <c r="AD59" i="8"/>
  <c r="AC59" i="8"/>
  <c r="AB59" i="8"/>
  <c r="AA59" i="8"/>
  <c r="Y59" i="8"/>
  <c r="X59" i="8"/>
  <c r="V59" i="8"/>
  <c r="U59" i="8"/>
  <c r="T59" i="8"/>
  <c r="BF56" i="8"/>
  <c r="BE56" i="8"/>
  <c r="BD56" i="8"/>
  <c r="BC56" i="8"/>
  <c r="BC54" i="8"/>
  <c r="BC53" i="8"/>
  <c r="BB56" i="8"/>
  <c r="BA56" i="8"/>
  <c r="AZ56" i="8"/>
  <c r="AY56" i="8"/>
  <c r="AY54" i="8"/>
  <c r="AY53"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BF54" i="8"/>
  <c r="BE54" i="8"/>
  <c r="BD54" i="8"/>
  <c r="BB54" i="8"/>
  <c r="BA54" i="8"/>
  <c r="AZ54" i="8"/>
  <c r="AW54" i="8"/>
  <c r="AV54" i="8"/>
  <c r="AU54" i="8"/>
  <c r="AT54" i="8"/>
  <c r="AS54" i="8"/>
  <c r="AR54" i="8"/>
  <c r="AQ54" i="8"/>
  <c r="AQ53" i="8"/>
  <c r="AP54" i="8"/>
  <c r="AO54" i="8"/>
  <c r="AN54" i="8"/>
  <c r="AM54" i="8"/>
  <c r="AL54" i="8"/>
  <c r="AK54" i="8"/>
  <c r="AJ54" i="8"/>
  <c r="AI54" i="8"/>
  <c r="AH54" i="8"/>
  <c r="AG54" i="8"/>
  <c r="AF54" i="8"/>
  <c r="AF53" i="8"/>
  <c r="AE54" i="8"/>
  <c r="AD54" i="8"/>
  <c r="AC54" i="8"/>
  <c r="AB54" i="8"/>
  <c r="AA54" i="8"/>
  <c r="Z54" i="8"/>
  <c r="Y54" i="8"/>
  <c r="X54" i="8"/>
  <c r="X53" i="8"/>
  <c r="W54" i="8"/>
  <c r="W53" i="8"/>
  <c r="V54" i="8"/>
  <c r="U54" i="8"/>
  <c r="T54" i="8"/>
  <c r="BD53" i="8"/>
  <c r="AV53" i="8"/>
  <c r="AN53" i="8"/>
  <c r="BF51" i="8"/>
  <c r="BE51" i="8"/>
  <c r="BD51" i="8"/>
  <c r="BC51" i="8"/>
  <c r="BB51" i="8"/>
  <c r="BA51" i="8"/>
  <c r="AZ51" i="8"/>
  <c r="AY51" i="8"/>
  <c r="AX51"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BF49" i="8"/>
  <c r="BE49" i="8"/>
  <c r="BD49" i="8"/>
  <c r="BC49" i="8"/>
  <c r="BB49" i="8"/>
  <c r="BA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BF47" i="8"/>
  <c r="BE47" i="8"/>
  <c r="BD47" i="8"/>
  <c r="BC47" i="8"/>
  <c r="BB47" i="8"/>
  <c r="BA47" i="8"/>
  <c r="AZ47" i="8"/>
  <c r="AY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BF45" i="8"/>
  <c r="BE45" i="8"/>
  <c r="BD45" i="8"/>
  <c r="BC45" i="8"/>
  <c r="BB45" i="8"/>
  <c r="BA45" i="8"/>
  <c r="AZ45" i="8"/>
  <c r="AY45" i="8"/>
  <c r="AX45"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BF43" i="8"/>
  <c r="BE43" i="8"/>
  <c r="BD43" i="8"/>
  <c r="BC43" i="8"/>
  <c r="BB43" i="8"/>
  <c r="BA43" i="8"/>
  <c r="AZ43" i="8"/>
  <c r="AY43" i="8"/>
  <c r="AX43" i="8"/>
  <c r="AW43" i="8"/>
  <c r="AV43" i="8"/>
  <c r="AU43" i="8"/>
  <c r="AT43" i="8"/>
  <c r="AS43" i="8"/>
  <c r="AR43" i="8"/>
  <c r="AQ43" i="8"/>
  <c r="AP43" i="8"/>
  <c r="AO43" i="8"/>
  <c r="AN43" i="8"/>
  <c r="AM43" i="8"/>
  <c r="AM41" i="8"/>
  <c r="AM40" i="8"/>
  <c r="AL43" i="8"/>
  <c r="AK43" i="8"/>
  <c r="AJ43" i="8"/>
  <c r="AI43" i="8"/>
  <c r="AH43" i="8"/>
  <c r="AG43" i="8"/>
  <c r="AF43" i="8"/>
  <c r="AE43" i="8"/>
  <c r="AD43" i="8"/>
  <c r="AC43" i="8"/>
  <c r="AB43" i="8"/>
  <c r="AA43" i="8"/>
  <c r="Z43" i="8"/>
  <c r="Y43" i="8"/>
  <c r="X43" i="8"/>
  <c r="W43" i="8"/>
  <c r="V43" i="8"/>
  <c r="U43" i="8"/>
  <c r="BF41" i="8"/>
  <c r="BE41" i="8"/>
  <c r="BD41" i="8"/>
  <c r="BC41" i="8"/>
  <c r="BB41" i="8"/>
  <c r="BA41" i="8"/>
  <c r="AZ41" i="8"/>
  <c r="AY41" i="8"/>
  <c r="AX41" i="8"/>
  <c r="AW41" i="8"/>
  <c r="AV41" i="8"/>
  <c r="AU41" i="8"/>
  <c r="AT41" i="8"/>
  <c r="AS41" i="8"/>
  <c r="AR41" i="8"/>
  <c r="AQ41" i="8"/>
  <c r="AP41" i="8"/>
  <c r="AO41" i="8"/>
  <c r="AN41" i="8"/>
  <c r="AL41" i="8"/>
  <c r="AK41" i="8"/>
  <c r="AJ41" i="8"/>
  <c r="AI41" i="8"/>
  <c r="AH41" i="8"/>
  <c r="AG41" i="8"/>
  <c r="AF41" i="8"/>
  <c r="AE41" i="8"/>
  <c r="AD41" i="8"/>
  <c r="AC41" i="8"/>
  <c r="AB41" i="8"/>
  <c r="AA41" i="8"/>
  <c r="Z41" i="8"/>
  <c r="Y41" i="8"/>
  <c r="X41" i="8"/>
  <c r="W41" i="8"/>
  <c r="V41" i="8"/>
  <c r="U41" i="8"/>
  <c r="T41" i="8"/>
  <c r="BB399" i="8"/>
  <c r="BB398" i="8"/>
  <c r="BB397" i="8"/>
  <c r="BC399" i="8"/>
  <c r="BC398" i="8"/>
  <c r="BC397" i="8"/>
  <c r="V40" i="8"/>
  <c r="AD40" i="8"/>
  <c r="AL40" i="8"/>
  <c r="AP40" i="8"/>
  <c r="BB40" i="8"/>
  <c r="AE53" i="8"/>
  <c r="AM53" i="8"/>
  <c r="AM58" i="8"/>
  <c r="AM73" i="8"/>
  <c r="AM39" i="8"/>
  <c r="V204" i="8"/>
  <c r="V203" i="8"/>
  <c r="Z204" i="8"/>
  <c r="Z203" i="8"/>
  <c r="AD204" i="8"/>
  <c r="AD203" i="8"/>
  <c r="AH204" i="8"/>
  <c r="AH203" i="8"/>
  <c r="AT204" i="8"/>
  <c r="AT203" i="8"/>
  <c r="W204" i="8"/>
  <c r="W203" i="8"/>
  <c r="AA204" i="8"/>
  <c r="AA203" i="8"/>
  <c r="BC360" i="8"/>
  <c r="BC359" i="8"/>
  <c r="AY58" i="8"/>
  <c r="X204" i="8"/>
  <c r="X203" i="8"/>
  <c r="AB204" i="8"/>
  <c r="AB203" i="8"/>
  <c r="AV204" i="8"/>
  <c r="AV203" i="8"/>
  <c r="AM204" i="8"/>
  <c r="AM203" i="8"/>
  <c r="AQ204" i="8"/>
  <c r="AQ203" i="8"/>
  <c r="Z40" i="8"/>
  <c r="AH40" i="8"/>
  <c r="AT40" i="8"/>
  <c r="BF40" i="8"/>
  <c r="AA53" i="8"/>
  <c r="AI53" i="8"/>
  <c r="AU53" i="8"/>
  <c r="AI58" i="8"/>
  <c r="AI204" i="8"/>
  <c r="AI203" i="8"/>
  <c r="AY342" i="8"/>
  <c r="AA58" i="8"/>
  <c r="T53" i="8"/>
  <c r="AB53" i="8"/>
  <c r="AJ53" i="8"/>
  <c r="AR53" i="8"/>
  <c r="AZ53" i="8"/>
  <c r="V73" i="8"/>
  <c r="Z73" i="8"/>
  <c r="AD73" i="8"/>
  <c r="AH73" i="8"/>
  <c r="AL73" i="8"/>
  <c r="AP73" i="8"/>
  <c r="AT73" i="8"/>
  <c r="AX73" i="8"/>
  <c r="BB73" i="8"/>
  <c r="BF73" i="8"/>
  <c r="AQ58" i="8"/>
  <c r="T73" i="8"/>
  <c r="AB73" i="8"/>
  <c r="AJ73" i="8"/>
  <c r="AR73" i="8"/>
  <c r="AZ73" i="8"/>
  <c r="U204" i="8"/>
  <c r="U203" i="8"/>
  <c r="Y204" i="8"/>
  <c r="Y203" i="8"/>
  <c r="AG204" i="8"/>
  <c r="AG203" i="8"/>
  <c r="AK204" i="8"/>
  <c r="AK203" i="8"/>
  <c r="AS204" i="8"/>
  <c r="AS203" i="8"/>
  <c r="AW204" i="8"/>
  <c r="AW203" i="8"/>
  <c r="BA204" i="8"/>
  <c r="BA203" i="8"/>
  <c r="BE204" i="8"/>
  <c r="BE203" i="8"/>
  <c r="AY360" i="8"/>
  <c r="AY359" i="8"/>
  <c r="AE58" i="8"/>
  <c r="AU58" i="8"/>
  <c r="AY348" i="8"/>
  <c r="AY341" i="8"/>
  <c r="AZ342" i="8"/>
  <c r="AZ341" i="8"/>
  <c r="AZ232" i="8"/>
  <c r="AZ231" i="8"/>
  <c r="AY232" i="8"/>
  <c r="AY231" i="8"/>
  <c r="W73" i="8"/>
  <c r="AA73" i="8"/>
  <c r="AE73" i="8"/>
  <c r="AI73" i="8"/>
  <c r="AQ73" i="8"/>
  <c r="AU73" i="8"/>
  <c r="AY73" i="8"/>
  <c r="BC73" i="8"/>
  <c r="AB58" i="8"/>
  <c r="AJ58" i="8"/>
  <c r="AN58" i="8"/>
  <c r="AV58" i="8"/>
  <c r="BD58" i="8"/>
  <c r="AK58" i="8"/>
  <c r="V58" i="8"/>
  <c r="AD58" i="8"/>
  <c r="AH58" i="8"/>
  <c r="AL58" i="8"/>
  <c r="AP58" i="8"/>
  <c r="AT58" i="8"/>
  <c r="BB58" i="8"/>
  <c r="BF58" i="8"/>
  <c r="X58" i="8"/>
  <c r="AF58" i="8"/>
  <c r="AR58" i="8"/>
  <c r="AZ58" i="8"/>
  <c r="U58" i="8"/>
  <c r="Y58" i="8"/>
  <c r="AC58" i="8"/>
  <c r="AG58" i="8"/>
  <c r="AO58" i="8"/>
  <c r="AS58" i="8"/>
  <c r="AW58" i="8"/>
  <c r="BA58" i="8"/>
  <c r="BE58" i="8"/>
  <c r="U53" i="8"/>
  <c r="Y53" i="8"/>
  <c r="AC53" i="8"/>
  <c r="AG53" i="8"/>
  <c r="AK53" i="8"/>
  <c r="AO53" i="8"/>
  <c r="AS53" i="8"/>
  <c r="AW53" i="8"/>
  <c r="BA53" i="8"/>
  <c r="BE53" i="8"/>
  <c r="V53" i="8"/>
  <c r="Z53" i="8"/>
  <c r="AD53" i="8"/>
  <c r="AH53" i="8"/>
  <c r="AL53" i="8"/>
  <c r="AP53" i="8"/>
  <c r="AT53" i="8"/>
  <c r="BB53" i="8"/>
  <c r="BF53" i="8"/>
  <c r="W40" i="8"/>
  <c r="W39" i="8"/>
  <c r="AI40" i="8"/>
  <c r="AI39" i="8"/>
  <c r="AY40" i="8"/>
  <c r="BC40" i="8"/>
  <c r="BC39" i="8"/>
  <c r="AA40" i="8"/>
  <c r="AE40" i="8"/>
  <c r="AQ40" i="8"/>
  <c r="AU40" i="8"/>
  <c r="X40" i="8"/>
  <c r="AB40" i="8"/>
  <c r="AF40" i="8"/>
  <c r="AJ40" i="8"/>
  <c r="AN40" i="8"/>
  <c r="AN39" i="8"/>
  <c r="AR40" i="8"/>
  <c r="AR39" i="8"/>
  <c r="AV40" i="8"/>
  <c r="AZ40" i="8"/>
  <c r="BD40" i="8"/>
  <c r="U40" i="8"/>
  <c r="Y40" i="8"/>
  <c r="AC40" i="8"/>
  <c r="AG40" i="8"/>
  <c r="AG39" i="8"/>
  <c r="AK40" i="8"/>
  <c r="AO40" i="8"/>
  <c r="AS40" i="8"/>
  <c r="AW40" i="8"/>
  <c r="BA40" i="8"/>
  <c r="BE40" i="8"/>
  <c r="AL39" i="8"/>
  <c r="AP39" i="8"/>
  <c r="AQ39" i="8"/>
  <c r="AY39" i="8"/>
  <c r="BB39" i="8"/>
  <c r="BF39" i="8"/>
  <c r="AD39" i="8"/>
  <c r="AW39" i="8"/>
  <c r="V39" i="8"/>
  <c r="AZ39" i="8"/>
  <c r="AA39" i="8"/>
  <c r="AC39" i="8"/>
  <c r="AU39" i="8"/>
  <c r="AH39" i="8"/>
  <c r="AE39" i="8"/>
  <c r="BD39" i="8"/>
  <c r="X39" i="8"/>
  <c r="BA39" i="8"/>
  <c r="AK39" i="8"/>
  <c r="U39" i="8"/>
  <c r="AB39" i="8"/>
  <c r="AS39" i="8"/>
  <c r="AJ39" i="8"/>
  <c r="BE39" i="8"/>
  <c r="AO39" i="8"/>
  <c r="Y39" i="8"/>
  <c r="AV39" i="8"/>
  <c r="AF39" i="8"/>
  <c r="AT39" i="8"/>
  <c r="X404" i="8"/>
  <c r="Y404" i="8"/>
  <c r="AA404" i="8"/>
  <c r="AB404" i="8"/>
  <c r="AD404" i="8"/>
  <c r="AE404" i="8"/>
  <c r="AG404" i="8"/>
  <c r="AH404" i="8"/>
  <c r="AJ404" i="8"/>
  <c r="AK404" i="8"/>
  <c r="AM404" i="8"/>
  <c r="AN404" i="8"/>
  <c r="AP404" i="8"/>
  <c r="AQ404" i="8"/>
  <c r="AS404" i="8"/>
  <c r="AT404" i="8"/>
  <c r="AV404" i="8"/>
  <c r="AW404" i="8"/>
  <c r="AY404" i="8"/>
  <c r="AZ404" i="8"/>
  <c r="BE404" i="8"/>
  <c r="BF404" i="8"/>
  <c r="BF268" i="8"/>
  <c r="AX103" i="8"/>
  <c r="BB388" i="8"/>
  <c r="BC388" i="8"/>
  <c r="BB386" i="8"/>
  <c r="BC386" i="8"/>
  <c r="BB383" i="8"/>
  <c r="BC383" i="8"/>
  <c r="BB380" i="8"/>
  <c r="BC380" i="8"/>
  <c r="BB381" i="8"/>
  <c r="BC381" i="8"/>
  <c r="U380" i="8"/>
  <c r="V380" i="8"/>
  <c r="U381" i="8"/>
  <c r="V381" i="8"/>
  <c r="U383" i="8"/>
  <c r="V383" i="8"/>
  <c r="U386" i="8"/>
  <c r="V386" i="8"/>
  <c r="U388" i="8"/>
  <c r="V388" i="8"/>
  <c r="BB394" i="8"/>
  <c r="BB393" i="8"/>
  <c r="BC394" i="8"/>
  <c r="BC393" i="8"/>
  <c r="U385" i="8"/>
  <c r="U379" i="8"/>
  <c r="U404" i="8"/>
  <c r="BC385" i="8"/>
  <c r="BC379" i="8"/>
  <c r="BC404" i="8"/>
  <c r="BB385" i="8"/>
  <c r="BB379" i="8"/>
  <c r="BB404" i="8"/>
  <c r="V385" i="8"/>
  <c r="V379" i="8"/>
  <c r="V404" i="8"/>
  <c r="U354" i="8"/>
  <c r="V354" i="8"/>
  <c r="W354" i="8"/>
  <c r="X354" i="8"/>
  <c r="Y354" i="8"/>
  <c r="Z354" i="8"/>
  <c r="AA354" i="8"/>
  <c r="AB354" i="8"/>
  <c r="AC354" i="8"/>
  <c r="AD354" i="8"/>
  <c r="AE354" i="8"/>
  <c r="AF354" i="8"/>
  <c r="AG354" i="8"/>
  <c r="AH354" i="8"/>
  <c r="AI354" i="8"/>
  <c r="AJ354" i="8"/>
  <c r="AK354" i="8"/>
  <c r="AL354" i="8"/>
  <c r="AM354" i="8"/>
  <c r="AN354" i="8"/>
  <c r="AO354" i="8"/>
  <c r="AP354" i="8"/>
  <c r="AQ354" i="8"/>
  <c r="AR354" i="8"/>
  <c r="AS354" i="8"/>
  <c r="AT354" i="8"/>
  <c r="AU354" i="8"/>
  <c r="AV354" i="8"/>
  <c r="AW354" i="8"/>
  <c r="BA354" i="8"/>
  <c r="BB354" i="8"/>
  <c r="BC354" i="8"/>
  <c r="BD354" i="8"/>
  <c r="BE354" i="8"/>
  <c r="BF354" i="8"/>
  <c r="T354" i="8"/>
  <c r="AI282" i="8"/>
  <c r="BB268" i="8"/>
  <c r="BC268" i="8"/>
  <c r="BE268" i="8"/>
  <c r="BI172" i="8"/>
  <c r="BH172" i="8"/>
  <c r="BG172" i="8"/>
  <c r="AY170" i="8"/>
  <c r="AX171" i="8"/>
  <c r="AX170" i="8"/>
  <c r="AX108" i="8"/>
  <c r="AY115" i="8"/>
  <c r="BI212" i="8"/>
  <c r="BH212" i="8"/>
  <c r="BH100" i="8"/>
  <c r="BI90" i="8"/>
  <c r="E175" i="7"/>
  <c r="D175" i="7"/>
  <c r="G47" i="7"/>
  <c r="G49" i="7"/>
  <c r="G52" i="7"/>
  <c r="U277" i="8"/>
  <c r="U276" i="8"/>
  <c r="U275" i="8"/>
  <c r="V277" i="8"/>
  <c r="V276" i="8"/>
  <c r="V275" i="8"/>
  <c r="W277" i="8"/>
  <c r="X277" i="8"/>
  <c r="X276" i="8"/>
  <c r="X275" i="8"/>
  <c r="Y277" i="8"/>
  <c r="Y276" i="8"/>
  <c r="Y275" i="8"/>
  <c r="Z277" i="8"/>
  <c r="AA277" i="8"/>
  <c r="AA276" i="8"/>
  <c r="AA275" i="8"/>
  <c r="AB277" i="8"/>
  <c r="AB276" i="8"/>
  <c r="AB275" i="8"/>
  <c r="AC277" i="8"/>
  <c r="AD277" i="8"/>
  <c r="AD276" i="8"/>
  <c r="AD275" i="8"/>
  <c r="AE277" i="8"/>
  <c r="AE276" i="8"/>
  <c r="AE275" i="8"/>
  <c r="AJ277" i="8"/>
  <c r="AK277" i="8"/>
  <c r="AL277" i="8"/>
  <c r="AM277" i="8"/>
  <c r="AM276" i="8"/>
  <c r="AM275" i="8"/>
  <c r="AN277" i="8"/>
  <c r="AN276" i="8"/>
  <c r="AN275" i="8"/>
  <c r="AO277" i="8"/>
  <c r="AP277" i="8"/>
  <c r="AP276" i="8"/>
  <c r="AP275" i="8"/>
  <c r="AQ277" i="8"/>
  <c r="AQ276" i="8"/>
  <c r="AQ275" i="8"/>
  <c r="AR277" i="8"/>
  <c r="AS277" i="8"/>
  <c r="AS276" i="8"/>
  <c r="AS275" i="8"/>
  <c r="AT277" i="8"/>
  <c r="AT276" i="8"/>
  <c r="AT275" i="8"/>
  <c r="AU277" i="8"/>
  <c r="AV277" i="8"/>
  <c r="AV276" i="8"/>
  <c r="AV275" i="8"/>
  <c r="AW277" i="8"/>
  <c r="AW276" i="8"/>
  <c r="AW275" i="8"/>
  <c r="AY277" i="8"/>
  <c r="AZ277" i="8"/>
  <c r="BA277" i="8"/>
  <c r="BB277" i="8"/>
  <c r="BB276" i="8"/>
  <c r="BB275" i="8"/>
  <c r="BC277" i="8"/>
  <c r="BC276" i="8"/>
  <c r="BC275" i="8"/>
  <c r="BD277" i="8"/>
  <c r="BE277" i="8"/>
  <c r="BF277" i="8"/>
  <c r="AG301" i="8"/>
  <c r="AH301" i="8"/>
  <c r="AY301" i="8"/>
  <c r="AZ301" i="8"/>
  <c r="BF301" i="8"/>
  <c r="BE332" i="8"/>
  <c r="BF332" i="8"/>
  <c r="AY332" i="8"/>
  <c r="AZ332" i="8"/>
  <c r="AJ332" i="8"/>
  <c r="AK332" i="8"/>
  <c r="AG332" i="8"/>
  <c r="AH332" i="8"/>
  <c r="BE324" i="8"/>
  <c r="BE301" i="8"/>
  <c r="AH277" i="8"/>
  <c r="AG277" i="8"/>
  <c r="AK276" i="8"/>
  <c r="AK275" i="8"/>
  <c r="BE276" i="8"/>
  <c r="BE275" i="8"/>
  <c r="BF276" i="8"/>
  <c r="BF275" i="8"/>
  <c r="AJ276" i="8"/>
  <c r="AJ275" i="8"/>
  <c r="AY276" i="8"/>
  <c r="AY275" i="8"/>
  <c r="AH276" i="8"/>
  <c r="AH275" i="8"/>
  <c r="AZ276" i="8"/>
  <c r="AZ275" i="8"/>
  <c r="AG276" i="8"/>
  <c r="AG275" i="8"/>
  <c r="U255" i="8"/>
  <c r="U232" i="8"/>
  <c r="U231" i="8"/>
  <c r="V255" i="8"/>
  <c r="V232" i="8"/>
  <c r="V231" i="8"/>
  <c r="BI193" i="8"/>
  <c r="BH193" i="8"/>
  <c r="BG193" i="8"/>
  <c r="F87" i="7"/>
  <c r="BI191" i="8"/>
  <c r="BH191" i="8"/>
  <c r="BG191" i="8"/>
  <c r="F86" i="7"/>
  <c r="BI189" i="8"/>
  <c r="BH189" i="8"/>
  <c r="BG189" i="8"/>
  <c r="F85" i="7"/>
  <c r="BI187" i="8"/>
  <c r="BH187" i="8"/>
  <c r="BG187" i="8"/>
  <c r="F84" i="7"/>
  <c r="BI186" i="8"/>
  <c r="BH186" i="8"/>
  <c r="BG186" i="8"/>
  <c r="F83" i="7"/>
  <c r="BI185" i="8"/>
  <c r="BH185" i="8"/>
  <c r="BI184" i="8"/>
  <c r="BH184" i="8"/>
  <c r="BI183" i="8"/>
  <c r="BH183" i="8"/>
  <c r="BG183" i="8"/>
  <c r="F81" i="7"/>
  <c r="BI181" i="8"/>
  <c r="BH181" i="8"/>
  <c r="BG181" i="8"/>
  <c r="F80" i="7"/>
  <c r="BI178" i="8"/>
  <c r="BH178" i="8"/>
  <c r="BI177" i="8"/>
  <c r="BH177" i="8"/>
  <c r="BG177" i="8"/>
  <c r="BI175" i="8"/>
  <c r="BH175" i="8"/>
  <c r="BI174" i="8"/>
  <c r="BH174" i="8"/>
  <c r="BI171" i="8"/>
  <c r="BH171" i="8"/>
  <c r="BH170" i="8"/>
  <c r="BI169" i="8"/>
  <c r="BH169" i="8"/>
  <c r="BG169" i="8"/>
  <c r="F76" i="7"/>
  <c r="BI167" i="8"/>
  <c r="BH167" i="8"/>
  <c r="BI165" i="8"/>
  <c r="BH165" i="8"/>
  <c r="BG165" i="8"/>
  <c r="BI164" i="8"/>
  <c r="BH164" i="8"/>
  <c r="BI162" i="8"/>
  <c r="BH162" i="8"/>
  <c r="BI160" i="8"/>
  <c r="BH160" i="8"/>
  <c r="BG160" i="8"/>
  <c r="F72" i="7"/>
  <c r="BI159" i="8"/>
  <c r="BH159" i="8"/>
  <c r="BG159" i="8"/>
  <c r="BI158" i="8"/>
  <c r="BH158" i="8"/>
  <c r="BG158" i="8"/>
  <c r="BI157" i="8"/>
  <c r="BH157" i="8"/>
  <c r="BI156" i="8"/>
  <c r="BI155" i="8"/>
  <c r="BI154" i="8"/>
  <c r="BH154" i="8"/>
  <c r="BG154" i="8"/>
  <c r="BI153" i="8"/>
  <c r="BH153" i="8"/>
  <c r="BI152" i="8"/>
  <c r="BG152" i="8"/>
  <c r="F68" i="7"/>
  <c r="BI151" i="8"/>
  <c r="BH151" i="8"/>
  <c r="BI150" i="8"/>
  <c r="BH150" i="8"/>
  <c r="BA149" i="8"/>
  <c r="BB149" i="8"/>
  <c r="BB148" i="8"/>
  <c r="BB147" i="8"/>
  <c r="BC149" i="8"/>
  <c r="BC148" i="8"/>
  <c r="BC147" i="8"/>
  <c r="BD149" i="8"/>
  <c r="BE149" i="8"/>
  <c r="BE148" i="8"/>
  <c r="BE147" i="8"/>
  <c r="BF149" i="8"/>
  <c r="BF148" i="8"/>
  <c r="BF147" i="8"/>
  <c r="AY182" i="8"/>
  <c r="AZ182" i="8"/>
  <c r="AY180" i="8"/>
  <c r="AZ180" i="8"/>
  <c r="AZ149" i="8"/>
  <c r="AY161" i="8"/>
  <c r="AZ161" i="8"/>
  <c r="AY163" i="8"/>
  <c r="AZ163" i="8"/>
  <c r="AY166" i="8"/>
  <c r="AZ166" i="8"/>
  <c r="AY168" i="8"/>
  <c r="AZ168" i="8"/>
  <c r="AZ170" i="8"/>
  <c r="AY173" i="8"/>
  <c r="AZ173" i="8"/>
  <c r="AY176" i="8"/>
  <c r="AZ176" i="8"/>
  <c r="AY188" i="8"/>
  <c r="AZ188" i="8"/>
  <c r="AY190" i="8"/>
  <c r="AZ190" i="8"/>
  <c r="AY192" i="8"/>
  <c r="AZ192" i="8"/>
  <c r="AY152" i="8"/>
  <c r="BH152" i="8"/>
  <c r="BH192" i="8"/>
  <c r="BH176" i="8"/>
  <c r="BI170" i="8"/>
  <c r="BH163" i="8"/>
  <c r="BH182" i="8"/>
  <c r="AZ179" i="8"/>
  <c r="BI149" i="8"/>
  <c r="BH166" i="8"/>
  <c r="BH190" i="8"/>
  <c r="BH161" i="8"/>
  <c r="BH168" i="8"/>
  <c r="BH173" i="8"/>
  <c r="BH180" i="8"/>
  <c r="BH188" i="8"/>
  <c r="AY149" i="8"/>
  <c r="AY148" i="8"/>
  <c r="BH149" i="8"/>
  <c r="AZ148" i="8"/>
  <c r="AY179" i="8"/>
  <c r="BH179" i="8"/>
  <c r="AZ147" i="8"/>
  <c r="BH148" i="8"/>
  <c r="AY147" i="8"/>
  <c r="BH147" i="8"/>
  <c r="G10" i="5"/>
  <c r="AY200" i="8"/>
  <c r="AZ200" i="8"/>
  <c r="BA200" i="8"/>
  <c r="AY197" i="8"/>
  <c r="AZ197" i="8"/>
  <c r="AZ196" i="8"/>
  <c r="AZ195" i="8"/>
  <c r="AY196" i="8"/>
  <c r="AY195" i="8"/>
  <c r="BI403" i="8"/>
  <c r="BH403" i="8"/>
  <c r="BG403" i="8"/>
  <c r="BI402" i="8"/>
  <c r="BH402" i="8"/>
  <c r="BG402" i="8"/>
  <c r="BI401" i="8"/>
  <c r="BH401" i="8"/>
  <c r="BG401" i="8"/>
  <c r="BI400" i="8"/>
  <c r="BH400" i="8"/>
  <c r="BG400" i="8"/>
  <c r="BD399" i="8"/>
  <c r="BD398" i="8"/>
  <c r="BD397" i="8"/>
  <c r="BA399" i="8"/>
  <c r="BA398" i="8"/>
  <c r="AX399" i="8"/>
  <c r="AX398" i="8"/>
  <c r="AX397" i="8"/>
  <c r="AU399" i="8"/>
  <c r="AU398" i="8"/>
  <c r="AU397" i="8"/>
  <c r="AR399" i="8"/>
  <c r="AR398" i="8"/>
  <c r="AR397" i="8"/>
  <c r="AO399" i="8"/>
  <c r="AO398" i="8"/>
  <c r="AO397" i="8"/>
  <c r="AL399" i="8"/>
  <c r="AL398" i="8"/>
  <c r="AI399" i="8"/>
  <c r="AI398" i="8"/>
  <c r="AI397" i="8"/>
  <c r="AF399" i="8"/>
  <c r="AF398" i="8"/>
  <c r="AF397" i="8"/>
  <c r="AC399" i="8"/>
  <c r="AC398" i="8"/>
  <c r="AC397" i="8"/>
  <c r="Z399" i="8"/>
  <c r="Z398" i="8"/>
  <c r="Z397" i="8"/>
  <c r="W399" i="8"/>
  <c r="W398" i="8"/>
  <c r="W397" i="8"/>
  <c r="T399" i="8"/>
  <c r="T398" i="8"/>
  <c r="T397" i="8"/>
  <c r="BA397" i="8"/>
  <c r="AL397" i="8"/>
  <c r="BI395" i="8"/>
  <c r="BH395" i="8"/>
  <c r="BA395" i="8"/>
  <c r="BD394" i="8"/>
  <c r="AX394" i="8"/>
  <c r="AU394" i="8"/>
  <c r="AU393" i="8"/>
  <c r="AR394" i="8"/>
  <c r="AR393" i="8"/>
  <c r="AO394" i="8"/>
  <c r="AO393" i="8"/>
  <c r="AL394" i="8"/>
  <c r="AL393" i="8"/>
  <c r="AI394" i="8"/>
  <c r="AI393" i="8"/>
  <c r="AF394" i="8"/>
  <c r="AF393" i="8"/>
  <c r="AC394" i="8"/>
  <c r="AC393" i="8"/>
  <c r="Z394" i="8"/>
  <c r="Z393" i="8"/>
  <c r="W394" i="8"/>
  <c r="W393" i="8"/>
  <c r="T394" i="8"/>
  <c r="T393" i="8"/>
  <c r="BD393" i="8"/>
  <c r="AX393" i="8"/>
  <c r="BI392" i="8"/>
  <c r="BH392" i="8"/>
  <c r="BG392" i="8"/>
  <c r="BI391" i="8"/>
  <c r="BH391" i="8"/>
  <c r="BG391" i="8"/>
  <c r="BI390" i="8"/>
  <c r="BH390" i="8"/>
  <c r="BG390" i="8"/>
  <c r="BI389" i="8"/>
  <c r="BH389" i="8"/>
  <c r="BG389" i="8"/>
  <c r="BD388" i="8"/>
  <c r="BA388" i="8"/>
  <c r="AX388" i="8"/>
  <c r="AU388" i="8"/>
  <c r="AR388" i="8"/>
  <c r="AO388" i="8"/>
  <c r="AL388" i="8"/>
  <c r="AI388" i="8"/>
  <c r="AF388" i="8"/>
  <c r="AC388" i="8"/>
  <c r="Z388" i="8"/>
  <c r="W388" i="8"/>
  <c r="T388" i="8"/>
  <c r="BI387" i="8"/>
  <c r="BH387" i="8"/>
  <c r="BG387" i="8"/>
  <c r="BD386" i="8"/>
  <c r="BD385" i="8"/>
  <c r="BA386" i="8"/>
  <c r="BA385" i="8"/>
  <c r="AX386" i="8"/>
  <c r="AU386" i="8"/>
  <c r="AR386" i="8"/>
  <c r="AR385" i="8"/>
  <c r="AO386" i="8"/>
  <c r="AO385" i="8"/>
  <c r="AL386" i="8"/>
  <c r="AI386" i="8"/>
  <c r="AF386" i="8"/>
  <c r="AF385" i="8"/>
  <c r="AC386" i="8"/>
  <c r="AC385" i="8"/>
  <c r="Z386" i="8"/>
  <c r="W386" i="8"/>
  <c r="T386" i="8"/>
  <c r="T385" i="8"/>
  <c r="BI384" i="8"/>
  <c r="BH384" i="8"/>
  <c r="BA384" i="8"/>
  <c r="T384" i="8"/>
  <c r="BD383" i="8"/>
  <c r="AX383" i="8"/>
  <c r="AU383" i="8"/>
  <c r="AR383" i="8"/>
  <c r="AO383" i="8"/>
  <c r="AL383" i="8"/>
  <c r="AI383" i="8"/>
  <c r="AF383" i="8"/>
  <c r="AC383" i="8"/>
  <c r="Z383" i="8"/>
  <c r="W383" i="8"/>
  <c r="BI382" i="8"/>
  <c r="BH382" i="8"/>
  <c r="T382" i="8"/>
  <c r="BG382" i="8"/>
  <c r="BD381" i="8"/>
  <c r="BA381" i="8"/>
  <c r="AX381" i="8"/>
  <c r="AU381" i="8"/>
  <c r="AR381" i="8"/>
  <c r="AO381" i="8"/>
  <c r="AL381" i="8"/>
  <c r="AI381" i="8"/>
  <c r="AF381" i="8"/>
  <c r="AC381" i="8"/>
  <c r="Z381" i="8"/>
  <c r="W381" i="8"/>
  <c r="BD380" i="8"/>
  <c r="AX380" i="8"/>
  <c r="AU380" i="8"/>
  <c r="AR380" i="8"/>
  <c r="AO380" i="8"/>
  <c r="AL380" i="8"/>
  <c r="AI380" i="8"/>
  <c r="AF380" i="8"/>
  <c r="AC380" i="8"/>
  <c r="Z380" i="8"/>
  <c r="W380" i="8"/>
  <c r="BI377" i="8"/>
  <c r="BH377" i="8"/>
  <c r="BG377" i="8"/>
  <c r="F175" i="7"/>
  <c r="BI376" i="8"/>
  <c r="BH376" i="8"/>
  <c r="BA376" i="8"/>
  <c r="BG376" i="8"/>
  <c r="F174" i="7"/>
  <c r="BI375" i="8"/>
  <c r="BH375" i="8"/>
  <c r="BG375" i="8"/>
  <c r="F173" i="7"/>
  <c r="BD374" i="8"/>
  <c r="AX374" i="8"/>
  <c r="AU374" i="8"/>
  <c r="AR374" i="8"/>
  <c r="AO374" i="8"/>
  <c r="AL374" i="8"/>
  <c r="AL361" i="8"/>
  <c r="AL360" i="8"/>
  <c r="AL359" i="8"/>
  <c r="AI374" i="8"/>
  <c r="AF374" i="8"/>
  <c r="AC374" i="8"/>
  <c r="Z374" i="8"/>
  <c r="W374" i="8"/>
  <c r="T374" i="8"/>
  <c r="BI373" i="8"/>
  <c r="BH373" i="8"/>
  <c r="BG373" i="8"/>
  <c r="BI372" i="8"/>
  <c r="BH372" i="8"/>
  <c r="BI371" i="8"/>
  <c r="BH371" i="8"/>
  <c r="BG371" i="8"/>
  <c r="BI370" i="8"/>
  <c r="BH370" i="8"/>
  <c r="BG370" i="8"/>
  <c r="BI369" i="8"/>
  <c r="BH369" i="8"/>
  <c r="BA369" i="8"/>
  <c r="BG369" i="8"/>
  <c r="F171" i="7"/>
  <c r="BI368" i="8"/>
  <c r="BH368" i="8"/>
  <c r="BG368" i="8"/>
  <c r="BI367" i="8"/>
  <c r="BH367" i="8"/>
  <c r="BG367" i="8"/>
  <c r="BI366" i="8"/>
  <c r="BH366" i="8"/>
  <c r="BA366" i="8"/>
  <c r="BG366" i="8"/>
  <c r="BI365" i="8"/>
  <c r="BH365" i="8"/>
  <c r="BA365" i="8"/>
  <c r="BG365" i="8"/>
  <c r="BI364" i="8"/>
  <c r="BH364" i="8"/>
  <c r="BA364" i="8"/>
  <c r="BG364" i="8"/>
  <c r="F168" i="7"/>
  <c r="BI363" i="8"/>
  <c r="BH363" i="8"/>
  <c r="BG363" i="8"/>
  <c r="BI362" i="8"/>
  <c r="BH362" i="8"/>
  <c r="BA362" i="8"/>
  <c r="BG362" i="8"/>
  <c r="BD361" i="8"/>
  <c r="AU361" i="8"/>
  <c r="AU360" i="8"/>
  <c r="AU359" i="8"/>
  <c r="AR361" i="8"/>
  <c r="AO361" i="8"/>
  <c r="AI361" i="8"/>
  <c r="AF361" i="8"/>
  <c r="AC361" i="8"/>
  <c r="Z361" i="8"/>
  <c r="W361" i="8"/>
  <c r="W360" i="8"/>
  <c r="W359" i="8"/>
  <c r="T361" i="8"/>
  <c r="AI360" i="8"/>
  <c r="AI359" i="8"/>
  <c r="BI356" i="8"/>
  <c r="BH356" i="8"/>
  <c r="AX356" i="8"/>
  <c r="BI355" i="8"/>
  <c r="BH355" i="8"/>
  <c r="BD353" i="8"/>
  <c r="BA353" i="8"/>
  <c r="AU353" i="8"/>
  <c r="AR353" i="8"/>
  <c r="AI353" i="8"/>
  <c r="AF353" i="8"/>
  <c r="AC353" i="8"/>
  <c r="Z353" i="8"/>
  <c r="W353" i="8"/>
  <c r="T353" i="8"/>
  <c r="AO353" i="8"/>
  <c r="AL353" i="8"/>
  <c r="BI352" i="8"/>
  <c r="BH352" i="8"/>
  <c r="G162" i="7"/>
  <c r="BG352" i="8"/>
  <c r="F162" i="7"/>
  <c r="BD351" i="8"/>
  <c r="BA351" i="8"/>
  <c r="AX351" i="8"/>
  <c r="AU351" i="8"/>
  <c r="AR351" i="8"/>
  <c r="AO351" i="8"/>
  <c r="AL351" i="8"/>
  <c r="AI351" i="8"/>
  <c r="AF351" i="8"/>
  <c r="AC351" i="8"/>
  <c r="Z351" i="8"/>
  <c r="W351" i="8"/>
  <c r="T351" i="8"/>
  <c r="BI350" i="8"/>
  <c r="H161" i="7"/>
  <c r="BH350" i="8"/>
  <c r="G161" i="7"/>
  <c r="AX350" i="8"/>
  <c r="AX349" i="8"/>
  <c r="BD349" i="8"/>
  <c r="BA349" i="8"/>
  <c r="BA348" i="8"/>
  <c r="AU349" i="8"/>
  <c r="AR349" i="8"/>
  <c r="AO349" i="8"/>
  <c r="AL349" i="8"/>
  <c r="AI349" i="8"/>
  <c r="AF349" i="8"/>
  <c r="AC349" i="8"/>
  <c r="Z349" i="8"/>
  <c r="W349" i="8"/>
  <c r="T349" i="8"/>
  <c r="BI347" i="8"/>
  <c r="BH347" i="8"/>
  <c r="BG347" i="8"/>
  <c r="F160" i="7"/>
  <c r="BD346" i="8"/>
  <c r="BA346" i="8"/>
  <c r="AX346" i="8"/>
  <c r="AU346" i="8"/>
  <c r="AR346" i="8"/>
  <c r="AO346" i="8"/>
  <c r="AL346" i="8"/>
  <c r="AI346" i="8"/>
  <c r="AF346" i="8"/>
  <c r="AC346" i="8"/>
  <c r="Z346" i="8"/>
  <c r="W346" i="8"/>
  <c r="T346" i="8"/>
  <c r="BI345" i="8"/>
  <c r="BH345" i="8"/>
  <c r="AX345" i="8"/>
  <c r="BG345" i="8"/>
  <c r="BI344" i="8"/>
  <c r="BH344" i="8"/>
  <c r="AX344" i="8"/>
  <c r="BG344" i="8"/>
  <c r="BD343" i="8"/>
  <c r="BA343" i="8"/>
  <c r="AU343" i="8"/>
  <c r="AR343" i="8"/>
  <c r="AO343" i="8"/>
  <c r="AL343" i="8"/>
  <c r="AI343" i="8"/>
  <c r="AF343" i="8"/>
  <c r="AC343" i="8"/>
  <c r="Z343" i="8"/>
  <c r="W343" i="8"/>
  <c r="T343" i="8"/>
  <c r="BI339" i="8"/>
  <c r="H157" i="7"/>
  <c r="BH339" i="8"/>
  <c r="G157" i="7"/>
  <c r="AX339" i="8"/>
  <c r="AX332" i="8"/>
  <c r="AF339" i="8"/>
  <c r="BI338" i="8"/>
  <c r="BH338" i="8"/>
  <c r="BD338" i="8"/>
  <c r="AI338" i="8"/>
  <c r="AF338" i="8"/>
  <c r="BI337" i="8"/>
  <c r="BH337" i="8"/>
  <c r="AF337" i="8"/>
  <c r="BG337" i="8"/>
  <c r="BI335" i="8"/>
  <c r="BH335" i="8"/>
  <c r="BD335" i="8"/>
  <c r="BG335" i="8"/>
  <c r="BI334" i="8"/>
  <c r="BH334" i="8"/>
  <c r="AI334" i="8"/>
  <c r="BG334" i="8"/>
  <c r="BI333" i="8"/>
  <c r="BH333" i="8"/>
  <c r="BG333" i="8"/>
  <c r="BA332" i="8"/>
  <c r="AU332" i="8"/>
  <c r="AR332" i="8"/>
  <c r="AO332" i="8"/>
  <c r="AL332" i="8"/>
  <c r="AC332" i="8"/>
  <c r="Z332" i="8"/>
  <c r="W332" i="8"/>
  <c r="T332" i="8"/>
  <c r="BI331" i="8"/>
  <c r="H154" i="7"/>
  <c r="BH331" i="8"/>
  <c r="G154" i="7"/>
  <c r="AF331" i="8"/>
  <c r="BG331" i="8"/>
  <c r="F154" i="7"/>
  <c r="BI330" i="8"/>
  <c r="H153" i="7"/>
  <c r="BH330" i="8"/>
  <c r="G153" i="7"/>
  <c r="AX330" i="8"/>
  <c r="BG330" i="8"/>
  <c r="F153" i="7"/>
  <c r="BI329" i="8"/>
  <c r="H152" i="7"/>
  <c r="BH329" i="8"/>
  <c r="G152" i="7"/>
  <c r="AF329" i="8"/>
  <c r="BG329" i="8"/>
  <c r="F152" i="7"/>
  <c r="BI328" i="8"/>
  <c r="H151" i="7"/>
  <c r="BH328" i="8"/>
  <c r="G151" i="7"/>
  <c r="AF328" i="8"/>
  <c r="BG328" i="8"/>
  <c r="F151" i="7"/>
  <c r="BI327" i="8"/>
  <c r="BH327" i="8"/>
  <c r="AF327" i="8"/>
  <c r="BG327" i="8"/>
  <c r="BI326" i="8"/>
  <c r="BH326" i="8"/>
  <c r="AF326" i="8"/>
  <c r="BG326" i="8"/>
  <c r="BI325" i="8"/>
  <c r="H149" i="7"/>
  <c r="BH325" i="8"/>
  <c r="G149" i="7"/>
  <c r="BG325" i="8"/>
  <c r="F149" i="7"/>
  <c r="BI324" i="8"/>
  <c r="BH324" i="8"/>
  <c r="BD324" i="8"/>
  <c r="BG324" i="8"/>
  <c r="BI323" i="8"/>
  <c r="BH323" i="8"/>
  <c r="AF323" i="8"/>
  <c r="BG323" i="8"/>
  <c r="BI322" i="8"/>
  <c r="BH322" i="8"/>
  <c r="BD322" i="8"/>
  <c r="BI321" i="8"/>
  <c r="BH321" i="8"/>
  <c r="BD321" i="8"/>
  <c r="AX321" i="8"/>
  <c r="AF321" i="8"/>
  <c r="BI320" i="8"/>
  <c r="BH320" i="8"/>
  <c r="AX320" i="8"/>
  <c r="BI319" i="8"/>
  <c r="BH319" i="8"/>
  <c r="AF319" i="8"/>
  <c r="BG319" i="8"/>
  <c r="BI318" i="8"/>
  <c r="BH318" i="8"/>
  <c r="BG318" i="8"/>
  <c r="BI317" i="8"/>
  <c r="BH317" i="8"/>
  <c r="AF317" i="8"/>
  <c r="BG317" i="8"/>
  <c r="BI316" i="8"/>
  <c r="BH316" i="8"/>
  <c r="BG316" i="8"/>
  <c r="BI315" i="8"/>
  <c r="BH315" i="8"/>
  <c r="AF315" i="8"/>
  <c r="BG315" i="8"/>
  <c r="BI314" i="8"/>
  <c r="BH314" i="8"/>
  <c r="AF314" i="8"/>
  <c r="BG314" i="8"/>
  <c r="BI313" i="8"/>
  <c r="BH313" i="8"/>
  <c r="AF313" i="8"/>
  <c r="BG313" i="8"/>
  <c r="BI312" i="8"/>
  <c r="BH312" i="8"/>
  <c r="AF312" i="8"/>
  <c r="BG312" i="8"/>
  <c r="BI311" i="8"/>
  <c r="BH311" i="8"/>
  <c r="AF311" i="8"/>
  <c r="BG311" i="8"/>
  <c r="BI310" i="8"/>
  <c r="BH310" i="8"/>
  <c r="AF310" i="8"/>
  <c r="BG310" i="8"/>
  <c r="BI309" i="8"/>
  <c r="BH309" i="8"/>
  <c r="AF309" i="8"/>
  <c r="BG309" i="8"/>
  <c r="BI308" i="8"/>
  <c r="BH308" i="8"/>
  <c r="BG308" i="8"/>
  <c r="BI307" i="8"/>
  <c r="BH307" i="8"/>
  <c r="AF307" i="8"/>
  <c r="BG307" i="8"/>
  <c r="BI306" i="8"/>
  <c r="BH306" i="8"/>
  <c r="AF306" i="8"/>
  <c r="BG306" i="8"/>
  <c r="BI305" i="8"/>
  <c r="BH305" i="8"/>
  <c r="AF305" i="8"/>
  <c r="BG305" i="8"/>
  <c r="BI304" i="8"/>
  <c r="BH304" i="8"/>
  <c r="AF304" i="8"/>
  <c r="BG304" i="8"/>
  <c r="BI303" i="8"/>
  <c r="BH303" i="8"/>
  <c r="AF303" i="8"/>
  <c r="BG303" i="8"/>
  <c r="BI302" i="8"/>
  <c r="BH302" i="8"/>
  <c r="BG302" i="8"/>
  <c r="BA301" i="8"/>
  <c r="AU301" i="8"/>
  <c r="AR301" i="8"/>
  <c r="AO301" i="8"/>
  <c r="AL301" i="8"/>
  <c r="AI301" i="8"/>
  <c r="AC301" i="8"/>
  <c r="Z301" i="8"/>
  <c r="W301" i="8"/>
  <c r="T301" i="8"/>
  <c r="BI300" i="8"/>
  <c r="BH300" i="8"/>
  <c r="AI300" i="8"/>
  <c r="BG300" i="8"/>
  <c r="BI299" i="8"/>
  <c r="BH299" i="8"/>
  <c r="AI299" i="8"/>
  <c r="BG299" i="8"/>
  <c r="BI298" i="8"/>
  <c r="BH298" i="8"/>
  <c r="AI298" i="8"/>
  <c r="BI297" i="8"/>
  <c r="BH297" i="8"/>
  <c r="BG297" i="8"/>
  <c r="BI296" i="8"/>
  <c r="BH296" i="8"/>
  <c r="BG296" i="8"/>
  <c r="BI295" i="8"/>
  <c r="BH295" i="8"/>
  <c r="BG295" i="8"/>
  <c r="BI294" i="8"/>
  <c r="BH294" i="8"/>
  <c r="BG294" i="8"/>
  <c r="BI293" i="8"/>
  <c r="BH293" i="8"/>
  <c r="AX293" i="8"/>
  <c r="BG293" i="8"/>
  <c r="BI292" i="8"/>
  <c r="H138" i="7"/>
  <c r="BH292" i="8"/>
  <c r="G138" i="7"/>
  <c r="BG292" i="8"/>
  <c r="F138" i="7"/>
  <c r="BI291" i="8"/>
  <c r="H137" i="7"/>
  <c r="BH291" i="8"/>
  <c r="G137" i="7"/>
  <c r="AF291" i="8"/>
  <c r="BG291" i="8"/>
  <c r="F137" i="7"/>
  <c r="BI290" i="8"/>
  <c r="BH290" i="8"/>
  <c r="BG290" i="8"/>
  <c r="BI289" i="8"/>
  <c r="BH289" i="8"/>
  <c r="AF289" i="8"/>
  <c r="BG289" i="8"/>
  <c r="BI288" i="8"/>
  <c r="BH288" i="8"/>
  <c r="AX288" i="8"/>
  <c r="AF288" i="8"/>
  <c r="BI287" i="8"/>
  <c r="BH287" i="8"/>
  <c r="AF287" i="8"/>
  <c r="BG287" i="8"/>
  <c r="BI286" i="8"/>
  <c r="BH286" i="8"/>
  <c r="BG286" i="8"/>
  <c r="BI285" i="8"/>
  <c r="BH285" i="8"/>
  <c r="BG285" i="8"/>
  <c r="BI284" i="8"/>
  <c r="BH284" i="8"/>
  <c r="AF284" i="8"/>
  <c r="BG284" i="8"/>
  <c r="BI283" i="8"/>
  <c r="BH283" i="8"/>
  <c r="AF283" i="8"/>
  <c r="BG283" i="8"/>
  <c r="BI282" i="8"/>
  <c r="BH282" i="8"/>
  <c r="BI281" i="8"/>
  <c r="BH281" i="8"/>
  <c r="AF281" i="8"/>
  <c r="BG281" i="8"/>
  <c r="BI280" i="8"/>
  <c r="BH280" i="8"/>
  <c r="AF280" i="8"/>
  <c r="BG280" i="8"/>
  <c r="BI279" i="8"/>
  <c r="BH279" i="8"/>
  <c r="AX279" i="8"/>
  <c r="AF279" i="8"/>
  <c r="BI278" i="8"/>
  <c r="H133" i="7"/>
  <c r="BH278" i="8"/>
  <c r="G133" i="7"/>
  <c r="AF278" i="8"/>
  <c r="T277" i="8"/>
  <c r="BI273" i="8"/>
  <c r="BH273" i="8"/>
  <c r="G131" i="7"/>
  <c r="BG273" i="8"/>
  <c r="BD272" i="8"/>
  <c r="BD271" i="8"/>
  <c r="BA272" i="8"/>
  <c r="BA271" i="8"/>
  <c r="AU272" i="8"/>
  <c r="AU271" i="8"/>
  <c r="AR272" i="8"/>
  <c r="AR271" i="8"/>
  <c r="AO272" i="8"/>
  <c r="AO271" i="8"/>
  <c r="AL272" i="8"/>
  <c r="AL271" i="8"/>
  <c r="AI272" i="8"/>
  <c r="AI271" i="8"/>
  <c r="AF272" i="8"/>
  <c r="AF271" i="8"/>
  <c r="AC272" i="8"/>
  <c r="AC271" i="8"/>
  <c r="Z272" i="8"/>
  <c r="Z271" i="8"/>
  <c r="W272" i="8"/>
  <c r="W271" i="8"/>
  <c r="T272" i="8"/>
  <c r="T271" i="8"/>
  <c r="BI270" i="8"/>
  <c r="H130" i="7"/>
  <c r="BH270" i="8"/>
  <c r="BG270" i="8"/>
  <c r="BG269" i="8"/>
  <c r="BG268" i="8"/>
  <c r="BD269" i="8"/>
  <c r="BD268" i="8"/>
  <c r="BA269" i="8"/>
  <c r="BA268" i="8"/>
  <c r="AU269" i="8"/>
  <c r="AU268" i="8"/>
  <c r="AR269" i="8"/>
  <c r="AR268" i="8"/>
  <c r="AO269" i="8"/>
  <c r="AO268" i="8"/>
  <c r="AL269" i="8"/>
  <c r="AL268" i="8"/>
  <c r="AI269" i="8"/>
  <c r="AI268" i="8"/>
  <c r="AF269" i="8"/>
  <c r="AF268" i="8"/>
  <c r="AC269" i="8"/>
  <c r="AC268" i="8"/>
  <c r="Z269" i="8"/>
  <c r="Z268" i="8"/>
  <c r="W269" i="8"/>
  <c r="W268" i="8"/>
  <c r="T269" i="8"/>
  <c r="T268" i="8"/>
  <c r="BI267" i="8"/>
  <c r="H129" i="7"/>
  <c r="BH267" i="8"/>
  <c r="G129" i="7"/>
  <c r="BG267" i="8"/>
  <c r="F129" i="7"/>
  <c r="BI266" i="8"/>
  <c r="H128" i="7"/>
  <c r="BH266" i="8"/>
  <c r="G128" i="7"/>
  <c r="AX266" i="8"/>
  <c r="AX265" i="8"/>
  <c r="BD265" i="8"/>
  <c r="BA265" i="8"/>
  <c r="AU265" i="8"/>
  <c r="AR265" i="8"/>
  <c r="AO265" i="8"/>
  <c r="AL265" i="8"/>
  <c r="AI265" i="8"/>
  <c r="AF265" i="8"/>
  <c r="AC265" i="8"/>
  <c r="Z265" i="8"/>
  <c r="W265" i="8"/>
  <c r="T265" i="8"/>
  <c r="BI264" i="8"/>
  <c r="H127" i="7"/>
  <c r="BH264" i="8"/>
  <c r="G127" i="7"/>
  <c r="BG264" i="8"/>
  <c r="F127" i="7"/>
  <c r="BI263" i="8"/>
  <c r="BH263" i="8"/>
  <c r="BG263" i="8"/>
  <c r="BI262" i="8"/>
  <c r="BH262" i="8"/>
  <c r="BG262" i="8"/>
  <c r="BI261" i="8"/>
  <c r="BH261" i="8"/>
  <c r="BG261" i="8"/>
  <c r="BI260" i="8"/>
  <c r="H125" i="7"/>
  <c r="BH260" i="8"/>
  <c r="G125" i="7"/>
  <c r="AX260" i="8"/>
  <c r="BG260" i="8"/>
  <c r="F125" i="7"/>
  <c r="BI259" i="8"/>
  <c r="H124" i="7"/>
  <c r="BH259" i="8"/>
  <c r="G124" i="7"/>
  <c r="AX259" i="8"/>
  <c r="BI258" i="8"/>
  <c r="H123" i="7"/>
  <c r="BH258" i="8"/>
  <c r="G123" i="7"/>
  <c r="BG258" i="8"/>
  <c r="F123" i="7"/>
  <c r="BI257" i="8"/>
  <c r="BH257" i="8"/>
  <c r="BG257" i="8"/>
  <c r="BI256" i="8"/>
  <c r="BH256" i="8"/>
  <c r="BG256" i="8"/>
  <c r="BD255" i="8"/>
  <c r="BA255" i="8"/>
  <c r="AU255" i="8"/>
  <c r="AR255" i="8"/>
  <c r="AO255" i="8"/>
  <c r="AL255" i="8"/>
  <c r="AI255" i="8"/>
  <c r="AF255" i="8"/>
  <c r="AC255" i="8"/>
  <c r="Z255" i="8"/>
  <c r="W255" i="8"/>
  <c r="T255" i="8"/>
  <c r="BI254" i="8"/>
  <c r="H121" i="7"/>
  <c r="BH254" i="8"/>
  <c r="G121" i="7"/>
  <c r="AX254" i="8"/>
  <c r="AX247" i="8"/>
  <c r="BI253" i="8"/>
  <c r="BH253" i="8"/>
  <c r="BG253" i="8"/>
  <c r="BI252" i="8"/>
  <c r="BH252" i="8"/>
  <c r="BG252" i="8"/>
  <c r="BI251" i="8"/>
  <c r="H119" i="7"/>
  <c r="BH251" i="8"/>
  <c r="G119" i="7"/>
  <c r="BG251" i="8"/>
  <c r="F119" i="7"/>
  <c r="BI250" i="8"/>
  <c r="H118" i="7"/>
  <c r="BH250" i="8"/>
  <c r="G118" i="7"/>
  <c r="BG250" i="8"/>
  <c r="F118" i="7"/>
  <c r="BI249" i="8"/>
  <c r="H117" i="7"/>
  <c r="BH249" i="8"/>
  <c r="G117" i="7"/>
  <c r="BG249" i="8"/>
  <c r="F117" i="7"/>
  <c r="BI248" i="8"/>
  <c r="BH248" i="8"/>
  <c r="G116" i="7"/>
  <c r="BG248" i="8"/>
  <c r="BD247" i="8"/>
  <c r="BA247" i="8"/>
  <c r="AU247" i="8"/>
  <c r="AR247" i="8"/>
  <c r="AO247" i="8"/>
  <c r="AL247" i="8"/>
  <c r="AI247" i="8"/>
  <c r="AF247" i="8"/>
  <c r="AC247" i="8"/>
  <c r="Z247" i="8"/>
  <c r="W247" i="8"/>
  <c r="T247" i="8"/>
  <c r="BI246" i="8"/>
  <c r="H115" i="7"/>
  <c r="BH246" i="8"/>
  <c r="G115" i="7"/>
  <c r="BG246" i="8"/>
  <c r="F115" i="7"/>
  <c r="BI245" i="8"/>
  <c r="H114" i="7"/>
  <c r="BH245" i="8"/>
  <c r="G114" i="7"/>
  <c r="BG245" i="8"/>
  <c r="F114" i="7"/>
  <c r="BI244" i="8"/>
  <c r="H113" i="7"/>
  <c r="BH244" i="8"/>
  <c r="G113" i="7"/>
  <c r="BG244" i="8"/>
  <c r="F113" i="7"/>
  <c r="BI243" i="8"/>
  <c r="H112" i="7"/>
  <c r="BH243" i="8"/>
  <c r="G112" i="7"/>
  <c r="AX243" i="8"/>
  <c r="BG243" i="8"/>
  <c r="F112" i="7"/>
  <c r="BI242" i="8"/>
  <c r="H111" i="7"/>
  <c r="BH242" i="8"/>
  <c r="AX242" i="8"/>
  <c r="BG242" i="8"/>
  <c r="F111" i="7"/>
  <c r="BI241" i="8"/>
  <c r="H110" i="7"/>
  <c r="BH241" i="8"/>
  <c r="G110" i="7"/>
  <c r="AX241" i="8"/>
  <c r="BI240" i="8"/>
  <c r="BH240" i="8"/>
  <c r="BG240" i="8"/>
  <c r="BI239" i="8"/>
  <c r="BH239" i="8"/>
  <c r="BG239" i="8"/>
  <c r="BD238" i="8"/>
  <c r="BA238" i="8"/>
  <c r="AU238" i="8"/>
  <c r="AR238" i="8"/>
  <c r="AO238" i="8"/>
  <c r="AL238" i="8"/>
  <c r="AI238" i="8"/>
  <c r="AF238" i="8"/>
  <c r="AC238" i="8"/>
  <c r="Z238" i="8"/>
  <c r="W238" i="8"/>
  <c r="T238" i="8"/>
  <c r="BI237" i="8"/>
  <c r="H108" i="7"/>
  <c r="BH237" i="8"/>
  <c r="AX237" i="8"/>
  <c r="BD236" i="8"/>
  <c r="BD232" i="8"/>
  <c r="BD231" i="8"/>
  <c r="BA236" i="8"/>
  <c r="AU236" i="8"/>
  <c r="AR236" i="8"/>
  <c r="AO236" i="8"/>
  <c r="AL236" i="8"/>
  <c r="AI236" i="8"/>
  <c r="AF236" i="8"/>
  <c r="AC236" i="8"/>
  <c r="Z236" i="8"/>
  <c r="W236" i="8"/>
  <c r="T236" i="8"/>
  <c r="BI235" i="8"/>
  <c r="BH235" i="8"/>
  <c r="AX235" i="8"/>
  <c r="BG235" i="8"/>
  <c r="BI234" i="8"/>
  <c r="BH234" i="8"/>
  <c r="AX234" i="8"/>
  <c r="AU233" i="8"/>
  <c r="AR233" i="8"/>
  <c r="AO233" i="8"/>
  <c r="AL233" i="8"/>
  <c r="AI233" i="8"/>
  <c r="AF233" i="8"/>
  <c r="AC233" i="8"/>
  <c r="Z233" i="8"/>
  <c r="W233" i="8"/>
  <c r="T233" i="8"/>
  <c r="BI229" i="8"/>
  <c r="H105" i="7"/>
  <c r="BH229" i="8"/>
  <c r="G105" i="7"/>
  <c r="AX229" i="8"/>
  <c r="BG229" i="8"/>
  <c r="F105" i="7"/>
  <c r="BI228" i="8"/>
  <c r="H104" i="7"/>
  <c r="BH228" i="8"/>
  <c r="G104" i="7"/>
  <c r="AX228" i="8"/>
  <c r="BI226" i="8"/>
  <c r="H103" i="7"/>
  <c r="BH226" i="8"/>
  <c r="G103" i="7"/>
  <c r="BG226" i="8"/>
  <c r="F103" i="7"/>
  <c r="BI225" i="8"/>
  <c r="BH225" i="8"/>
  <c r="BG225" i="8"/>
  <c r="BI224" i="8"/>
  <c r="BH224" i="8"/>
  <c r="BG224" i="8"/>
  <c r="BI223" i="8"/>
  <c r="BH223" i="8"/>
  <c r="AX223" i="8"/>
  <c r="BG223" i="8"/>
  <c r="BI221" i="8"/>
  <c r="H101" i="7"/>
  <c r="BH221" i="8"/>
  <c r="G101" i="7"/>
  <c r="BG221" i="8"/>
  <c r="F101" i="7"/>
  <c r="BI220" i="8"/>
  <c r="H100" i="7"/>
  <c r="BH220" i="8"/>
  <c r="G100" i="7"/>
  <c r="AX220" i="8"/>
  <c r="BG220" i="8"/>
  <c r="F100" i="7"/>
  <c r="BI219" i="8"/>
  <c r="H99" i="7"/>
  <c r="BH219" i="8"/>
  <c r="G99" i="7"/>
  <c r="BG219" i="8"/>
  <c r="F99" i="7"/>
  <c r="BI218" i="8"/>
  <c r="H98" i="7"/>
  <c r="BH218" i="8"/>
  <c r="G98" i="7"/>
  <c r="BG218" i="8"/>
  <c r="F98" i="7"/>
  <c r="BG217" i="8"/>
  <c r="BI216" i="8"/>
  <c r="BH216" i="8"/>
  <c r="AX216" i="8"/>
  <c r="BG216" i="8"/>
  <c r="BI215" i="8"/>
  <c r="BH215" i="8"/>
  <c r="AX215" i="8"/>
  <c r="BG215" i="8"/>
  <c r="BI214" i="8"/>
  <c r="BH214" i="8"/>
  <c r="AX214" i="8"/>
  <c r="BG214" i="8"/>
  <c r="BI213" i="8"/>
  <c r="BH213" i="8"/>
  <c r="BG213" i="8"/>
  <c r="BG212" i="8"/>
  <c r="BI211" i="8"/>
  <c r="H96" i="7"/>
  <c r="BH211" i="8"/>
  <c r="G96" i="7"/>
  <c r="BG211" i="8"/>
  <c r="F96" i="7"/>
  <c r="BI210" i="8"/>
  <c r="H95" i="7"/>
  <c r="BH210" i="8"/>
  <c r="G95" i="7"/>
  <c r="AO210" i="8"/>
  <c r="AO205" i="8"/>
  <c r="AO204" i="8"/>
  <c r="AO203" i="8"/>
  <c r="AL210" i="8"/>
  <c r="AL205" i="8"/>
  <c r="AL204" i="8"/>
  <c r="AL203" i="8"/>
  <c r="BI209" i="8"/>
  <c r="BH209" i="8"/>
  <c r="BG209" i="8"/>
  <c r="BI208" i="8"/>
  <c r="BH208" i="8"/>
  <c r="BG208" i="8"/>
  <c r="BI207" i="8"/>
  <c r="BH207" i="8"/>
  <c r="AR207" i="8"/>
  <c r="AR205" i="8"/>
  <c r="AR204" i="8"/>
  <c r="AR203" i="8"/>
  <c r="AC207" i="8"/>
  <c r="BI206" i="8"/>
  <c r="BH206" i="8"/>
  <c r="AX206" i="8"/>
  <c r="AC206" i="8"/>
  <c r="AC205" i="8"/>
  <c r="AC204" i="8"/>
  <c r="AC203" i="8"/>
  <c r="BI201" i="8"/>
  <c r="BH201" i="8"/>
  <c r="BG201" i="8"/>
  <c r="BD200" i="8"/>
  <c r="AX200" i="8"/>
  <c r="AU200" i="8"/>
  <c r="AR200" i="8"/>
  <c r="AO200" i="8"/>
  <c r="AL200" i="8"/>
  <c r="AI200" i="8"/>
  <c r="AF200" i="8"/>
  <c r="AC200" i="8"/>
  <c r="Z200" i="8"/>
  <c r="W200" i="8"/>
  <c r="T200" i="8"/>
  <c r="BI199" i="8"/>
  <c r="H90" i="7"/>
  <c r="BH199" i="8"/>
  <c r="G90" i="7"/>
  <c r="AX199" i="8"/>
  <c r="AX197" i="8"/>
  <c r="BI198" i="8"/>
  <c r="H89" i="7"/>
  <c r="BH198" i="8"/>
  <c r="G89" i="7"/>
  <c r="BG198" i="8"/>
  <c r="F89" i="7"/>
  <c r="BD197" i="8"/>
  <c r="BA197" i="8"/>
  <c r="BA196" i="8"/>
  <c r="BA195" i="8"/>
  <c r="AU197" i="8"/>
  <c r="AR197" i="8"/>
  <c r="AO197" i="8"/>
  <c r="AL197" i="8"/>
  <c r="AI197" i="8"/>
  <c r="AF197" i="8"/>
  <c r="AC197" i="8"/>
  <c r="Z197" i="8"/>
  <c r="W197" i="8"/>
  <c r="T197" i="8"/>
  <c r="BG192" i="8"/>
  <c r="BI192" i="8"/>
  <c r="BD192" i="8"/>
  <c r="BA192" i="8"/>
  <c r="AX192" i="8"/>
  <c r="AU192" i="8"/>
  <c r="AR192" i="8"/>
  <c r="AO192" i="8"/>
  <c r="AL192" i="8"/>
  <c r="AI192" i="8"/>
  <c r="AF192" i="8"/>
  <c r="AC192" i="8"/>
  <c r="Z192" i="8"/>
  <c r="W192" i="8"/>
  <c r="T192" i="8"/>
  <c r="BI190" i="8"/>
  <c r="BG190" i="8"/>
  <c r="BD190" i="8"/>
  <c r="BA190" i="8"/>
  <c r="AX190" i="8"/>
  <c r="AU190" i="8"/>
  <c r="AR190" i="8"/>
  <c r="AO190" i="8"/>
  <c r="AL190" i="8"/>
  <c r="AI190" i="8"/>
  <c r="AF190" i="8"/>
  <c r="AC190" i="8"/>
  <c r="Z190" i="8"/>
  <c r="W190" i="8"/>
  <c r="T190" i="8"/>
  <c r="BI188" i="8"/>
  <c r="BG188" i="8"/>
  <c r="BD188" i="8"/>
  <c r="BA188" i="8"/>
  <c r="AX188" i="8"/>
  <c r="AU188" i="8"/>
  <c r="AR188" i="8"/>
  <c r="AO188" i="8"/>
  <c r="AL188" i="8"/>
  <c r="AI188" i="8"/>
  <c r="AF188" i="8"/>
  <c r="AC188" i="8"/>
  <c r="Z188" i="8"/>
  <c r="W188" i="8"/>
  <c r="T188" i="8"/>
  <c r="AX185" i="8"/>
  <c r="BG185" i="8"/>
  <c r="AX184" i="8"/>
  <c r="BD182" i="8"/>
  <c r="BA182" i="8"/>
  <c r="AU182" i="8"/>
  <c r="AR182" i="8"/>
  <c r="AO182" i="8"/>
  <c r="AL182" i="8"/>
  <c r="AI182" i="8"/>
  <c r="AF182" i="8"/>
  <c r="AC182" i="8"/>
  <c r="Z182" i="8"/>
  <c r="W182" i="8"/>
  <c r="T182" i="8"/>
  <c r="BI180" i="8"/>
  <c r="BG180" i="8"/>
  <c r="BD180" i="8"/>
  <c r="BA180" i="8"/>
  <c r="AX180" i="8"/>
  <c r="AU180" i="8"/>
  <c r="AR180" i="8"/>
  <c r="AO180" i="8"/>
  <c r="AL180" i="8"/>
  <c r="AI180" i="8"/>
  <c r="AF180" i="8"/>
  <c r="AC180" i="8"/>
  <c r="Z180" i="8"/>
  <c r="W180" i="8"/>
  <c r="T180" i="8"/>
  <c r="AX178" i="8"/>
  <c r="BG178" i="8"/>
  <c r="F79" i="7"/>
  <c r="BD176" i="8"/>
  <c r="BA176" i="8"/>
  <c r="AU176" i="8"/>
  <c r="AR176" i="8"/>
  <c r="AO176" i="8"/>
  <c r="AL176" i="8"/>
  <c r="AI176" i="8"/>
  <c r="AF176" i="8"/>
  <c r="AC176" i="8"/>
  <c r="Z176" i="8"/>
  <c r="W176" i="8"/>
  <c r="T176" i="8"/>
  <c r="AX175" i="8"/>
  <c r="BG175" i="8"/>
  <c r="BI173" i="8"/>
  <c r="AX174" i="8"/>
  <c r="BG174" i="8"/>
  <c r="BD173" i="8"/>
  <c r="BA173" i="8"/>
  <c r="AU173" i="8"/>
  <c r="AR173" i="8"/>
  <c r="AO173" i="8"/>
  <c r="AL173" i="8"/>
  <c r="AI173" i="8"/>
  <c r="AF173" i="8"/>
  <c r="AC173" i="8"/>
  <c r="Z173" i="8"/>
  <c r="W173" i="8"/>
  <c r="T173" i="8"/>
  <c r="BD170" i="8"/>
  <c r="BA170" i="8"/>
  <c r="AU170" i="8"/>
  <c r="AR170" i="8"/>
  <c r="AO170" i="8"/>
  <c r="AL170" i="8"/>
  <c r="AI170" i="8"/>
  <c r="AF170" i="8"/>
  <c r="AC170" i="8"/>
  <c r="Z170" i="8"/>
  <c r="W170" i="8"/>
  <c r="T170" i="8"/>
  <c r="BI168" i="8"/>
  <c r="BG168" i="8"/>
  <c r="BD168" i="8"/>
  <c r="BA168" i="8"/>
  <c r="AX168" i="8"/>
  <c r="AU168" i="8"/>
  <c r="AR168" i="8"/>
  <c r="AO168" i="8"/>
  <c r="AL168" i="8"/>
  <c r="AI168" i="8"/>
  <c r="AF168" i="8"/>
  <c r="AC168" i="8"/>
  <c r="Z168" i="8"/>
  <c r="W168" i="8"/>
  <c r="T168" i="8"/>
  <c r="AX167" i="8"/>
  <c r="BG167" i="8"/>
  <c r="F75" i="7"/>
  <c r="BI166" i="8"/>
  <c r="BD166" i="8"/>
  <c r="BA166" i="8"/>
  <c r="AU166" i="8"/>
  <c r="AR166" i="8"/>
  <c r="AO166" i="8"/>
  <c r="AL166" i="8"/>
  <c r="AI166" i="8"/>
  <c r="AF166" i="8"/>
  <c r="AC166" i="8"/>
  <c r="Z166" i="8"/>
  <c r="W166" i="8"/>
  <c r="T166" i="8"/>
  <c r="AX164" i="8"/>
  <c r="BG164" i="8"/>
  <c r="F74" i="7"/>
  <c r="BD163" i="8"/>
  <c r="BA163" i="8"/>
  <c r="AU163" i="8"/>
  <c r="AR163" i="8"/>
  <c r="AO163" i="8"/>
  <c r="AL163" i="8"/>
  <c r="AI163" i="8"/>
  <c r="AF163" i="8"/>
  <c r="AC163" i="8"/>
  <c r="Z163" i="8"/>
  <c r="W163" i="8"/>
  <c r="T163" i="8"/>
  <c r="AX162" i="8"/>
  <c r="BG162" i="8"/>
  <c r="F73" i="7"/>
  <c r="BD161" i="8"/>
  <c r="BA161" i="8"/>
  <c r="AU161" i="8"/>
  <c r="AR161" i="8"/>
  <c r="AO161" i="8"/>
  <c r="AL161" i="8"/>
  <c r="AI161" i="8"/>
  <c r="AF161" i="8"/>
  <c r="AC161" i="8"/>
  <c r="Z161" i="8"/>
  <c r="W161" i="8"/>
  <c r="T161" i="8"/>
  <c r="AX157" i="8"/>
  <c r="BG157" i="8"/>
  <c r="F71" i="7"/>
  <c r="AX156" i="8"/>
  <c r="BG156" i="8"/>
  <c r="AX155" i="8"/>
  <c r="BG155" i="8"/>
  <c r="AX153" i="8"/>
  <c r="BG153" i="8"/>
  <c r="F69" i="7"/>
  <c r="AX151" i="8"/>
  <c r="BG151" i="8"/>
  <c r="AX150" i="8"/>
  <c r="BG150" i="8"/>
  <c r="AU149" i="8"/>
  <c r="AR149" i="8"/>
  <c r="AO149" i="8"/>
  <c r="AL149" i="8"/>
  <c r="AI149" i="8"/>
  <c r="AF149" i="8"/>
  <c r="AC149" i="8"/>
  <c r="Z149" i="8"/>
  <c r="W149" i="8"/>
  <c r="T149" i="8"/>
  <c r="BI145" i="8"/>
  <c r="BH145" i="8"/>
  <c r="BG145" i="8"/>
  <c r="BI144" i="8"/>
  <c r="BH144" i="8"/>
  <c r="BG144" i="8"/>
  <c r="BI143" i="8"/>
  <c r="BH143" i="8"/>
  <c r="BG143" i="8"/>
  <c r="BI142" i="8"/>
  <c r="BH142" i="8"/>
  <c r="AX142" i="8"/>
  <c r="BG142" i="8"/>
  <c r="BF141" i="8"/>
  <c r="BE141" i="8"/>
  <c r="BD141" i="8"/>
  <c r="BC141" i="8"/>
  <c r="BB141" i="8"/>
  <c r="BA141" i="8"/>
  <c r="AZ141" i="8"/>
  <c r="AY141" i="8"/>
  <c r="AU141" i="8"/>
  <c r="AR141" i="8"/>
  <c r="AO141" i="8"/>
  <c r="AL141" i="8"/>
  <c r="AI141" i="8"/>
  <c r="AF141" i="8"/>
  <c r="AC141" i="8"/>
  <c r="Z141" i="8"/>
  <c r="W141" i="8"/>
  <c r="T141" i="8"/>
  <c r="BI140" i="8"/>
  <c r="H64" i="7"/>
  <c r="BH140" i="8"/>
  <c r="G64" i="7"/>
  <c r="BA140" i="8"/>
  <c r="BA132" i="8"/>
  <c r="AX140" i="8"/>
  <c r="BI139" i="8"/>
  <c r="BH139" i="8"/>
  <c r="AX139" i="8"/>
  <c r="BG139" i="8"/>
  <c r="BI138" i="8"/>
  <c r="BH138" i="8"/>
  <c r="AX138" i="8"/>
  <c r="BG138" i="8"/>
  <c r="BI137" i="8"/>
  <c r="BH137" i="8"/>
  <c r="AX137" i="8"/>
  <c r="BG137" i="8"/>
  <c r="BI136" i="8"/>
  <c r="BH136" i="8"/>
  <c r="AX136" i="8"/>
  <c r="BG136" i="8"/>
  <c r="BI135" i="8"/>
  <c r="BH135" i="8"/>
  <c r="AX135" i="8"/>
  <c r="BG135" i="8"/>
  <c r="BI134" i="8"/>
  <c r="BH134" i="8"/>
  <c r="AX134" i="8"/>
  <c r="BG134" i="8"/>
  <c r="BI133" i="8"/>
  <c r="BH133" i="8"/>
  <c r="AX133" i="8"/>
  <c r="BG133" i="8"/>
  <c r="BF132" i="8"/>
  <c r="BE132" i="8"/>
  <c r="BD132" i="8"/>
  <c r="BC132" i="8"/>
  <c r="BB132" i="8"/>
  <c r="AZ132" i="8"/>
  <c r="AY132" i="8"/>
  <c r="AU132" i="8"/>
  <c r="AR132" i="8"/>
  <c r="AO132" i="8"/>
  <c r="AL132" i="8"/>
  <c r="AI132" i="8"/>
  <c r="AF132" i="8"/>
  <c r="AC132" i="8"/>
  <c r="Z132" i="8"/>
  <c r="W132" i="8"/>
  <c r="T132" i="8"/>
  <c r="BI128" i="8"/>
  <c r="BH128" i="8"/>
  <c r="BA128" i="8"/>
  <c r="BG128" i="8"/>
  <c r="BI127" i="8"/>
  <c r="BH127" i="8"/>
  <c r="AX127" i="8"/>
  <c r="BG127" i="8"/>
  <c r="BF126" i="8"/>
  <c r="BE126" i="8"/>
  <c r="BD126" i="8"/>
  <c r="BC126" i="8"/>
  <c r="BB126" i="8"/>
  <c r="AZ126" i="8"/>
  <c r="AY126" i="8"/>
  <c r="AX126" i="8"/>
  <c r="AW126" i="8"/>
  <c r="AV126" i="8"/>
  <c r="AU126" i="8"/>
  <c r="AT126" i="8"/>
  <c r="AS126" i="8"/>
  <c r="AR126" i="8"/>
  <c r="AQ126" i="8"/>
  <c r="AP126" i="8"/>
  <c r="AO126" i="8"/>
  <c r="AN126" i="8"/>
  <c r="AM126" i="8"/>
  <c r="AL126" i="8"/>
  <c r="AK126" i="8"/>
  <c r="AJ126" i="8"/>
  <c r="AI126" i="8"/>
  <c r="AH126" i="8"/>
  <c r="AG126" i="8"/>
  <c r="AF126" i="8"/>
  <c r="AE126" i="8"/>
  <c r="AD126" i="8"/>
  <c r="AC126" i="8"/>
  <c r="AB126" i="8"/>
  <c r="AA126" i="8"/>
  <c r="Z126" i="8"/>
  <c r="Y126" i="8"/>
  <c r="X126" i="8"/>
  <c r="W126" i="8"/>
  <c r="V126" i="8"/>
  <c r="U126" i="8"/>
  <c r="T126" i="8"/>
  <c r="BI125" i="8"/>
  <c r="H58" i="7"/>
  <c r="BH125" i="8"/>
  <c r="G58" i="7"/>
  <c r="T125" i="8"/>
  <c r="BG125" i="8"/>
  <c r="F58" i="7"/>
  <c r="BI124" i="8"/>
  <c r="H57" i="7"/>
  <c r="BH124" i="8"/>
  <c r="G57" i="7"/>
  <c r="AX124" i="8"/>
  <c r="BG124" i="8"/>
  <c r="F57" i="7"/>
  <c r="BI123" i="8"/>
  <c r="BH123" i="8"/>
  <c r="T123" i="8"/>
  <c r="BG123" i="8"/>
  <c r="BI122" i="8"/>
  <c r="BH122" i="8"/>
  <c r="BG122" i="8"/>
  <c r="BI121" i="8"/>
  <c r="BH121" i="8"/>
  <c r="AX121" i="8"/>
  <c r="T121" i="8"/>
  <c r="BI120" i="8"/>
  <c r="BH120" i="8"/>
  <c r="G55" i="7"/>
  <c r="AX120" i="8"/>
  <c r="BG120" i="8"/>
  <c r="BF119" i="8"/>
  <c r="BE119" i="8"/>
  <c r="BD119" i="8"/>
  <c r="BC119" i="8"/>
  <c r="BB119" i="8"/>
  <c r="BA119" i="8"/>
  <c r="AZ119" i="8"/>
  <c r="AY119" i="8"/>
  <c r="AW119" i="8"/>
  <c r="AV119" i="8"/>
  <c r="AU119" i="8"/>
  <c r="AT119" i="8"/>
  <c r="AS119" i="8"/>
  <c r="AR119" i="8"/>
  <c r="AQ119" i="8"/>
  <c r="AP119" i="8"/>
  <c r="AO119" i="8"/>
  <c r="AN119" i="8"/>
  <c r="AM119" i="8"/>
  <c r="AL119" i="8"/>
  <c r="AK119" i="8"/>
  <c r="AJ119" i="8"/>
  <c r="AI119" i="8"/>
  <c r="AH119" i="8"/>
  <c r="AG119" i="8"/>
  <c r="AF119" i="8"/>
  <c r="AE119" i="8"/>
  <c r="AD119" i="8"/>
  <c r="AC119" i="8"/>
  <c r="AB119" i="8"/>
  <c r="AA119" i="8"/>
  <c r="Z119" i="8"/>
  <c r="Y119" i="8"/>
  <c r="X119" i="8"/>
  <c r="W119" i="8"/>
  <c r="V119" i="8"/>
  <c r="U119" i="8"/>
  <c r="BI115" i="8"/>
  <c r="H53" i="7"/>
  <c r="BH115" i="8"/>
  <c r="G53" i="7"/>
  <c r="AX115" i="8"/>
  <c r="BI114" i="8"/>
  <c r="BG114" i="8"/>
  <c r="BI113" i="8"/>
  <c r="AX113" i="8"/>
  <c r="BG113" i="8"/>
  <c r="BI112" i="8"/>
  <c r="BH112" i="8"/>
  <c r="AX112" i="8"/>
  <c r="BG112" i="8"/>
  <c r="BI111" i="8"/>
  <c r="BH111" i="8"/>
  <c r="AX111" i="8"/>
  <c r="BG111" i="8"/>
  <c r="BD110" i="8"/>
  <c r="BD109" i="8"/>
  <c r="BA110" i="8"/>
  <c r="BA109" i="8"/>
  <c r="AZ110" i="8"/>
  <c r="AZ109" i="8"/>
  <c r="AY110" i="8"/>
  <c r="AY109" i="8"/>
  <c r="AU110" i="8"/>
  <c r="AU109" i="8"/>
  <c r="AR110" i="8"/>
  <c r="AR109" i="8"/>
  <c r="AO110" i="8"/>
  <c r="AO109" i="8"/>
  <c r="AL110" i="8"/>
  <c r="AL109" i="8"/>
  <c r="AI110" i="8"/>
  <c r="AI109" i="8"/>
  <c r="AF110" i="8"/>
  <c r="AF109" i="8"/>
  <c r="AC110" i="8"/>
  <c r="AC109" i="8"/>
  <c r="Z110" i="8"/>
  <c r="Z109" i="8"/>
  <c r="W110" i="8"/>
  <c r="W109" i="8"/>
  <c r="T110" i="8"/>
  <c r="T109" i="8"/>
  <c r="BI108" i="8"/>
  <c r="H50" i="7"/>
  <c r="AY108" i="8"/>
  <c r="BH108" i="8"/>
  <c r="G50" i="7"/>
  <c r="BG108" i="8"/>
  <c r="F50" i="7"/>
  <c r="AZ107" i="8"/>
  <c r="AX107" i="8"/>
  <c r="BG107" i="8"/>
  <c r="BI106" i="8"/>
  <c r="AX106" i="8"/>
  <c r="BD105" i="8"/>
  <c r="BA105" i="8"/>
  <c r="AU105" i="8"/>
  <c r="AR105" i="8"/>
  <c r="AO105" i="8"/>
  <c r="AL105" i="8"/>
  <c r="AI105" i="8"/>
  <c r="AF105" i="8"/>
  <c r="AC105" i="8"/>
  <c r="Z105" i="8"/>
  <c r="W105" i="8"/>
  <c r="T105" i="8"/>
  <c r="BI104" i="8"/>
  <c r="BH104" i="8"/>
  <c r="BG104" i="8"/>
  <c r="BI103" i="8"/>
  <c r="BH103" i="8"/>
  <c r="BG103" i="8"/>
  <c r="BD102" i="8"/>
  <c r="BA102" i="8"/>
  <c r="AZ102" i="8"/>
  <c r="AY102" i="8"/>
  <c r="AX102" i="8"/>
  <c r="AU102" i="8"/>
  <c r="AR102" i="8"/>
  <c r="AO102" i="8"/>
  <c r="AL102" i="8"/>
  <c r="AI102" i="8"/>
  <c r="AF102" i="8"/>
  <c r="AC102" i="8"/>
  <c r="Z102" i="8"/>
  <c r="W102" i="8"/>
  <c r="T102" i="8"/>
  <c r="BI100" i="8"/>
  <c r="H47" i="7"/>
  <c r="AX100" i="8"/>
  <c r="BG100" i="8"/>
  <c r="F47" i="7"/>
  <c r="BI99" i="8"/>
  <c r="H46" i="7"/>
  <c r="BH99" i="8"/>
  <c r="G46" i="7"/>
  <c r="BG99" i="8"/>
  <c r="F46" i="7"/>
  <c r="BI98" i="8"/>
  <c r="H45" i="7"/>
  <c r="BH98" i="8"/>
  <c r="G45" i="7"/>
  <c r="W98" i="8"/>
  <c r="BG98" i="8"/>
  <c r="F45" i="7"/>
  <c r="BD97" i="8"/>
  <c r="AZ97" i="8"/>
  <c r="AY97" i="8"/>
  <c r="AU97" i="8"/>
  <c r="AR97" i="8"/>
  <c r="AO97" i="8"/>
  <c r="AL97" i="8"/>
  <c r="AI97" i="8"/>
  <c r="AF97" i="8"/>
  <c r="AC97" i="8"/>
  <c r="Z97" i="8"/>
  <c r="Y97" i="8"/>
  <c r="Y80" i="8"/>
  <c r="Y79" i="8"/>
  <c r="X97" i="8"/>
  <c r="X80" i="8"/>
  <c r="X79" i="8"/>
  <c r="T97" i="8"/>
  <c r="BI96" i="8"/>
  <c r="H44" i="7"/>
  <c r="BH96" i="8"/>
  <c r="BG96" i="8"/>
  <c r="BD95" i="8"/>
  <c r="BA95" i="8"/>
  <c r="BA80" i="8"/>
  <c r="AZ95" i="8"/>
  <c r="AY95" i="8"/>
  <c r="AX95" i="8"/>
  <c r="AU95" i="8"/>
  <c r="AR95" i="8"/>
  <c r="AO95" i="8"/>
  <c r="AL95" i="8"/>
  <c r="AI95" i="8"/>
  <c r="AF95" i="8"/>
  <c r="AC95" i="8"/>
  <c r="Z95" i="8"/>
  <c r="W95" i="8"/>
  <c r="T95" i="8"/>
  <c r="BI94" i="8"/>
  <c r="BG94" i="8"/>
  <c r="BI93" i="8"/>
  <c r="BH93" i="8"/>
  <c r="BG93" i="8"/>
  <c r="BI92" i="8"/>
  <c r="BH92" i="8"/>
  <c r="BG92" i="8"/>
  <c r="BI91" i="8"/>
  <c r="BG91" i="8"/>
  <c r="BG90" i="8"/>
  <c r="BD89" i="8"/>
  <c r="AZ89" i="8"/>
  <c r="AY89" i="8"/>
  <c r="AX89" i="8"/>
  <c r="AU89" i="8"/>
  <c r="AR89" i="8"/>
  <c r="AO89" i="8"/>
  <c r="AL89" i="8"/>
  <c r="AI89" i="8"/>
  <c r="AF89" i="8"/>
  <c r="AC89" i="8"/>
  <c r="Z89" i="8"/>
  <c r="W89" i="8"/>
  <c r="T89" i="8"/>
  <c r="BI88" i="8"/>
  <c r="H42" i="7"/>
  <c r="BH88" i="8"/>
  <c r="G42" i="7"/>
  <c r="AX88" i="8"/>
  <c r="BG88" i="8"/>
  <c r="AZ87" i="8"/>
  <c r="AY87" i="8"/>
  <c r="BI86" i="8"/>
  <c r="H41" i="7"/>
  <c r="BH86" i="8"/>
  <c r="G41" i="7"/>
  <c r="AX86" i="8"/>
  <c r="AX85" i="8"/>
  <c r="AZ85" i="8"/>
  <c r="AY85" i="8"/>
  <c r="BI84" i="8"/>
  <c r="H40" i="7"/>
  <c r="BH84" i="8"/>
  <c r="AX84" i="8"/>
  <c r="BG84" i="8"/>
  <c r="AZ83" i="8"/>
  <c r="AY83" i="8"/>
  <c r="BI82" i="8"/>
  <c r="H39" i="7"/>
  <c r="BH82" i="8"/>
  <c r="BG82" i="8"/>
  <c r="AZ81" i="8"/>
  <c r="AY81" i="8"/>
  <c r="AX81" i="8"/>
  <c r="BI77" i="8"/>
  <c r="H37" i="7"/>
  <c r="BH77" i="8"/>
  <c r="BG77" i="8"/>
  <c r="F37" i="7"/>
  <c r="BI75" i="8"/>
  <c r="BH75" i="8"/>
  <c r="BG75" i="8"/>
  <c r="F36" i="7"/>
  <c r="BI72" i="8"/>
  <c r="BH72" i="8"/>
  <c r="BG72" i="8"/>
  <c r="BI71" i="8"/>
  <c r="BH71" i="8"/>
  <c r="BG71" i="8"/>
  <c r="BI70" i="8"/>
  <c r="BH70" i="8"/>
  <c r="T70" i="8"/>
  <c r="T67" i="8"/>
  <c r="BI69" i="8"/>
  <c r="BH69" i="8"/>
  <c r="BG69" i="8"/>
  <c r="BI68" i="8"/>
  <c r="BH68" i="8"/>
  <c r="BG68" i="8"/>
  <c r="BI66" i="8"/>
  <c r="BH66" i="8"/>
  <c r="T66" i="8"/>
  <c r="BI64" i="8"/>
  <c r="H33" i="7"/>
  <c r="BH64" i="8"/>
  <c r="BG64" i="8"/>
  <c r="F33" i="7"/>
  <c r="BI62" i="8"/>
  <c r="BH62" i="8"/>
  <c r="BG62" i="8"/>
  <c r="F32" i="7"/>
  <c r="BI60" i="8"/>
  <c r="BH60" i="8"/>
  <c r="AX60" i="8"/>
  <c r="AX59" i="8"/>
  <c r="AX58" i="8"/>
  <c r="Z60" i="8"/>
  <c r="Z59" i="8"/>
  <c r="Z58" i="8"/>
  <c r="Z39" i="8"/>
  <c r="BI57" i="8"/>
  <c r="BH57" i="8"/>
  <c r="BG57" i="8"/>
  <c r="F30" i="7"/>
  <c r="BI55" i="8"/>
  <c r="BH55" i="8"/>
  <c r="G29" i="7"/>
  <c r="AX55" i="8"/>
  <c r="BI52" i="8"/>
  <c r="BH52" i="8"/>
  <c r="G28" i="7"/>
  <c r="T52" i="8"/>
  <c r="T51" i="8"/>
  <c r="BI50" i="8"/>
  <c r="H27" i="7"/>
  <c r="BH50" i="8"/>
  <c r="T50" i="8"/>
  <c r="BI48" i="8"/>
  <c r="H26" i="7"/>
  <c r="BH48" i="8"/>
  <c r="AX48" i="8"/>
  <c r="BI46" i="8"/>
  <c r="BH46" i="8"/>
  <c r="BH45" i="8"/>
  <c r="T46" i="8"/>
  <c r="BI44" i="8"/>
  <c r="BH44" i="8"/>
  <c r="G24" i="7"/>
  <c r="BI42" i="8"/>
  <c r="BI41" i="8"/>
  <c r="BH42" i="8"/>
  <c r="BH41" i="8"/>
  <c r="BG42" i="8"/>
  <c r="BI37" i="8"/>
  <c r="BH37" i="8"/>
  <c r="G21" i="7"/>
  <c r="BG37" i="8"/>
  <c r="F21" i="7"/>
  <c r="BI36" i="8"/>
  <c r="H20" i="7"/>
  <c r="BH36" i="8"/>
  <c r="G20" i="7"/>
  <c r="AX36" i="8"/>
  <c r="BG36" i="8"/>
  <c r="BF35" i="8"/>
  <c r="BE35" i="8"/>
  <c r="BE34" i="8"/>
  <c r="BE33" i="8"/>
  <c r="BD35" i="8"/>
  <c r="BD34" i="8"/>
  <c r="BD33" i="8"/>
  <c r="BA35" i="8"/>
  <c r="BA34" i="8"/>
  <c r="BA33" i="8"/>
  <c r="AZ35" i="8"/>
  <c r="AZ34" i="8"/>
  <c r="AZ33" i="8"/>
  <c r="AY35" i="8"/>
  <c r="AY34" i="8"/>
  <c r="AY33" i="8"/>
  <c r="AU35" i="8"/>
  <c r="AU34" i="8"/>
  <c r="AU33" i="8"/>
  <c r="AR35" i="8"/>
  <c r="AR34" i="8"/>
  <c r="AR33" i="8"/>
  <c r="AO35" i="8"/>
  <c r="AO34" i="8"/>
  <c r="AO33" i="8"/>
  <c r="AL35" i="8"/>
  <c r="AL34" i="8"/>
  <c r="AL33" i="8"/>
  <c r="AI35" i="8"/>
  <c r="AI34" i="8"/>
  <c r="AI33" i="8"/>
  <c r="AF35" i="8"/>
  <c r="AF34" i="8"/>
  <c r="AF33" i="8"/>
  <c r="AC35" i="8"/>
  <c r="AC34" i="8"/>
  <c r="AC33" i="8"/>
  <c r="Z35" i="8"/>
  <c r="Z34" i="8"/>
  <c r="Z33" i="8"/>
  <c r="W35" i="8"/>
  <c r="W34" i="8"/>
  <c r="W33" i="8"/>
  <c r="T35" i="8"/>
  <c r="T34" i="8"/>
  <c r="T33" i="8"/>
  <c r="BF34" i="8"/>
  <c r="BF33" i="8"/>
  <c r="BI31" i="8"/>
  <c r="H18" i="7"/>
  <c r="BH31" i="8"/>
  <c r="G18" i="7"/>
  <c r="AX31" i="8"/>
  <c r="BG31" i="8"/>
  <c r="F18" i="7"/>
  <c r="BI30" i="8"/>
  <c r="BH30" i="8"/>
  <c r="AX30" i="8"/>
  <c r="BG30" i="8"/>
  <c r="BI29" i="8"/>
  <c r="BH29" i="8"/>
  <c r="AX29" i="8"/>
  <c r="BG29" i="8"/>
  <c r="BI28" i="8"/>
  <c r="BH28" i="8"/>
  <c r="AX28" i="8"/>
  <c r="BG28" i="8"/>
  <c r="BI27" i="8"/>
  <c r="BH27" i="8"/>
  <c r="AX27" i="8"/>
  <c r="BG27" i="8"/>
  <c r="BI26" i="8"/>
  <c r="BH26" i="8"/>
  <c r="BG26" i="8"/>
  <c r="BI25" i="8"/>
  <c r="BH25" i="8"/>
  <c r="AX25" i="8"/>
  <c r="BG25" i="8"/>
  <c r="BI24" i="8"/>
  <c r="H16" i="7"/>
  <c r="BH24" i="8"/>
  <c r="G16" i="7"/>
  <c r="AX24" i="8"/>
  <c r="BG24" i="8"/>
  <c r="F16" i="7"/>
  <c r="BI23" i="8"/>
  <c r="H15" i="7"/>
  <c r="BH23" i="8"/>
  <c r="G15" i="7"/>
  <c r="AX23" i="8"/>
  <c r="BG23" i="8"/>
  <c r="F15" i="7"/>
  <c r="BI22" i="8"/>
  <c r="H14" i="7"/>
  <c r="BH22" i="8"/>
  <c r="G14" i="7"/>
  <c r="AX22" i="8"/>
  <c r="BG22" i="8"/>
  <c r="F14" i="7"/>
  <c r="BI21" i="8"/>
  <c r="H13" i="7"/>
  <c r="BG21" i="8"/>
  <c r="F13" i="7"/>
  <c r="AY21" i="8"/>
  <c r="BH21" i="8"/>
  <c r="G13" i="7"/>
  <c r="BD20" i="8"/>
  <c r="BA20" i="8"/>
  <c r="AZ20" i="8"/>
  <c r="AU20" i="8"/>
  <c r="AR20" i="8"/>
  <c r="AO20" i="8"/>
  <c r="AL20" i="8"/>
  <c r="AI20" i="8"/>
  <c r="AF20" i="8"/>
  <c r="AC20" i="8"/>
  <c r="Z20" i="8"/>
  <c r="W20" i="8"/>
  <c r="T20" i="8"/>
  <c r="BI19" i="8"/>
  <c r="H12" i="7"/>
  <c r="BH19" i="8"/>
  <c r="AX19" i="8"/>
  <c r="BG19" i="8"/>
  <c r="BD18" i="8"/>
  <c r="BD17" i="8"/>
  <c r="BD16" i="8"/>
  <c r="BA18" i="8"/>
  <c r="AZ18" i="8"/>
  <c r="AY18" i="8"/>
  <c r="AU18" i="8"/>
  <c r="AR18" i="8"/>
  <c r="AO18" i="8"/>
  <c r="AL18" i="8"/>
  <c r="AI18" i="8"/>
  <c r="AF18" i="8"/>
  <c r="AC18" i="8"/>
  <c r="Z18" i="8"/>
  <c r="W18" i="8"/>
  <c r="T18" i="8"/>
  <c r="BI14" i="8"/>
  <c r="BH14" i="8"/>
  <c r="G10" i="7"/>
  <c r="AX14" i="8"/>
  <c r="BG14" i="8"/>
  <c r="BD13" i="8"/>
  <c r="BA13" i="8"/>
  <c r="AZ13" i="8"/>
  <c r="AY13" i="8"/>
  <c r="AU13" i="8"/>
  <c r="AR13" i="8"/>
  <c r="AO13" i="8"/>
  <c r="AL13" i="8"/>
  <c r="AI13" i="8"/>
  <c r="AF13" i="8"/>
  <c r="AC13" i="8"/>
  <c r="Z13" i="8"/>
  <c r="W13" i="8"/>
  <c r="T13" i="8"/>
  <c r="BI12" i="8"/>
  <c r="H9" i="7"/>
  <c r="BH12" i="8"/>
  <c r="G9" i="7"/>
  <c r="AX12" i="8"/>
  <c r="BG12" i="8"/>
  <c r="F9" i="7"/>
  <c r="BI11" i="8"/>
  <c r="H8" i="7"/>
  <c r="BH11" i="8"/>
  <c r="G8" i="7"/>
  <c r="AX11" i="8"/>
  <c r="BG11" i="8"/>
  <c r="F8" i="7"/>
  <c r="BD10" i="8"/>
  <c r="BD9" i="8"/>
  <c r="BD8" i="8"/>
  <c r="BA10" i="8"/>
  <c r="BA9" i="8"/>
  <c r="BA8" i="8"/>
  <c r="AZ10" i="8"/>
  <c r="AY10" i="8"/>
  <c r="AY9" i="8"/>
  <c r="AY8" i="8"/>
  <c r="AU10" i="8"/>
  <c r="AU9" i="8"/>
  <c r="AU8" i="8"/>
  <c r="AR10" i="8"/>
  <c r="AO10" i="8"/>
  <c r="AO9" i="8"/>
  <c r="AO8" i="8"/>
  <c r="AL10" i="8"/>
  <c r="AL9" i="8"/>
  <c r="AL8" i="8"/>
  <c r="AI10" i="8"/>
  <c r="AI9" i="8"/>
  <c r="AI8" i="8"/>
  <c r="AF10" i="8"/>
  <c r="AC10" i="8"/>
  <c r="AC9" i="8"/>
  <c r="AC8" i="8"/>
  <c r="Z10" i="8"/>
  <c r="Z9" i="8"/>
  <c r="Z8" i="8"/>
  <c r="W10" i="8"/>
  <c r="W9" i="8"/>
  <c r="W8" i="8"/>
  <c r="T10" i="8"/>
  <c r="BA232" i="8"/>
  <c r="AX205" i="8"/>
  <c r="BG55" i="8"/>
  <c r="AX54" i="8"/>
  <c r="AX53" i="8"/>
  <c r="BG237" i="8"/>
  <c r="AX236" i="8"/>
  <c r="H25" i="7"/>
  <c r="BI45" i="8"/>
  <c r="BG50" i="8"/>
  <c r="T49" i="8"/>
  <c r="G93" i="7"/>
  <c r="BH205" i="8"/>
  <c r="BG241" i="8"/>
  <c r="F110" i="7"/>
  <c r="AX238" i="8"/>
  <c r="AX255" i="8"/>
  <c r="Z360" i="8"/>
  <c r="Z359" i="8"/>
  <c r="AF360" i="8"/>
  <c r="AF359" i="8"/>
  <c r="BG46" i="8"/>
  <c r="BG45" i="8"/>
  <c r="T45" i="8"/>
  <c r="BG66" i="8"/>
  <c r="BG65" i="8"/>
  <c r="T65" i="8"/>
  <c r="T58" i="8"/>
  <c r="F23" i="7"/>
  <c r="BG41" i="8"/>
  <c r="BG48" i="8"/>
  <c r="F26" i="7"/>
  <c r="AX47" i="8"/>
  <c r="AX40" i="8"/>
  <c r="AX39" i="8"/>
  <c r="BA101" i="8"/>
  <c r="H93" i="7"/>
  <c r="BI205" i="8"/>
  <c r="BG228" i="8"/>
  <c r="AX227" i="8"/>
  <c r="BG234" i="8"/>
  <c r="AX233" i="8"/>
  <c r="BA231" i="8"/>
  <c r="AC360" i="8"/>
  <c r="AC359" i="8"/>
  <c r="AO360" i="8"/>
  <c r="AO359" i="8"/>
  <c r="BD196" i="8"/>
  <c r="BD195" i="8"/>
  <c r="AC80" i="8"/>
  <c r="U118" i="8"/>
  <c r="U117" i="8"/>
  <c r="U357" i="8"/>
  <c r="U405" i="8"/>
  <c r="Y118" i="8"/>
  <c r="Y117" i="8"/>
  <c r="Y357" i="8"/>
  <c r="Y405" i="8"/>
  <c r="AC118" i="8"/>
  <c r="AC117" i="8"/>
  <c r="AG118" i="8"/>
  <c r="AG117" i="8"/>
  <c r="AG357" i="8"/>
  <c r="AG405" i="8"/>
  <c r="AK118" i="8"/>
  <c r="AK117" i="8"/>
  <c r="AK357" i="8"/>
  <c r="AK405" i="8"/>
  <c r="AO118" i="8"/>
  <c r="AO117" i="8"/>
  <c r="AS118" i="8"/>
  <c r="AS117" i="8"/>
  <c r="AS357" i="8"/>
  <c r="AS405" i="8"/>
  <c r="AW118" i="8"/>
  <c r="AW117" i="8"/>
  <c r="AW357" i="8"/>
  <c r="AW405" i="8"/>
  <c r="BB118" i="8"/>
  <c r="BB117" i="8"/>
  <c r="BF118" i="8"/>
  <c r="BF117" i="8"/>
  <c r="H141" i="7"/>
  <c r="BD332" i="8"/>
  <c r="T348" i="8"/>
  <c r="AR348" i="8"/>
  <c r="AX97" i="8"/>
  <c r="AC196" i="8"/>
  <c r="AC195" i="8"/>
  <c r="AO196" i="8"/>
  <c r="AO195" i="8"/>
  <c r="T360" i="8"/>
  <c r="T359" i="8"/>
  <c r="H55" i="7"/>
  <c r="BG233" i="8"/>
  <c r="F107" i="7"/>
  <c r="BG238" i="8"/>
  <c r="F116" i="7"/>
  <c r="F131" i="7"/>
  <c r="BG272" i="8"/>
  <c r="BG339" i="8"/>
  <c r="F157" i="7"/>
  <c r="T342" i="8"/>
  <c r="AF342" i="8"/>
  <c r="AR342" i="8"/>
  <c r="BD342" i="8"/>
  <c r="BI354" i="8"/>
  <c r="BI353" i="8"/>
  <c r="AR360" i="8"/>
  <c r="AR359" i="8"/>
  <c r="AR80" i="8"/>
  <c r="BC118" i="8"/>
  <c r="BC117" i="8"/>
  <c r="W131" i="8"/>
  <c r="W130" i="8"/>
  <c r="AI131" i="8"/>
  <c r="AI130" i="8"/>
  <c r="AU131" i="8"/>
  <c r="AU130" i="8"/>
  <c r="Z348" i="8"/>
  <c r="AL348" i="8"/>
  <c r="AX277" i="8"/>
  <c r="Z276" i="8"/>
  <c r="Z275" i="8"/>
  <c r="F94" i="7"/>
  <c r="AX83" i="8"/>
  <c r="AR276" i="8"/>
  <c r="AR275" i="8"/>
  <c r="AC348" i="8"/>
  <c r="AO348" i="8"/>
  <c r="BH354" i="8"/>
  <c r="BG356" i="8"/>
  <c r="AX354" i="8"/>
  <c r="AX353" i="8"/>
  <c r="BG207" i="8"/>
  <c r="AU276" i="8"/>
  <c r="AU275" i="8"/>
  <c r="BH349" i="8"/>
  <c r="Z17" i="8"/>
  <c r="Z16" i="8"/>
  <c r="AL17" i="8"/>
  <c r="AL16" i="8"/>
  <c r="BI83" i="8"/>
  <c r="AL101" i="8"/>
  <c r="BD131" i="8"/>
  <c r="BD130" i="8"/>
  <c r="G155" i="7"/>
  <c r="AC131" i="8"/>
  <c r="AC130" i="8"/>
  <c r="AO131" i="8"/>
  <c r="AO130" i="8"/>
  <c r="AZ131" i="8"/>
  <c r="AZ130" i="8"/>
  <c r="W196" i="8"/>
  <c r="W195" i="8"/>
  <c r="AI196" i="8"/>
  <c r="AI195" i="8"/>
  <c r="H134" i="7"/>
  <c r="AC276" i="8"/>
  <c r="AC275" i="8"/>
  <c r="G141" i="7"/>
  <c r="AF348" i="8"/>
  <c r="AI17" i="8"/>
  <c r="AI16" i="8"/>
  <c r="BG61" i="8"/>
  <c r="BG76" i="8"/>
  <c r="AX87" i="8"/>
  <c r="W101" i="8"/>
  <c r="AV118" i="8"/>
  <c r="AV117" i="8"/>
  <c r="AV357" i="8"/>
  <c r="AV405" i="8"/>
  <c r="AI277" i="8"/>
  <c r="F135" i="7"/>
  <c r="F141" i="7"/>
  <c r="F143" i="7"/>
  <c r="G145" i="7"/>
  <c r="H148" i="7"/>
  <c r="G150" i="7"/>
  <c r="H156" i="7"/>
  <c r="AC342" i="8"/>
  <c r="AO342" i="8"/>
  <c r="BD348" i="8"/>
  <c r="BD341" i="8"/>
  <c r="F167" i="7"/>
  <c r="T80" i="8"/>
  <c r="BA131" i="8"/>
  <c r="BA130" i="8"/>
  <c r="BH272" i="8"/>
  <c r="BH271" i="8"/>
  <c r="BG288" i="8"/>
  <c r="F136" i="7"/>
  <c r="W342" i="8"/>
  <c r="AI342" i="8"/>
  <c r="AU342" i="8"/>
  <c r="AX348" i="8"/>
  <c r="BG351" i="8"/>
  <c r="AZ118" i="8"/>
  <c r="AZ117" i="8"/>
  <c r="T131" i="8"/>
  <c r="T130" i="8"/>
  <c r="AF131" i="8"/>
  <c r="AF130" i="8"/>
  <c r="AR131" i="8"/>
  <c r="AR130" i="8"/>
  <c r="BA342" i="8"/>
  <c r="BA341" i="8"/>
  <c r="BI343" i="8"/>
  <c r="H159" i="7"/>
  <c r="BI374" i="8"/>
  <c r="BH394" i="8"/>
  <c r="BH393" i="8"/>
  <c r="BG89" i="8"/>
  <c r="F43" i="7"/>
  <c r="H52" i="7"/>
  <c r="W118" i="8"/>
  <c r="W117" i="8"/>
  <c r="AE118" i="8"/>
  <c r="AE117" i="8"/>
  <c r="AE357" i="8"/>
  <c r="AE405" i="8"/>
  <c r="AM118" i="8"/>
  <c r="AM117" i="8"/>
  <c r="AM357" i="8"/>
  <c r="AM405" i="8"/>
  <c r="AU118" i="8"/>
  <c r="AU117" i="8"/>
  <c r="BD118" i="8"/>
  <c r="BD117" i="8"/>
  <c r="BI132" i="8"/>
  <c r="BG166" i="8"/>
  <c r="AC179" i="8"/>
  <c r="AO179" i="8"/>
  <c r="W348" i="8"/>
  <c r="AI348" i="8"/>
  <c r="AI341" i="8"/>
  <c r="AU348" i="8"/>
  <c r="BI349" i="8"/>
  <c r="BA374" i="8"/>
  <c r="AX18" i="8"/>
  <c r="BI47" i="8"/>
  <c r="BI87" i="8"/>
  <c r="AO80" i="8"/>
  <c r="BI95" i="8"/>
  <c r="AB118" i="8"/>
  <c r="AB117" i="8"/>
  <c r="AB357" i="8"/>
  <c r="AB405" i="8"/>
  <c r="AF118" i="8"/>
  <c r="AF117" i="8"/>
  <c r="AR118" i="8"/>
  <c r="AR117" i="8"/>
  <c r="BI126" i="8"/>
  <c r="H59" i="7"/>
  <c r="T179" i="8"/>
  <c r="AF179" i="8"/>
  <c r="AR179" i="8"/>
  <c r="Z232" i="8"/>
  <c r="Z231" i="8"/>
  <c r="BI233" i="8"/>
  <c r="H107" i="7"/>
  <c r="BG282" i="8"/>
  <c r="F139" i="7"/>
  <c r="H143" i="7"/>
  <c r="F144" i="7"/>
  <c r="G146" i="7"/>
  <c r="F148" i="7"/>
  <c r="H155" i="7"/>
  <c r="BG343" i="8"/>
  <c r="F159" i="7"/>
  <c r="AC379" i="8"/>
  <c r="AC404" i="8"/>
  <c r="AC17" i="8"/>
  <c r="AC16" i="8"/>
  <c r="AO17" i="8"/>
  <c r="AO16" i="8"/>
  <c r="W17" i="8"/>
  <c r="W16" i="8"/>
  <c r="AU17" i="8"/>
  <c r="AU16" i="8"/>
  <c r="BI85" i="8"/>
  <c r="T101" i="8"/>
  <c r="AF101" i="8"/>
  <c r="AR101" i="8"/>
  <c r="AU196" i="8"/>
  <c r="AU195" i="8"/>
  <c r="H94" i="7"/>
  <c r="AL276" i="8"/>
  <c r="AL275" i="8"/>
  <c r="Z342" i="8"/>
  <c r="AL342" i="8"/>
  <c r="AL341" i="8"/>
  <c r="AX343" i="8"/>
  <c r="AX342" i="8"/>
  <c r="BH343" i="8"/>
  <c r="G159" i="7"/>
  <c r="BD360" i="8"/>
  <c r="BD359" i="8"/>
  <c r="BI63" i="8"/>
  <c r="AI80" i="8"/>
  <c r="AU80" i="8"/>
  <c r="AC101" i="8"/>
  <c r="AC79" i="8"/>
  <c r="AO101" i="8"/>
  <c r="F52" i="7"/>
  <c r="X118" i="8"/>
  <c r="X117" i="8"/>
  <c r="X357" i="8"/>
  <c r="X405" i="8"/>
  <c r="AJ118" i="8"/>
  <c r="AJ117" i="8"/>
  <c r="AJ357" i="8"/>
  <c r="AJ405" i="8"/>
  <c r="AN118" i="8"/>
  <c r="AN117" i="8"/>
  <c r="AN357" i="8"/>
  <c r="AN405" i="8"/>
  <c r="BE118" i="8"/>
  <c r="BE117" i="8"/>
  <c r="BH126" i="8"/>
  <c r="G59" i="7"/>
  <c r="AY131" i="8"/>
  <c r="AY130" i="8"/>
  <c r="BC131" i="8"/>
  <c r="BC130" i="8"/>
  <c r="BC357" i="8"/>
  <c r="AX141" i="8"/>
  <c r="AC148" i="8"/>
  <c r="AO148" i="8"/>
  <c r="BA148" i="8"/>
  <c r="H120" i="7"/>
  <c r="G122" i="7"/>
  <c r="H126" i="7"/>
  <c r="G142" i="7"/>
  <c r="F170" i="7"/>
  <c r="BH381" i="8"/>
  <c r="BG388" i="8"/>
  <c r="F180" i="7"/>
  <c r="H142" i="7"/>
  <c r="AX13" i="8"/>
  <c r="T17" i="8"/>
  <c r="T16" i="8"/>
  <c r="AF17" i="8"/>
  <c r="AF16" i="8"/>
  <c r="AR17" i="8"/>
  <c r="AR16" i="8"/>
  <c r="AX20" i="8"/>
  <c r="BI49" i="8"/>
  <c r="BH85" i="8"/>
  <c r="BH87" i="8"/>
  <c r="AI101" i="8"/>
  <c r="AU101" i="8"/>
  <c r="V118" i="8"/>
  <c r="V117" i="8"/>
  <c r="V357" i="8"/>
  <c r="V405" i="8"/>
  <c r="Z118" i="8"/>
  <c r="Z117" i="8"/>
  <c r="AD118" i="8"/>
  <c r="AD117" i="8"/>
  <c r="AD357" i="8"/>
  <c r="AD405" i="8"/>
  <c r="AH118" i="8"/>
  <c r="AH117" i="8"/>
  <c r="AH357" i="8"/>
  <c r="AH405" i="8"/>
  <c r="AL118" i="8"/>
  <c r="AL117" i="8"/>
  <c r="AP118" i="8"/>
  <c r="AP117" i="8"/>
  <c r="AP357" i="8"/>
  <c r="AP405" i="8"/>
  <c r="AT118" i="8"/>
  <c r="AT117" i="8"/>
  <c r="AT357" i="8"/>
  <c r="AT405" i="8"/>
  <c r="BE131" i="8"/>
  <c r="BE130" i="8"/>
  <c r="G61" i="7"/>
  <c r="G63" i="7"/>
  <c r="BG140" i="8"/>
  <c r="F64" i="7"/>
  <c r="T148" i="8"/>
  <c r="AF148" i="8"/>
  <c r="AR148" i="8"/>
  <c r="AX166" i="8"/>
  <c r="AC232" i="8"/>
  <c r="AC231" i="8"/>
  <c r="G109" i="7"/>
  <c r="F120" i="7"/>
  <c r="F126" i="7"/>
  <c r="BH265" i="8"/>
  <c r="W276" i="8"/>
  <c r="W275" i="8"/>
  <c r="BA276" i="8"/>
  <c r="BA275" i="8"/>
  <c r="BG350" i="8"/>
  <c r="F169" i="7"/>
  <c r="AO379" i="8"/>
  <c r="AO404" i="8"/>
  <c r="BI388" i="8"/>
  <c r="BH13" i="8"/>
  <c r="F78" i="7"/>
  <c r="BD179" i="8"/>
  <c r="AI179" i="8"/>
  <c r="T196" i="8"/>
  <c r="T195" i="8"/>
  <c r="AF196" i="8"/>
  <c r="AF195" i="8"/>
  <c r="AR196" i="8"/>
  <c r="AR195" i="8"/>
  <c r="F102" i="7"/>
  <c r="BG271" i="8"/>
  <c r="H139" i="7"/>
  <c r="H140" i="7"/>
  <c r="AO276" i="8"/>
  <c r="AO275" i="8"/>
  <c r="F142" i="7"/>
  <c r="H144" i="7"/>
  <c r="F155" i="7"/>
  <c r="AF332" i="8"/>
  <c r="BH351" i="8"/>
  <c r="BH380" i="8"/>
  <c r="BH383" i="8"/>
  <c r="G62" i="7"/>
  <c r="BG74" i="8"/>
  <c r="BG63" i="8"/>
  <c r="BH54" i="8"/>
  <c r="BH51" i="8"/>
  <c r="BH227" i="8"/>
  <c r="BI227" i="8"/>
  <c r="H102" i="7"/>
  <c r="H97" i="7"/>
  <c r="G97" i="7"/>
  <c r="BH10" i="8"/>
  <c r="BI67" i="8"/>
  <c r="H35" i="7"/>
  <c r="G56" i="7"/>
  <c r="H51" i="7"/>
  <c r="G51" i="7"/>
  <c r="BG102" i="8"/>
  <c r="F48" i="7"/>
  <c r="AZ17" i="8"/>
  <c r="AZ16" i="8"/>
  <c r="H17" i="7"/>
  <c r="BI10" i="8"/>
  <c r="BG49" i="8"/>
  <c r="F27" i="7"/>
  <c r="F51" i="7"/>
  <c r="F104" i="7"/>
  <c r="BG227" i="8"/>
  <c r="BI18" i="8"/>
  <c r="BH18" i="8"/>
  <c r="G12" i="7"/>
  <c r="BA17" i="8"/>
  <c r="BA16" i="8"/>
  <c r="BI20" i="8"/>
  <c r="BI17" i="8"/>
  <c r="BI16" i="8"/>
  <c r="G17" i="7"/>
  <c r="BI35" i="8"/>
  <c r="BI34" i="8"/>
  <c r="BI33" i="8"/>
  <c r="H21" i="7"/>
  <c r="G23" i="7"/>
  <c r="BH43" i="8"/>
  <c r="BI43" i="8"/>
  <c r="H24" i="7"/>
  <c r="G25" i="7"/>
  <c r="BH47" i="8"/>
  <c r="G26" i="7"/>
  <c r="BH49" i="8"/>
  <c r="G27" i="7"/>
  <c r="BI56" i="8"/>
  <c r="H30" i="7"/>
  <c r="BI59" i="8"/>
  <c r="H31" i="7"/>
  <c r="BH61" i="8"/>
  <c r="G32" i="7"/>
  <c r="BH63" i="8"/>
  <c r="G33" i="7"/>
  <c r="BH65" i="8"/>
  <c r="G34" i="7"/>
  <c r="BH74" i="8"/>
  <c r="G36" i="7"/>
  <c r="BI76" i="8"/>
  <c r="BH76" i="8"/>
  <c r="G37" i="7"/>
  <c r="BI81" i="8"/>
  <c r="BH81" i="8"/>
  <c r="G39" i="7"/>
  <c r="BH83" i="8"/>
  <c r="G40" i="7"/>
  <c r="BG87" i="8"/>
  <c r="F42" i="7"/>
  <c r="BH95" i="8"/>
  <c r="G44" i="7"/>
  <c r="AY105" i="8"/>
  <c r="AY101" i="8"/>
  <c r="AX110" i="8"/>
  <c r="AX109" i="8"/>
  <c r="AX119" i="8"/>
  <c r="AX118" i="8"/>
  <c r="AX117" i="8"/>
  <c r="BG121" i="8"/>
  <c r="F55" i="7"/>
  <c r="F56" i="7"/>
  <c r="H56" i="7"/>
  <c r="F61" i="7"/>
  <c r="H61" i="7"/>
  <c r="F62" i="7"/>
  <c r="H62" i="7"/>
  <c r="F63" i="7"/>
  <c r="H63" i="7"/>
  <c r="F67" i="7"/>
  <c r="F70" i="7"/>
  <c r="AX173" i="8"/>
  <c r="AX176" i="8"/>
  <c r="BH200" i="8"/>
  <c r="G91" i="7"/>
  <c r="G94" i="7"/>
  <c r="F97" i="7"/>
  <c r="G102" i="7"/>
  <c r="BI236" i="8"/>
  <c r="BH236" i="8"/>
  <c r="G108" i="7"/>
  <c r="F109" i="7"/>
  <c r="H109" i="7"/>
  <c r="BH238" i="8"/>
  <c r="G111" i="7"/>
  <c r="G120" i="7"/>
  <c r="F122" i="7"/>
  <c r="H122" i="7"/>
  <c r="G126" i="7"/>
  <c r="BI269" i="8"/>
  <c r="BI268" i="8"/>
  <c r="BH269" i="8"/>
  <c r="BH268" i="8"/>
  <c r="G130" i="7"/>
  <c r="BG279" i="8"/>
  <c r="G134" i="7"/>
  <c r="G140" i="7"/>
  <c r="F145" i="7"/>
  <c r="H145" i="7"/>
  <c r="H146" i="7"/>
  <c r="G147" i="7"/>
  <c r="F150" i="7"/>
  <c r="H150" i="7"/>
  <c r="G156" i="7"/>
  <c r="BG346" i="8"/>
  <c r="BH346" i="8"/>
  <c r="BH342" i="8"/>
  <c r="G160" i="7"/>
  <c r="BG381" i="8"/>
  <c r="F177" i="7"/>
  <c r="BD379" i="8"/>
  <c r="BD404" i="8"/>
  <c r="BG386" i="8"/>
  <c r="F179" i="7"/>
  <c r="BI386" i="8"/>
  <c r="BG13" i="8"/>
  <c r="F10" i="7"/>
  <c r="BI13" i="8"/>
  <c r="H10" i="7"/>
  <c r="BG18" i="8"/>
  <c r="F12" i="7"/>
  <c r="F17" i="7"/>
  <c r="BG35" i="8"/>
  <c r="BG34" i="8"/>
  <c r="BG33" i="8"/>
  <c r="C5" i="5"/>
  <c r="F20" i="7"/>
  <c r="H23" i="7"/>
  <c r="F25" i="7"/>
  <c r="BG47" i="8"/>
  <c r="BI51" i="8"/>
  <c r="H28" i="7"/>
  <c r="BG54" i="8"/>
  <c r="F29" i="7"/>
  <c r="BI54" i="8"/>
  <c r="H29" i="7"/>
  <c r="BG56" i="8"/>
  <c r="BH56" i="8"/>
  <c r="G30" i="7"/>
  <c r="BH59" i="8"/>
  <c r="G31" i="7"/>
  <c r="BI61" i="8"/>
  <c r="H32" i="7"/>
  <c r="F34" i="7"/>
  <c r="BI65" i="8"/>
  <c r="H34" i="7"/>
  <c r="BI74" i="8"/>
  <c r="H36" i="7"/>
  <c r="BG81" i="8"/>
  <c r="F39" i="7"/>
  <c r="BG83" i="8"/>
  <c r="F40" i="7"/>
  <c r="BD80" i="8"/>
  <c r="BG95" i="8"/>
  <c r="F44" i="7"/>
  <c r="BG200" i="8"/>
  <c r="F91" i="7"/>
  <c r="BI200" i="8"/>
  <c r="H91" i="7"/>
  <c r="BG236" i="8"/>
  <c r="F108" i="7"/>
  <c r="BI247" i="8"/>
  <c r="H116" i="7"/>
  <c r="F130" i="7"/>
  <c r="BI272" i="8"/>
  <c r="BI271" i="8"/>
  <c r="H131" i="7"/>
  <c r="BG278" i="8"/>
  <c r="F133" i="7"/>
  <c r="AF277" i="8"/>
  <c r="BI346" i="8"/>
  <c r="H160" i="7"/>
  <c r="BI351" i="8"/>
  <c r="H162" i="7"/>
  <c r="T380" i="8"/>
  <c r="T379" i="8"/>
  <c r="T404" i="8"/>
  <c r="BI381" i="8"/>
  <c r="BG384" i="8"/>
  <c r="BG380" i="8"/>
  <c r="BH386" i="8"/>
  <c r="BI394" i="8"/>
  <c r="BI393" i="8"/>
  <c r="G148" i="7"/>
  <c r="H147" i="7"/>
  <c r="G144" i="7"/>
  <c r="G143" i="7"/>
  <c r="G139" i="7"/>
  <c r="H135" i="7"/>
  <c r="G135" i="7"/>
  <c r="BI277" i="8"/>
  <c r="H136" i="7"/>
  <c r="BH277" i="8"/>
  <c r="G136" i="7"/>
  <c r="BI332" i="8"/>
  <c r="BH332" i="8"/>
  <c r="BH233" i="8"/>
  <c r="G107" i="7"/>
  <c r="BG10" i="8"/>
  <c r="AF80" i="8"/>
  <c r="AZ80" i="8"/>
  <c r="Z80" i="8"/>
  <c r="AL80" i="8"/>
  <c r="BG97" i="8"/>
  <c r="BG115" i="8"/>
  <c r="BG20" i="8"/>
  <c r="T9" i="8"/>
  <c r="T8" i="8"/>
  <c r="AF9" i="8"/>
  <c r="AF8" i="8"/>
  <c r="AR9" i="8"/>
  <c r="AR8" i="8"/>
  <c r="AX10" i="8"/>
  <c r="AX9" i="8"/>
  <c r="AX8" i="8"/>
  <c r="AZ9" i="8"/>
  <c r="AZ8" i="8"/>
  <c r="BH20" i="8"/>
  <c r="AX35" i="8"/>
  <c r="AX34" i="8"/>
  <c r="AX33" i="8"/>
  <c r="BH35" i="8"/>
  <c r="BH34" i="8"/>
  <c r="BH33" i="8"/>
  <c r="G5" i="5"/>
  <c r="T44" i="8"/>
  <c r="T43" i="8"/>
  <c r="T40" i="8"/>
  <c r="T39" i="8"/>
  <c r="BH67" i="8"/>
  <c r="G35" i="7"/>
  <c r="BG86" i="8"/>
  <c r="AU79" i="8"/>
  <c r="BH89" i="8"/>
  <c r="W97" i="8"/>
  <c r="W80" i="8"/>
  <c r="BH97" i="8"/>
  <c r="BI97" i="8"/>
  <c r="BI102" i="8"/>
  <c r="BD101" i="8"/>
  <c r="AZ105" i="8"/>
  <c r="AZ101" i="8"/>
  <c r="BI107" i="8"/>
  <c r="BI105" i="8"/>
  <c r="BG126" i="8"/>
  <c r="F59" i="7"/>
  <c r="BH102" i="8"/>
  <c r="G48" i="7"/>
  <c r="Z101" i="8"/>
  <c r="BI110" i="8"/>
  <c r="BI109" i="8"/>
  <c r="AA118" i="8"/>
  <c r="AA117" i="8"/>
  <c r="AA357" i="8"/>
  <c r="AA405" i="8"/>
  <c r="AI118" i="8"/>
  <c r="AI117" i="8"/>
  <c r="AQ118" i="8"/>
  <c r="AQ117" i="8"/>
  <c r="AQ357" i="8"/>
  <c r="AQ405" i="8"/>
  <c r="AY118" i="8"/>
  <c r="AY117" i="8"/>
  <c r="BA126" i="8"/>
  <c r="BA118" i="8"/>
  <c r="BA117" i="8"/>
  <c r="AX132" i="8"/>
  <c r="BG149" i="8"/>
  <c r="W148" i="8"/>
  <c r="AI148" i="8"/>
  <c r="AI147" i="8"/>
  <c r="AU148" i="8"/>
  <c r="BD148" i="8"/>
  <c r="Z179" i="8"/>
  <c r="AL179" i="8"/>
  <c r="BA179" i="8"/>
  <c r="BG184" i="8"/>
  <c r="F82" i="7"/>
  <c r="AX182" i="8"/>
  <c r="AX179" i="8"/>
  <c r="W179" i="8"/>
  <c r="BH197" i="8"/>
  <c r="AX196" i="8"/>
  <c r="AX195" i="8"/>
  <c r="BG206" i="8"/>
  <c r="BI238" i="8"/>
  <c r="T232" i="8"/>
  <c r="AF232" i="8"/>
  <c r="AF231" i="8"/>
  <c r="AR232" i="8"/>
  <c r="AR231" i="8"/>
  <c r="BI265" i="8"/>
  <c r="T381" i="8"/>
  <c r="T383" i="8"/>
  <c r="Z385" i="8"/>
  <c r="Z379" i="8"/>
  <c r="Z404" i="8"/>
  <c r="AL385" i="8"/>
  <c r="AL379" i="8"/>
  <c r="AL404" i="8"/>
  <c r="AX385" i="8"/>
  <c r="AX379" i="8"/>
  <c r="BG399" i="8"/>
  <c r="BG398" i="8"/>
  <c r="BG397" i="8"/>
  <c r="BH119" i="8"/>
  <c r="BH118" i="8"/>
  <c r="BH117" i="8"/>
  <c r="G8" i="5"/>
  <c r="BH132" i="8"/>
  <c r="BG171" i="8"/>
  <c r="F77" i="7"/>
  <c r="Z196" i="8"/>
  <c r="Z195" i="8"/>
  <c r="AL196" i="8"/>
  <c r="AL195" i="8"/>
  <c r="AL232" i="8"/>
  <c r="AL231" i="8"/>
  <c r="BH247" i="8"/>
  <c r="W232" i="8"/>
  <c r="W231" i="8"/>
  <c r="AI232" i="8"/>
  <c r="AU232" i="8"/>
  <c r="AU231" i="8"/>
  <c r="BG322" i="8"/>
  <c r="BD301" i="8"/>
  <c r="BI383" i="8"/>
  <c r="BI380" i="8"/>
  <c r="AF379" i="8"/>
  <c r="AF404" i="8"/>
  <c r="AR379" i="8"/>
  <c r="AR404" i="8"/>
  <c r="BH388" i="8"/>
  <c r="BG395" i="8"/>
  <c r="BA394" i="8"/>
  <c r="BA393" i="8"/>
  <c r="T276" i="8"/>
  <c r="T275" i="8"/>
  <c r="AR341" i="8"/>
  <c r="BG374" i="8"/>
  <c r="W385" i="8"/>
  <c r="W379" i="8"/>
  <c r="W404" i="8"/>
  <c r="AI385" i="8"/>
  <c r="AI379" i="8"/>
  <c r="AI404" i="8"/>
  <c r="AU385" i="8"/>
  <c r="AU379" i="8"/>
  <c r="AU404" i="8"/>
  <c r="BH399" i="8"/>
  <c r="BH398" i="8"/>
  <c r="BH397" i="8"/>
  <c r="BI176" i="8"/>
  <c r="BI197" i="8"/>
  <c r="BG106" i="8"/>
  <c r="AX105" i="8"/>
  <c r="AX101" i="8"/>
  <c r="AY80" i="8"/>
  <c r="AY20" i="8"/>
  <c r="AY17" i="8"/>
  <c r="AY16" i="8"/>
  <c r="BG52" i="8"/>
  <c r="BH110" i="8"/>
  <c r="BH109" i="8"/>
  <c r="AX161" i="8"/>
  <c r="BG161" i="8"/>
  <c r="BI161" i="8"/>
  <c r="BG60" i="8"/>
  <c r="BG70" i="8"/>
  <c r="BG67" i="8"/>
  <c r="F35" i="7"/>
  <c r="BI119" i="8"/>
  <c r="BH105" i="8"/>
  <c r="Z131" i="8"/>
  <c r="Z130" i="8"/>
  <c r="AL131" i="8"/>
  <c r="AL130" i="8"/>
  <c r="BB131" i="8"/>
  <c r="BB130" i="8"/>
  <c r="BB357" i="8"/>
  <c r="BB405" i="8"/>
  <c r="BF131" i="8"/>
  <c r="BF130" i="8"/>
  <c r="BF357" i="8"/>
  <c r="BF405" i="8"/>
  <c r="BG173" i="8"/>
  <c r="AU179" i="8"/>
  <c r="BG210" i="8"/>
  <c r="F95" i="7"/>
  <c r="BG321" i="8"/>
  <c r="AF301" i="8"/>
  <c r="BA79" i="8"/>
  <c r="BG141" i="8"/>
  <c r="F65" i="7"/>
  <c r="BH141" i="8"/>
  <c r="AX163" i="8"/>
  <c r="BG163" i="8"/>
  <c r="BI163" i="8"/>
  <c r="BI361" i="8"/>
  <c r="BI89" i="8"/>
  <c r="BI141" i="8"/>
  <c r="Z148" i="8"/>
  <c r="AL148" i="8"/>
  <c r="AO232" i="8"/>
  <c r="AO231" i="8"/>
  <c r="T119" i="8"/>
  <c r="T118" i="8"/>
  <c r="T117" i="8"/>
  <c r="AX149" i="8"/>
  <c r="BI182" i="8"/>
  <c r="BI179" i="8"/>
  <c r="T231" i="8"/>
  <c r="BG298" i="8"/>
  <c r="F140" i="7"/>
  <c r="AX301" i="8"/>
  <c r="BG320" i="8"/>
  <c r="BG355" i="8"/>
  <c r="BH361" i="8"/>
  <c r="BH374" i="8"/>
  <c r="BG176" i="8"/>
  <c r="BG199" i="8"/>
  <c r="BG254" i="8"/>
  <c r="BG247" i="8"/>
  <c r="BI399" i="8"/>
  <c r="BI398" i="8"/>
  <c r="BI397" i="8"/>
  <c r="BH255" i="8"/>
  <c r="BI255" i="8"/>
  <c r="BG259" i="8"/>
  <c r="BG255" i="8"/>
  <c r="BG266" i="8"/>
  <c r="BH301" i="8"/>
  <c r="BI301" i="8"/>
  <c r="AI332" i="8"/>
  <c r="BG338" i="8"/>
  <c r="BA361" i="8"/>
  <c r="BA360" i="8"/>
  <c r="BA359" i="8"/>
  <c r="BG372" i="8"/>
  <c r="F172" i="7"/>
  <c r="AX361" i="8"/>
  <c r="AX360" i="8"/>
  <c r="AX359" i="8"/>
  <c r="BA383" i="8"/>
  <c r="BA380" i="8"/>
  <c r="AX404" i="8"/>
  <c r="BH40" i="8"/>
  <c r="AX232" i="8"/>
  <c r="AX231" i="8"/>
  <c r="BI204" i="8"/>
  <c r="BI203" i="8"/>
  <c r="BH204" i="8"/>
  <c r="BH203" i="8"/>
  <c r="BI40" i="8"/>
  <c r="I12" i="5"/>
  <c r="BC405" i="8"/>
  <c r="AX204" i="8"/>
  <c r="AX203" i="8"/>
  <c r="AX276" i="8"/>
  <c r="AX275" i="8"/>
  <c r="I5" i="5"/>
  <c r="BE357" i="8"/>
  <c r="BE405" i="8"/>
  <c r="F183" i="7"/>
  <c r="I4" i="5"/>
  <c r="BG205" i="8"/>
  <c r="T341" i="8"/>
  <c r="AU147" i="8"/>
  <c r="BI385" i="8"/>
  <c r="BI379" i="8"/>
  <c r="H163" i="7"/>
  <c r="BG354" i="8"/>
  <c r="BG182" i="8"/>
  <c r="BG179" i="8"/>
  <c r="W79" i="8"/>
  <c r="BH348" i="8"/>
  <c r="H54" i="7"/>
  <c r="BI196" i="8"/>
  <c r="BI195" i="8"/>
  <c r="BD147" i="8"/>
  <c r="AF79" i="8"/>
  <c r="F134" i="7"/>
  <c r="AF341" i="8"/>
  <c r="BA147" i="8"/>
  <c r="BA357" i="8"/>
  <c r="AR79" i="8"/>
  <c r="T79" i="8"/>
  <c r="BG17" i="8"/>
  <c r="BG16" i="8"/>
  <c r="C4" i="5"/>
  <c r="BI53" i="8"/>
  <c r="T147" i="8"/>
  <c r="W341" i="8"/>
  <c r="AX341" i="8"/>
  <c r="BG44" i="8"/>
  <c r="F24" i="7"/>
  <c r="AZ79" i="8"/>
  <c r="AZ357" i="8"/>
  <c r="AZ405" i="8"/>
  <c r="BH17" i="8"/>
  <c r="BH16" i="8"/>
  <c r="G4" i="5"/>
  <c r="J4" i="5"/>
  <c r="AO79" i="8"/>
  <c r="AU341" i="8"/>
  <c r="AO341" i="8"/>
  <c r="Z341" i="8"/>
  <c r="BI342" i="8"/>
  <c r="AL147" i="8"/>
  <c r="BI360" i="8"/>
  <c r="BI359" i="8"/>
  <c r="AX131" i="8"/>
  <c r="AX130" i="8"/>
  <c r="AI79" i="8"/>
  <c r="AC341" i="8"/>
  <c r="G12" i="5"/>
  <c r="BI118" i="8"/>
  <c r="BI117" i="8"/>
  <c r="F166" i="7"/>
  <c r="BI58" i="8"/>
  <c r="F93" i="7"/>
  <c r="BG361" i="8"/>
  <c r="BG360" i="8"/>
  <c r="BG359" i="8"/>
  <c r="C17" i="5"/>
  <c r="AI276" i="8"/>
  <c r="AI275" i="8"/>
  <c r="BG132" i="8"/>
  <c r="BG119" i="8"/>
  <c r="BG118" i="8"/>
  <c r="BG117" i="8"/>
  <c r="C8" i="5"/>
  <c r="AL79" i="8"/>
  <c r="H166" i="7"/>
  <c r="BI348" i="8"/>
  <c r="BG342" i="8"/>
  <c r="BG73" i="8"/>
  <c r="AR147" i="8"/>
  <c r="AR357" i="8"/>
  <c r="AX17" i="8"/>
  <c r="AX16" i="8"/>
  <c r="AC147" i="8"/>
  <c r="AX80" i="8"/>
  <c r="AX79" i="8"/>
  <c r="F147" i="7"/>
  <c r="BG332" i="8"/>
  <c r="G54" i="7"/>
  <c r="BI9" i="8"/>
  <c r="BI8" i="8"/>
  <c r="BH385" i="8"/>
  <c r="BH379" i="8"/>
  <c r="G18" i="5"/>
  <c r="BG385" i="8"/>
  <c r="BD79" i="8"/>
  <c r="AF147" i="8"/>
  <c r="BH101" i="8"/>
  <c r="BH196" i="8"/>
  <c r="BH195" i="8"/>
  <c r="G11" i="5"/>
  <c r="G166" i="7"/>
  <c r="BG301" i="8"/>
  <c r="BH53" i="8"/>
  <c r="BH58" i="8"/>
  <c r="BH73" i="8"/>
  <c r="BH39" i="8"/>
  <c r="BG53" i="8"/>
  <c r="BH9" i="8"/>
  <c r="BH8" i="8"/>
  <c r="G3" i="5"/>
  <c r="AO147" i="8"/>
  <c r="BA379" i="8"/>
  <c r="BA404" i="8"/>
  <c r="BG9" i="8"/>
  <c r="BG8" i="8"/>
  <c r="C3" i="5"/>
  <c r="W147" i="8"/>
  <c r="F161" i="7"/>
  <c r="BG349" i="8"/>
  <c r="BG348" i="8"/>
  <c r="BG170" i="8"/>
  <c r="BG148" i="8"/>
  <c r="BI232" i="8"/>
  <c r="BI231" i="8"/>
  <c r="BG204" i="8"/>
  <c r="BG203" i="8"/>
  <c r="BI73" i="8"/>
  <c r="AY79" i="8"/>
  <c r="AY357" i="8"/>
  <c r="AY405" i="8"/>
  <c r="H182" i="7"/>
  <c r="I19" i="5"/>
  <c r="BG394" i="8"/>
  <c r="BG393" i="8"/>
  <c r="F181" i="7"/>
  <c r="BG277" i="8"/>
  <c r="BG383" i="8"/>
  <c r="F178" i="7"/>
  <c r="F156" i="7"/>
  <c r="F146" i="7"/>
  <c r="BG265" i="8"/>
  <c r="BG232" i="8"/>
  <c r="BG231" i="8"/>
  <c r="F128" i="7"/>
  <c r="F124" i="7"/>
  <c r="F121" i="7"/>
  <c r="BG197" i="8"/>
  <c r="BG196" i="8"/>
  <c r="BG195" i="8"/>
  <c r="C11" i="5"/>
  <c r="F90" i="7"/>
  <c r="BG353" i="8"/>
  <c r="F163" i="7"/>
  <c r="AX148" i="8"/>
  <c r="AX147" i="8"/>
  <c r="BI131" i="8"/>
  <c r="BI130" i="8"/>
  <c r="H65" i="7"/>
  <c r="BH131" i="8"/>
  <c r="BH130" i="8"/>
  <c r="G9" i="5"/>
  <c r="G65" i="7"/>
  <c r="BG131" i="8"/>
  <c r="BG130" i="8"/>
  <c r="C9" i="5"/>
  <c r="BG59" i="8"/>
  <c r="BG58" i="8"/>
  <c r="F31" i="7"/>
  <c r="BG51" i="8"/>
  <c r="F28" i="7"/>
  <c r="BG105" i="8"/>
  <c r="BG101" i="8"/>
  <c r="F49" i="7"/>
  <c r="G182" i="7"/>
  <c r="G19" i="5"/>
  <c r="AI231" i="8"/>
  <c r="BD276" i="8"/>
  <c r="BD275" i="8"/>
  <c r="BI101" i="8"/>
  <c r="H48" i="7"/>
  <c r="BG85" i="8"/>
  <c r="BG80" i="8"/>
  <c r="F41" i="7"/>
  <c r="BG110" i="8"/>
  <c r="BG109" i="8"/>
  <c r="F53" i="7"/>
  <c r="AF276" i="8"/>
  <c r="AF275" i="8"/>
  <c r="BH353" i="8"/>
  <c r="BH341" i="8"/>
  <c r="G15" i="5"/>
  <c r="G163" i="7"/>
  <c r="H49" i="7"/>
  <c r="BH276" i="8"/>
  <c r="BH275" i="8"/>
  <c r="G14" i="5"/>
  <c r="BI80" i="8"/>
  <c r="H43" i="7"/>
  <c r="BH80" i="8"/>
  <c r="G43" i="7"/>
  <c r="BI276" i="8"/>
  <c r="BI275" i="8"/>
  <c r="BH232" i="8"/>
  <c r="BH231" i="8"/>
  <c r="G13" i="5"/>
  <c r="Z79" i="8"/>
  <c r="Z147" i="8"/>
  <c r="BI148" i="8"/>
  <c r="BI147" i="8"/>
  <c r="BH360" i="8"/>
  <c r="BH359" i="8"/>
  <c r="BD357" i="8"/>
  <c r="BG43" i="8"/>
  <c r="BG40" i="8"/>
  <c r="BG39" i="8"/>
  <c r="AI357" i="8"/>
  <c r="AI405" i="8"/>
  <c r="AL357" i="8"/>
  <c r="BI39" i="8"/>
  <c r="I18" i="5"/>
  <c r="I8" i="5"/>
  <c r="Z357" i="8"/>
  <c r="W357" i="8"/>
  <c r="W405" i="8"/>
  <c r="T357" i="8"/>
  <c r="BH404" i="8"/>
  <c r="I9" i="5"/>
  <c r="I10" i="5"/>
  <c r="I14" i="5"/>
  <c r="BG147" i="8"/>
  <c r="C10" i="5"/>
  <c r="I17" i="5"/>
  <c r="AO357" i="8"/>
  <c r="AO405" i="8"/>
  <c r="AX357" i="8"/>
  <c r="AX405" i="8"/>
  <c r="AF357" i="8"/>
  <c r="AF405" i="8"/>
  <c r="I11" i="5"/>
  <c r="I13" i="5"/>
  <c r="AC357" i="8"/>
  <c r="AC405" i="8"/>
  <c r="AU357" i="8"/>
  <c r="AU405" i="8"/>
  <c r="BA405" i="8"/>
  <c r="BI404" i="8"/>
  <c r="C12" i="5"/>
  <c r="BG379" i="8"/>
  <c r="AL405" i="8"/>
  <c r="C6" i="5"/>
  <c r="BI341" i="8"/>
  <c r="BG341" i="8"/>
  <c r="C15" i="5"/>
  <c r="C13" i="5"/>
  <c r="BD405" i="8"/>
  <c r="BH79" i="8"/>
  <c r="G7" i="5"/>
  <c r="I6" i="5"/>
  <c r="AR405" i="8"/>
  <c r="BG276" i="8"/>
  <c r="BG275" i="8"/>
  <c r="C14" i="5"/>
  <c r="BG79" i="8"/>
  <c r="C7" i="5"/>
  <c r="G6" i="5"/>
  <c r="BI79" i="8"/>
  <c r="G17" i="5"/>
  <c r="Z405" i="8"/>
  <c r="C18" i="5"/>
  <c r="BG404" i="8"/>
  <c r="I7" i="5"/>
  <c r="I15" i="5"/>
  <c r="T405" i="8"/>
  <c r="BH357" i="8"/>
  <c r="BG357" i="8"/>
  <c r="BI357" i="8"/>
  <c r="G19" i="7"/>
  <c r="H92" i="7"/>
  <c r="F182" i="7"/>
  <c r="G7" i="7"/>
  <c r="H19" i="7"/>
  <c r="F19" i="7"/>
  <c r="G60" i="7"/>
  <c r="BH405" i="8"/>
  <c r="BG405" i="8"/>
  <c r="BI405" i="8"/>
  <c r="H176" i="7"/>
  <c r="H184" i="7"/>
  <c r="G176" i="7"/>
  <c r="G184" i="7"/>
  <c r="H60" i="7"/>
  <c r="G92" i="7"/>
  <c r="H106" i="7"/>
  <c r="F22" i="7"/>
  <c r="H11" i="7"/>
  <c r="H132" i="7"/>
  <c r="F38" i="7"/>
  <c r="F7" i="7"/>
  <c r="F106" i="7"/>
  <c r="H158" i="7"/>
  <c r="H38" i="7"/>
  <c r="F132" i="7"/>
  <c r="F92" i="7"/>
  <c r="G106" i="7"/>
  <c r="G158" i="7"/>
  <c r="F66" i="7"/>
  <c r="F11" i="7"/>
  <c r="F158" i="7"/>
  <c r="F54" i="7"/>
  <c r="G11" i="7"/>
  <c r="G38" i="7"/>
  <c r="G66" i="7"/>
  <c r="H22" i="7"/>
  <c r="H7" i="7"/>
  <c r="G22" i="7"/>
  <c r="F60" i="7"/>
  <c r="H66" i="7"/>
  <c r="G132" i="7"/>
  <c r="F176" i="7"/>
  <c r="F184" i="7"/>
  <c r="K18" i="5"/>
  <c r="H164" i="7"/>
  <c r="H185" i="7"/>
  <c r="G164" i="7"/>
  <c r="G185" i="7"/>
  <c r="F164" i="7"/>
  <c r="F185" i="7"/>
  <c r="K17" i="5"/>
  <c r="M17" i="5"/>
  <c r="N17" i="5"/>
  <c r="M18" i="5"/>
  <c r="M19" i="5"/>
  <c r="N19" i="5"/>
  <c r="C20" i="5"/>
  <c r="K20" i="5"/>
  <c r="G20" i="5"/>
  <c r="I20" i="5"/>
  <c r="E20" i="5"/>
  <c r="L19" i="5"/>
  <c r="J19" i="5"/>
  <c r="H19" i="5"/>
  <c r="F19" i="5"/>
  <c r="L18" i="5"/>
  <c r="J18" i="5"/>
  <c r="H18" i="5"/>
  <c r="F18" i="5"/>
  <c r="L17" i="5"/>
  <c r="J17" i="5"/>
  <c r="H17" i="5"/>
  <c r="F17" i="5"/>
  <c r="H20" i="5"/>
  <c r="L20" i="5"/>
  <c r="F20" i="5"/>
  <c r="J20" i="5"/>
  <c r="M20" i="5"/>
  <c r="N20" i="5"/>
  <c r="N18" i="5"/>
  <c r="F5" i="5"/>
  <c r="L14" i="5"/>
  <c r="M12" i="5"/>
  <c r="N12" i="5"/>
  <c r="J12" i="5"/>
  <c r="H5" i="5"/>
  <c r="M11" i="5"/>
  <c r="N11" i="5"/>
  <c r="F11" i="5"/>
  <c r="M5" i="5"/>
  <c r="N5" i="5"/>
  <c r="H11" i="5"/>
  <c r="L4" i="5"/>
  <c r="H3" i="5"/>
  <c r="F3" i="5"/>
  <c r="M3" i="5"/>
  <c r="N3" i="5"/>
  <c r="J11" i="5"/>
  <c r="L11" i="5"/>
  <c r="L12" i="5"/>
  <c r="M9" i="5"/>
  <c r="N9" i="5"/>
  <c r="L9" i="5"/>
  <c r="J9" i="5"/>
  <c r="M14" i="5"/>
  <c r="H8" i="5"/>
  <c r="I16" i="5"/>
  <c r="I22" i="5"/>
  <c r="N33" i="5"/>
  <c r="F13" i="5"/>
  <c r="H4" i="5"/>
  <c r="M4" i="5"/>
  <c r="N4" i="5"/>
  <c r="M7" i="5"/>
  <c r="N7" i="5"/>
  <c r="F8" i="5"/>
  <c r="M13" i="5"/>
  <c r="N13" i="5"/>
  <c r="F12" i="5"/>
  <c r="H12" i="5"/>
  <c r="J14" i="5"/>
  <c r="J5" i="5"/>
  <c r="L5" i="5"/>
  <c r="J8" i="5"/>
  <c r="F4" i="5"/>
  <c r="M15" i="5"/>
  <c r="N15" i="5"/>
  <c r="M6" i="5"/>
  <c r="N6" i="5"/>
  <c r="L8" i="5"/>
  <c r="M8" i="5"/>
  <c r="N8" i="5"/>
  <c r="H9" i="5"/>
  <c r="F9" i="5"/>
  <c r="M10" i="5"/>
  <c r="N10" i="5"/>
  <c r="F10" i="5"/>
  <c r="L15" i="5"/>
  <c r="H15" i="5"/>
  <c r="F15" i="5"/>
  <c r="H13" i="5"/>
  <c r="J13" i="5"/>
  <c r="L13" i="5"/>
  <c r="J15" i="5"/>
  <c r="F6" i="5"/>
  <c r="F7" i="5"/>
  <c r="H7" i="5"/>
  <c r="E16" i="5"/>
  <c r="C31" i="5"/>
  <c r="F14" i="5"/>
  <c r="C16" i="5"/>
  <c r="H14" i="5"/>
  <c r="C33" i="5"/>
  <c r="L7" i="5"/>
  <c r="J7" i="5"/>
  <c r="H10" i="5"/>
  <c r="J10" i="5"/>
  <c r="L10" i="5"/>
  <c r="J6" i="5"/>
  <c r="H6" i="5"/>
  <c r="G16" i="5"/>
  <c r="L6" i="5"/>
  <c r="N14" i="5"/>
  <c r="M16" i="5"/>
  <c r="F16" i="5"/>
  <c r="E22" i="5"/>
  <c r="N31" i="5"/>
  <c r="C22" i="5"/>
  <c r="N30" i="5"/>
  <c r="C30" i="5"/>
  <c r="D30" i="5"/>
  <c r="K16" i="5"/>
  <c r="L16" i="5"/>
  <c r="J16" i="5"/>
  <c r="H16" i="5"/>
  <c r="G22" i="5"/>
  <c r="C32" i="5"/>
  <c r="C35" i="5"/>
  <c r="M22" i="5"/>
  <c r="N16" i="5"/>
  <c r="D31" i="5"/>
  <c r="D35" i="5"/>
  <c r="F22" i="5"/>
  <c r="K22" i="5"/>
  <c r="N34" i="5"/>
  <c r="C34" i="5"/>
  <c r="D34" i="5"/>
  <c r="O30" i="5"/>
  <c r="O31" i="5"/>
  <c r="N35" i="5"/>
  <c r="O35" i="5"/>
  <c r="N22" i="5"/>
  <c r="J22" i="5"/>
  <c r="N32" i="5"/>
  <c r="H22" i="5"/>
  <c r="D32" i="5"/>
  <c r="D33" i="5"/>
  <c r="L22" i="5"/>
  <c r="O32" i="5"/>
  <c r="O33" i="5"/>
  <c r="O34" i="5"/>
</calcChain>
</file>

<file path=xl/sharedStrings.xml><?xml version="1.0" encoding="utf-8"?>
<sst xmlns="http://schemas.openxmlformats.org/spreadsheetml/2006/main" count="3019" uniqueCount="1522">
  <si>
    <t>Implementación del Sistema Departamental de Servicio a la Ciudadanía SDSC   en la Administración Departamental.</t>
  </si>
  <si>
    <t>INCLUSIÓN SOCIAL Y EQUIDAD</t>
  </si>
  <si>
    <t>PRODUCTIVIDAD Y COMPETITIVIDAD</t>
  </si>
  <si>
    <t>TERRITORIO, AMBIENTE Y DESARROLLO SOSTENIBLE</t>
  </si>
  <si>
    <t>Implementación de procesos productivos agropecuarios familiares campesinos en busca de la soberanía y seguridad alimentaria.</t>
  </si>
  <si>
    <t>Implementación de procesos de extensión agropecuaria e inocuidad (estatus sanitario, BPA, BPG) alimentaria.</t>
  </si>
  <si>
    <t>Implementación de acciones de Gestión del Cambio Climatico en el marco del PIGCC.</t>
  </si>
  <si>
    <t>Fortalecimiento territoral para una gestión educativa integral en la Secretaría de Educación Departamental del Quindío</t>
  </si>
  <si>
    <t>Aplicación funcionamiento y prestación del servicio educativo de las instituciones educativas.</t>
  </si>
  <si>
    <t>Prestación de Servicios a la Población no Afiliada al Sistema General de Seguridad Social en Salud  y en los no POS  a la Población Afiliada al Régimen Subsidiado.</t>
  </si>
  <si>
    <t>Aprovechamiento biológico y consumo de  alimentos idóneos  en el Departamento del Quindío</t>
  </si>
  <si>
    <t xml:space="preserve">Asistencia atención a las personas y prioridades en salud pública en el  Departamento del Quindío- Plan de Intervenciones Colectivas PIC. </t>
  </si>
  <si>
    <t>UNIDAD EJECUTORA</t>
  </si>
  <si>
    <t>APROPIACION DEFINITIVA</t>
  </si>
  <si>
    <t>% PD</t>
  </si>
  <si>
    <t>CERTIFICADOS</t>
  </si>
  <si>
    <t>% CDP</t>
  </si>
  <si>
    <t>COMPROMISOS</t>
  </si>
  <si>
    <t>% RP</t>
  </si>
  <si>
    <t xml:space="preserve">OBLIGACIONES </t>
  </si>
  <si>
    <t>% OBLIG</t>
  </si>
  <si>
    <t>PAGOS</t>
  </si>
  <si>
    <t>% PAGOS</t>
  </si>
  <si>
    <t>SALDO DISPONIBLE</t>
  </si>
  <si>
    <t>% SALDO DISP.</t>
  </si>
  <si>
    <t>Administrativa</t>
  </si>
  <si>
    <t>Planeación</t>
  </si>
  <si>
    <t>Hacienda</t>
  </si>
  <si>
    <t>Aguas e Infraestructura</t>
  </si>
  <si>
    <t>Interior</t>
  </si>
  <si>
    <t>Cultura</t>
  </si>
  <si>
    <t>Turismo Industria y Comercio</t>
  </si>
  <si>
    <t>Agricultura, Desarrollo Rural y Medio Ambiente</t>
  </si>
  <si>
    <t>Oficina Privada</t>
  </si>
  <si>
    <t>Educación</t>
  </si>
  <si>
    <t>Familia</t>
  </si>
  <si>
    <t>Salud</t>
  </si>
  <si>
    <t>Tecnología de la Información y las Comunicaciones</t>
  </si>
  <si>
    <t>SUB TOTAL SECTOR CENTRAL</t>
  </si>
  <si>
    <t>Indeportes</t>
  </si>
  <si>
    <t>Promotora</t>
  </si>
  <si>
    <t>IDTQ</t>
  </si>
  <si>
    <t xml:space="preserve">SUBTOTAL SECTOR DESCENTRALIZADO </t>
  </si>
  <si>
    <t>TOTAL INVERSION</t>
  </si>
  <si>
    <t>Presupuesto</t>
  </si>
  <si>
    <t>Valor</t>
  </si>
  <si>
    <t>%</t>
  </si>
  <si>
    <t>Definitivo</t>
  </si>
  <si>
    <t>Certificados</t>
  </si>
  <si>
    <t>Compromisos</t>
  </si>
  <si>
    <t>Obligaciones</t>
  </si>
  <si>
    <t>Pagos</t>
  </si>
  <si>
    <t>Disponible</t>
  </si>
  <si>
    <t>TOTAL DEPARTAMENTO INVERSION QUINDIO</t>
  </si>
  <si>
    <t>TOTAL DEPARTAMENTO INVERSION SECTOR CENTRAL</t>
  </si>
  <si>
    <t xml:space="preserve">CODIGO:  </t>
  </si>
  <si>
    <t xml:space="preserve">VERSIÓN: </t>
  </si>
  <si>
    <t xml:space="preserve">FECHA: </t>
  </si>
  <si>
    <t>PÁGINA:</t>
  </si>
  <si>
    <t>1 de 1</t>
  </si>
  <si>
    <t>LÍNEA ESTRATÉGICA</t>
  </si>
  <si>
    <t>No. PROGRAMA INTERNO</t>
  </si>
  <si>
    <t>CÓDIGO DEL PROGRAMA KPT</t>
  </si>
  <si>
    <t>PROGRAMA</t>
  </si>
  <si>
    <t>INDICADOR DE RESULTADO Y/O BIENESTAR</t>
  </si>
  <si>
    <t>No. PRODUCTO INTERNO</t>
  </si>
  <si>
    <t>CODIGO DEL PRODUCTO KPT</t>
  </si>
  <si>
    <t>META PRODUCTO</t>
  </si>
  <si>
    <t>No. INDICADOR PRODUCTO INTERNO</t>
  </si>
  <si>
    <t>CÓDIGO INDICADOR PRODUCTO KPT</t>
  </si>
  <si>
    <t>INDICADOR DEL PRODUCTO</t>
  </si>
  <si>
    <t>TIPO DE META I/M/R</t>
  </si>
  <si>
    <t>META
 2020 -2013</t>
  </si>
  <si>
    <t>META 2020</t>
  </si>
  <si>
    <t>CÓDIGO SECTOR FUT</t>
  </si>
  <si>
    <t>CÓDIGO BPIN</t>
  </si>
  <si>
    <t>NOMBRE DEL PROYECTO</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</si>
  <si>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</si>
  <si>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</si>
  <si>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</si>
  <si>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</si>
  <si>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PRESTACIÓN DE SERVICIOS - EDUCACIÓN  - Y CONECTIVIDAD
</t>
  </si>
  <si>
    <t>SGP APORTES PATRONALES - CANCELACIÓN DE PRESTACIONES SOCIALES -EDUCACIÓN</t>
  </si>
  <si>
    <t xml:space="preserve">FONDO DE EDUCACION,  PAE, CONVENIO MEN 
</t>
  </si>
  <si>
    <t xml:space="preserve">SGP AGUA POTABLE Y SANEAMIENTO BÁSICO
</t>
  </si>
  <si>
    <t xml:space="preserve">RECURSO ORDINARIO
</t>
  </si>
  <si>
    <t xml:space="preserve">TOTAL
</t>
  </si>
  <si>
    <t>p</t>
  </si>
  <si>
    <t>E</t>
  </si>
  <si>
    <t>COMPROMISO</t>
  </si>
  <si>
    <t xml:space="preserve">304 -SECRETARÍA ADMINISTRATIVA </t>
  </si>
  <si>
    <t xml:space="preserve">LIDERAZGO, GOBERNABILIDAD Y TRANSPARENCIA.   </t>
  </si>
  <si>
    <t>DNP</t>
  </si>
  <si>
    <t>Fortalecimiento de la Gestión  y Desempeño Institucional. "Quindío con una administración al servicio de la ciudadanía "</t>
  </si>
  <si>
    <t>Índice de Gestión del Modelo Integrado de Planeación y de Gestión MIPG  de la Administración Departamental</t>
  </si>
  <si>
    <t>45.1</t>
  </si>
  <si>
    <t>45.1.1</t>
  </si>
  <si>
    <t>Número de Dimensiones y Políticas   de MIPG implementadas.</t>
  </si>
  <si>
    <t>M</t>
  </si>
  <si>
    <t xml:space="preserve">17. Fortalecimiento Institucional </t>
  </si>
  <si>
    <t>202000363-0003</t>
  </si>
  <si>
    <t>Implementación del  Modelo Integrado de Planeación y de Gestión MIPG  de la  Administración Departamental del Quindío (Dimensiones  de Talento humano,  Información y Comunicación y Gestión del Conocimiento).</t>
  </si>
  <si>
    <t>45.9</t>
  </si>
  <si>
    <t>Estrategias  de actualización, depuración, seguimiento y evaluación de las bases de datos  del Pasivo Pensional  de la Administración Departamental.</t>
  </si>
  <si>
    <t>45.9.1</t>
  </si>
  <si>
    <t>Estrategias  de actualización, depuración, seguimiento y evaluación de las bases de datos  del Pasivo Pensional  de la Administración Departamental</t>
  </si>
  <si>
    <t>202000363-0004</t>
  </si>
  <si>
    <t>Actualización, depuración, seguimiento y evaluación   del  Pasivo Pensional  de la Administración Departamental del Quindío</t>
  </si>
  <si>
    <t>Participación ciudadana y política y respeto por los derechos humanos y diversidad de creencias. "Quindío integrado y participativo"</t>
  </si>
  <si>
    <t>Porcentaje promedio  de participación de ciudadanos en los eventos de elección popular.</t>
  </si>
  <si>
    <t>42.3</t>
  </si>
  <si>
    <t>Implementación del Plan de Acción del Sistema Departamental de Servicio a la Ciudadanía SDSC</t>
  </si>
  <si>
    <t>42.3.1</t>
  </si>
  <si>
    <t xml:space="preserve">Plan de Acción del Sistema Departamental de Servicio a la Ciudadanía SDSC implementado. </t>
  </si>
  <si>
    <t>16. Desarrollo Comunitario</t>
  </si>
  <si>
    <t>202000363-0005</t>
  </si>
  <si>
    <t xml:space="preserve">305 SECRETARÍA DE PLANEACIÓN </t>
  </si>
  <si>
    <t>LIDERAZGO, GOBERNABILIDAD Y TRANSPARENCIA</t>
  </si>
  <si>
    <t>Porcentaje promedio  de participación de ciudadanos en los eventos de elección popular</t>
  </si>
  <si>
    <t>42.2</t>
  </si>
  <si>
    <t>Fortalecimiento técnico y logístico del  Consejo Territorial de Planeación Departamental, como representantes de la sociedad civil en la planeación  del desarrollo integral  de la entidad territorial</t>
  </si>
  <si>
    <t>42.2.1</t>
  </si>
  <si>
    <t xml:space="preserve">Consejo Territorial de Planeación Departamental fortalecido.   </t>
  </si>
  <si>
    <t>201663000-0007</t>
  </si>
  <si>
    <t>Asistencia al Consejo Territorial de Planeación del Departamento del Quindío</t>
  </si>
  <si>
    <t>Fortalecimiento de la Gestión  y Desempeño Institucional. "Quindío con una administración al servicio de la ciudadanía"</t>
  </si>
  <si>
    <t>45.5</t>
  </si>
  <si>
    <t>45.5.1</t>
  </si>
  <si>
    <t xml:space="preserve">Instrumentos de planificación de ordenamiento y gestión territorial departamental implementados. </t>
  </si>
  <si>
    <t>201900363-0002</t>
  </si>
  <si>
    <t>Formulación  e implementación del  Plan de Desarrollo Departamental 2020-2023</t>
  </si>
  <si>
    <t>Instrumentos de planificación para el ordenamiento y la gestión territorial departamental (Plan de Desarrollo Departamental PDD, Ordenamiento Territorial, Sistema de Información Geográfica, Mecanismos de Integración, Catastro multipropósito etc.).</t>
  </si>
  <si>
    <t>201663000-0009</t>
  </si>
  <si>
    <t>Diseño e implementación instrumentos de  planificación para el  ordenamiento  territorial, social y económico del  Departamento del Quindío</t>
  </si>
  <si>
    <t>45.4</t>
  </si>
  <si>
    <t>Observatorio económico del departamento, con procesos de fortalecimiento</t>
  </si>
  <si>
    <t>45.4.1</t>
  </si>
  <si>
    <t>Observatorio económico del Departamento del Quindío actualizado y dotado.</t>
  </si>
  <si>
    <t>201663000-0010</t>
  </si>
  <si>
    <t xml:space="preserve">Diseño e implementación del Observatorio  de Desarrollo Humano en el Departamento del Quindío </t>
  </si>
  <si>
    <t>45.3</t>
  </si>
  <si>
    <t>Banco de Programas y Proyectos del Departamento  con procesos de fortalecimiento.</t>
  </si>
  <si>
    <t>45.3.1</t>
  </si>
  <si>
    <t>Banco de Programas y Proyectos del Departamento fortalecido</t>
  </si>
  <si>
    <t>201663000-0012</t>
  </si>
  <si>
    <t>Implementación Sistema de Cooperación Internacional y  de Gestión de proyectos  del Depratamento del Quindío - "Fabrica de Proyectos"</t>
  </si>
  <si>
    <t>Índice de Gestión del Modelo Integrado de Planeación y de Gestión MIPG   Departamental (Entes Territoriales Municipales)</t>
  </si>
  <si>
    <t>45.17</t>
  </si>
  <si>
    <t xml:space="preserve">Entes territoriales  con servicio de asistencia técnica de los Instrumentos de Planificación para  el Ordenamiento y la Gestión Territorial departamental. </t>
  </si>
  <si>
    <t>45.17.1</t>
  </si>
  <si>
    <t>Entes territoriales con procesos de asistencia técnica realizadas.</t>
  </si>
  <si>
    <t>201663000-0014</t>
  </si>
  <si>
    <t>Asistencia  técnica, seguimiento y evaluación  de la gestión  territorial en los  municipios del Departamento del  Quindío</t>
  </si>
  <si>
    <t>45.12</t>
  </si>
  <si>
    <t>Entes territoriales con servicio de asistencia  técnica del Modelo Integrado de Planeación y de Gestión MIPG</t>
  </si>
  <si>
    <t>45.12.1</t>
  </si>
  <si>
    <t>Entes Territoriales con procesos de asistencia técnica realizadas.</t>
  </si>
  <si>
    <t>45.13</t>
  </si>
  <si>
    <t>Entes territoriales  con servicio de asistencia técnica en la Medición del Desempeño Municipal.</t>
  </si>
  <si>
    <t>45.13.1</t>
  </si>
  <si>
    <t>45.15</t>
  </si>
  <si>
    <t xml:space="preserve">Entes territoriales  con servicio de asistencia técnica  en el Sistema de Identificación de Potenciales Beneficiarios de Programas Sociales (SISBEN). </t>
  </si>
  <si>
    <t>45.15.1</t>
  </si>
  <si>
    <t>45.16</t>
  </si>
  <si>
    <t>Entes territoriales con servicio de asistencia técnica en la formulación, preparación, seguimiento y evaluación de las políticas públicas.</t>
  </si>
  <si>
    <t>45.16.1</t>
  </si>
  <si>
    <t>45.14</t>
  </si>
  <si>
    <t xml:space="preserve">Entes territoriales  con servicio de asistencia técnica en Banco de Programas y Proyectos de Inversión Nacional (BPIN).  </t>
  </si>
  <si>
    <t>45.14.1</t>
  </si>
  <si>
    <t>202000363-0006</t>
  </si>
  <si>
    <t xml:space="preserve">Implementación  del Modelo Integrado de Planeación y de Gestión MIPG en la Administración Departamental del Quindío </t>
  </si>
  <si>
    <t>45.2</t>
  </si>
  <si>
    <t>Estrategia para el mejoramiento del Índice de Desempeño Fiscal en la Administración Departamental.</t>
  </si>
  <si>
    <t>45.2.1</t>
  </si>
  <si>
    <t>Estrategia  de fortalecimiento  del Índice de Desempeño  Fiscal implementadas.</t>
  </si>
  <si>
    <t>201663000-0016</t>
  </si>
  <si>
    <t>Mejoramiento de la sostenibilidad de los procesos de fiscalización liquidación control y cobranza de los tributos en el Departamento del Quindío</t>
  </si>
  <si>
    <t>45.11</t>
  </si>
  <si>
    <t xml:space="preserve">Programa para el cumplimiento de las políticas y prácticas contables para la administración departamental         </t>
  </si>
  <si>
    <t>45.11.1</t>
  </si>
  <si>
    <t>Programa para el cumplimiento de las políticas y prácticas contables implementado</t>
  </si>
  <si>
    <t>201663000-0017</t>
  </si>
  <si>
    <t>Promoción al acceso a la justicia."Tú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</si>
  <si>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</si>
  <si>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1.2</t>
  </si>
  <si>
    <t>Infraestructura de las Instituciones de Seguridad del Estado con procesos constructivos, y/o mejorados, y/o ampliados, y/o mantenidos, y/o reforzados</t>
  </si>
  <si>
    <t>1.2.1</t>
  </si>
  <si>
    <t>Infraestructura de las Instituciones de Seguridad del Estado construida, mejorada, ampliada, mantenida, y/o reforzada</t>
  </si>
  <si>
    <t>I</t>
  </si>
  <si>
    <t>202000363-0007</t>
  </si>
  <si>
    <t>Construcción y/o mejoramiento de las instituciones públicas y/o de seguridad y  justicia  del estado en el Departamento Quindío</t>
  </si>
  <si>
    <t>Prestación de servicios de salud. "Tú y yo con servicios de salud"</t>
  </si>
  <si>
    <t>Índice Departamental de Competitividad</t>
  </si>
  <si>
    <t>13.11</t>
  </si>
  <si>
    <t xml:space="preserve">Infraestructura hospitalaria con procesos constructivos, mejorados, ampliados, mantenidos, y/o reforzados </t>
  </si>
  <si>
    <t>13.11.1</t>
  </si>
  <si>
    <t>Infraestructura hospitalaria con procesos constructivos, mejorados, ampliados, mantenidos, y/o reforzados realizados</t>
  </si>
  <si>
    <t>2. Salud</t>
  </si>
  <si>
    <t>202000363-0008</t>
  </si>
  <si>
    <t>Construcción y/o mejoramiento de la infraestructura física de las instituciones de salud pública y bienestar social del departamento del Quindío</t>
  </si>
  <si>
    <t>Calidad, cobertura y fortalecimiento de la educación inicial, prescolar, básica y media." Tú y yo con educación y de calidad"</t>
  </si>
  <si>
    <t>mantenidos, y/o reforzados</t>
  </si>
  <si>
    <t>Tasa de cobertura bruta en transición
Tasa de cobertura bruta en educación básica
Tasa de cobertura en educación media
Tasa de deserción escolar intra-anual</t>
  </si>
  <si>
    <t>15.32</t>
  </si>
  <si>
    <t>Infraestructura de Instituciones Educativas con procesos constructivos, mejorados, ampliados, mantenidos, y/o reforzados.</t>
  </si>
  <si>
    <t>15.32.1</t>
  </si>
  <si>
    <t>Infraestructura de Instituciones Educativas construida, mejorada, ampliada, mantenida, y/o reforzada.</t>
  </si>
  <si>
    <t>1. Educación</t>
  </si>
  <si>
    <t>201663000-0021</t>
  </si>
  <si>
    <t>Construir, mantener, mejorar y/o rehabilitar la infraestructura social del Departamento del Quindío</t>
  </si>
  <si>
    <t>Promoción y acceso efectivo a procesos culturales y artísticos. "Tú y yo somos cultura Quindiana"</t>
  </si>
  <si>
    <t>25.3</t>
  </si>
  <si>
    <t>3301068</t>
  </si>
  <si>
    <t>Servicio de mantenimiento de infraestructura cultural</t>
  </si>
  <si>
    <t>25.3.1</t>
  </si>
  <si>
    <t>330106800</t>
  </si>
  <si>
    <t>Infraestructura cultural intervenida</t>
  </si>
  <si>
    <t xml:space="preserve">5. Cultura </t>
  </si>
  <si>
    <t>Fomento a la recreación, la actividad física y el deporte. "Tú y yo en la recreación y el deporte"</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</si>
  <si>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</si>
  <si>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39.4</t>
  </si>
  <si>
    <t xml:space="preserve">Infraestructura  deportiva y/o recreativa con procesos   constructivos ,  y/o mejorados, y/o ampliados, y/o mantenidos, y/o  reforzados </t>
  </si>
  <si>
    <t>39.4.1</t>
  </si>
  <si>
    <t xml:space="preserve">Infraestructura   deportiva y/o recreativa construída y/o mejorada, y/o ampliada, y/o mantenida, y/o  reforzada </t>
  </si>
  <si>
    <t>4. Deporte y Recreación</t>
  </si>
  <si>
    <t>Formación y preparación de deportistas. "Tú y yo campeones"</t>
  </si>
  <si>
    <t>40.1</t>
  </si>
  <si>
    <t>Piscinas construidas y dotadas</t>
  </si>
  <si>
    <t>40.1.1</t>
  </si>
  <si>
    <t>Infraestructura productiva y comercialización. "Tú y yo con agro competitivo"</t>
  </si>
  <si>
    <t>Crecimiento económico del sector agropecuario (PIB)</t>
  </si>
  <si>
    <t>10.4</t>
  </si>
  <si>
    <t>Plazas de mercado adecuadas</t>
  </si>
  <si>
    <t>10.4.1</t>
  </si>
  <si>
    <t>13. Promoción del Desarrollo</t>
  </si>
  <si>
    <t>202000363-0009</t>
  </si>
  <si>
    <t>Construcción y/o mejoramiento  de la infraestructura turística y/o  productiva y  competitiva para el desarrollo del Departamento del Quindío</t>
  </si>
  <si>
    <t xml:space="preserve">Productividad y competitividad de las empresas colombianas. "Tú y yo con empresas competitivas" </t>
  </si>
  <si>
    <t>27.8</t>
  </si>
  <si>
    <t>Mirador turístico construido</t>
  </si>
  <si>
    <t>27.8.1</t>
  </si>
  <si>
    <t>Construcción y/o mejoramiento  de la infraestructura turística y/o  productiva y  competitiva para el desarrollo del Departamento del Quindío.</t>
  </si>
  <si>
    <t>Infraestructura red vial regional. "Tú y yo con movilidad vial"</t>
  </si>
  <si>
    <t>18.2</t>
  </si>
  <si>
    <t>Infraestructura   vial  con procesos  de construcción, mejoramiento, ampliación, mantenimiento y/o  reforzamiento.</t>
  </si>
  <si>
    <t>18.2.1</t>
  </si>
  <si>
    <t>9. Transporte</t>
  </si>
  <si>
    <t>201663000-0019</t>
  </si>
  <si>
    <t>Mantener, mejorar, rehabilitar y/o atender las vías y sus emergencias, en cumplimiento del Plan Vial del Departamento del Quindío</t>
  </si>
  <si>
    <t>3202</t>
  </si>
  <si>
    <t>Conservación de la biodiversidad y sus servicios ecosistémicos. "Tú y yo en territorios biodiversos"</t>
  </si>
  <si>
    <t xml:space="preserve">Porcentaje de Ecosistemas protegidos y/o en procesos de restauración en el Departamento </t>
  </si>
  <si>
    <t>21.3</t>
  </si>
  <si>
    <t xml:space="preserve">Infraestructura ecoturística construida </t>
  </si>
  <si>
    <t>21.3.1</t>
  </si>
  <si>
    <t>Ordenamiento Ambiental Territorial. "Tú y yo planificamos con sentido ambiental"</t>
  </si>
  <si>
    <t>23.5.1</t>
  </si>
  <si>
    <t>Obras de infraestructura para mitigación y atención a desastres</t>
  </si>
  <si>
    <t xml:space="preserve">Obras de infraestructura para mitigación y atención a desastres realizadas </t>
  </si>
  <si>
    <t>Acceso a soluciones de vivienda. "Tú y yo con vivienda digna"</t>
  </si>
  <si>
    <t>33.3</t>
  </si>
  <si>
    <t>Viviendas de interés social urbanas mejoradas</t>
  </si>
  <si>
    <t>33.3.1</t>
  </si>
  <si>
    <t>Viviendas de Interés Social urbanas mejoradas</t>
  </si>
  <si>
    <t>7. Vivienda</t>
  </si>
  <si>
    <t>Acceso de la población a los servicios de agua potable y saneamiento básico. "Tú y yo con calidad del agua"</t>
  </si>
  <si>
    <t xml:space="preserve">Cobertura de acueducto
Cobertura  de alcantarillado </t>
  </si>
  <si>
    <t>34.6</t>
  </si>
  <si>
    <t xml:space="preserve">Adoptar e implementar la Política Pública de Producción Consumo Sostenible y Gestión Integral de Aseo  </t>
  </si>
  <si>
    <t>34.6.1</t>
  </si>
  <si>
    <t>Política Pública de Producción Consumo Sostenible y Gestión Integral de Aseo  adoptada e implementada.</t>
  </si>
  <si>
    <t>3. Agua Potable y Saneamiento Básico</t>
  </si>
  <si>
    <t>202000363-0010</t>
  </si>
  <si>
    <t>Implementación del plan departamental para el mamenjo empresarial de los servicios de agua y saneamiento básico en el Departameno del Quindío</t>
  </si>
  <si>
    <t>34.1</t>
  </si>
  <si>
    <t>Alcantarillados construidos</t>
  </si>
  <si>
    <t>34.1.1</t>
  </si>
  <si>
    <t>Plantas de tratamiento de aguas residuales  construidas</t>
  </si>
  <si>
    <t>34.2</t>
  </si>
  <si>
    <t>Servicios de apoyo financiero para la ejecución de proyectos de acueductos y alcantarillado</t>
  </si>
  <si>
    <t>34.2.1</t>
  </si>
  <si>
    <t>Proyectos de acueducto y alcantarillado en área urbana financiados</t>
  </si>
  <si>
    <t>34.4</t>
  </si>
  <si>
    <t>Servicios de educación informal en agua potable y saneamiento básico</t>
  </si>
  <si>
    <t>34.4.1</t>
  </si>
  <si>
    <t>Eventos de educación informal en agua y saneamiento básico realizados</t>
  </si>
  <si>
    <t>34.5</t>
  </si>
  <si>
    <t>Estudios de pre inversión e inversión</t>
  </si>
  <si>
    <t>34.5.1</t>
  </si>
  <si>
    <t xml:space="preserve">Estudios o diseños realizados </t>
  </si>
  <si>
    <t>45.10</t>
  </si>
  <si>
    <t>Infraestructura institucional o  de edificios públicos de atención  de servicios ciudadanos con procesos constructivos y/o mejorados, y/o ampliados, y/o mantenidos, y/o  reforzados</t>
  </si>
  <si>
    <t>45.10.1</t>
  </si>
  <si>
    <t>Infraestructura Institucional o edificios públicos construida mejorada, ampliada, mantenida, y/o reforzada</t>
  </si>
  <si>
    <t>42.7</t>
  </si>
  <si>
    <t>Salones comunales adecuados</t>
  </si>
  <si>
    <t>42.7.1</t>
  </si>
  <si>
    <t xml:space="preserve">309  SECRETARÍA DEL INTERIOR </t>
  </si>
  <si>
    <t>1.1</t>
  </si>
  <si>
    <t>1.1.1</t>
  </si>
  <si>
    <t>Entidades territoriales asistidas técnicamente</t>
  </si>
  <si>
    <t>18. Justicia y Seguridad</t>
  </si>
  <si>
    <t>201663000-0029</t>
  </si>
  <si>
    <t>Apoyo a la convivencia, justicia y cultura de paz en el Departamento del  Quindío</t>
  </si>
  <si>
    <t>Promoción de los métodos de resolución de conflictos. "Tú y yo resolvemos los conflictos"</t>
  </si>
  <si>
    <t>2.1</t>
  </si>
  <si>
    <t>Servicio de asistencia técnica para la implementación de los métodos de resolución de conflictos</t>
  </si>
  <si>
    <t>2.1.1</t>
  </si>
  <si>
    <t>Instituciones públicas y privadas asistidas técnicamente en métodos de resolución de conflictos</t>
  </si>
  <si>
    <t>201663000-0028</t>
  </si>
  <si>
    <t xml:space="preserve">Construcción integral de la seguridad humana en el Departamento de Quindío  </t>
  </si>
  <si>
    <t>Sistema penitenciario y carcelario en el marco de los derechos humanos. "Quindío respeta derechos penitenciarios"</t>
  </si>
  <si>
    <t>3.1</t>
  </si>
  <si>
    <t>Servicio de resocialización de personas privadas de la libertad</t>
  </si>
  <si>
    <t>3.1.1</t>
  </si>
  <si>
    <t>Personas privadas de la libertad (PPL) que reciben Servicio de resocialización</t>
  </si>
  <si>
    <t>15.28</t>
  </si>
  <si>
    <t>Servicio de gestión de riesgos y desastres en establecimientos educativos</t>
  </si>
  <si>
    <t>15.28.1</t>
  </si>
  <si>
    <t>Establecimientos educativos con acciones de gestión del riesgo implementadas</t>
  </si>
  <si>
    <t>201663000-0036</t>
  </si>
  <si>
    <t xml:space="preserve">Administración del  riesgo mediante el conocimiento, la reducción y el manejo del desastre  en el Departamento del Quindío </t>
  </si>
  <si>
    <t>Atención, asistencia y reparación integral a las víctimas. "Tú y yo con reparación integral"</t>
  </si>
  <si>
    <t>Cobertura de la población victima atendida con procesos de atención, prevención y asistencia humanitaria</t>
  </si>
  <si>
    <t>35.2</t>
  </si>
  <si>
    <t>Servicio de orientación y comunicación a las víctimas</t>
  </si>
  <si>
    <t>35.2.1</t>
  </si>
  <si>
    <t>Solicitudes tramitadas</t>
  </si>
  <si>
    <t>14. Atención a Grupos Vulnerables Promoción Social</t>
  </si>
  <si>
    <t>201663000-0030</t>
  </si>
  <si>
    <t>Implementación del Plan de Acción Territorial para la prevención, protección, asistencia, atención, reparación integral en el Departamento del Quindío</t>
  </si>
  <si>
    <t>35.3</t>
  </si>
  <si>
    <t>Servicio de ayuda y atención humanitaria</t>
  </si>
  <si>
    <t>35.3.1</t>
  </si>
  <si>
    <t>Personas víctimas con ayuda humanitaria</t>
  </si>
  <si>
    <t>35.4</t>
  </si>
  <si>
    <t>Servicio de asistencia técnica para la participación de las víctimas</t>
  </si>
  <si>
    <t>35.4.1</t>
  </si>
  <si>
    <t>Eventos de participación realizados</t>
  </si>
  <si>
    <t>Cobertura de víctimas atendidas con la línea de emprendimiento y fortalecimiento.</t>
  </si>
  <si>
    <t>35.5</t>
  </si>
  <si>
    <t>Servicio de apoyo para la generación de ingresos</t>
  </si>
  <si>
    <t>35.5.1</t>
  </si>
  <si>
    <t>Hogares con asistencia técnica para la generación de ingresos</t>
  </si>
  <si>
    <t>Cobertura de Personas víctimas del conflicto beneficiadas con medidas de satisfacción (Construcción de memoria, Reparación simbólica y Construcción de lugares de memoria)</t>
  </si>
  <si>
    <t>35.1</t>
  </si>
  <si>
    <t>Servicio de asistencia técnica para la realización de iniciativas de memoria histórica</t>
  </si>
  <si>
    <t>35.1.1</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</si>
  <si>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</si>
  <si>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</si>
  <si>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</si>
  <si>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37.8</t>
  </si>
  <si>
    <t>Servicio de atención y asistencia para la población excombatiente del Departamento del Quindío</t>
  </si>
  <si>
    <t>37.8.1</t>
  </si>
  <si>
    <t>Población excombatiente beneficiada</t>
  </si>
  <si>
    <t>201663000-0032</t>
  </si>
  <si>
    <t>Implementación del Plan Integral de prevención de vulneraciones de los Derechos Humanos DDHH e infracciones  al Derecho Internacional Humanitario DIH en el Departamento del Quindío</t>
  </si>
  <si>
    <t>Fortalecimiento de la convivencia y la seguridad ciudadana. "Tú y yo seguros"</t>
  </si>
  <si>
    <t>41.3</t>
  </si>
  <si>
    <t>Fortalecimiento institucional a organismos de seguridad</t>
  </si>
  <si>
    <t>41.3.1</t>
  </si>
  <si>
    <t>Organismos de seguridad fortalecidos</t>
  </si>
  <si>
    <t>41.2</t>
  </si>
  <si>
    <t>Servicio de apoyo para la implementación de medidas en derechos humanos y derecho internacional humanitario</t>
  </si>
  <si>
    <t>41.2.1</t>
  </si>
  <si>
    <t>Medidas implementadas en cumplimiento de las obligaciones internacionales en materia de Derechos Humanos y Derecho Internacional Humanitario</t>
  </si>
  <si>
    <t>41.1</t>
  </si>
  <si>
    <t>Servicio de asistencia técnica</t>
  </si>
  <si>
    <t>41.1.1</t>
  </si>
  <si>
    <t>Instancias territoriales de coordinación institucional asistidas y apoyadas</t>
  </si>
  <si>
    <t>201663000-0039</t>
  </si>
  <si>
    <t>Construcción de la participación ciudadana y control social en el Departamento del Quindío</t>
  </si>
  <si>
    <t>23.1</t>
  </si>
  <si>
    <t>Documentos de estudios técnicos para el ordenamiento ambiental territorial</t>
  </si>
  <si>
    <t>23.1.1</t>
  </si>
  <si>
    <t>Documentos de estudios técnicos para el conocimiento y reducción del riesgo de desastres elaborados</t>
  </si>
  <si>
    <t>12. Prevención y Atención de Desastres</t>
  </si>
  <si>
    <t>23.5</t>
  </si>
  <si>
    <t>Prevención y atención de desastres y emergencias. "Tú y yo preparados en gestión del riesgo"</t>
  </si>
  <si>
    <t>43.1</t>
  </si>
  <si>
    <t>Servicio de educación informal</t>
  </si>
  <si>
    <t>43.1.1</t>
  </si>
  <si>
    <t>Personas capacitadas</t>
  </si>
  <si>
    <t>Cobertura de atención  del Sistema Departamental de Gestión del Riesgo de Desastres del Quindío.</t>
  </si>
  <si>
    <t>43.2</t>
  </si>
  <si>
    <t>43.2.1</t>
  </si>
  <si>
    <t>Instancias territoriales asistidas</t>
  </si>
  <si>
    <t>43.3</t>
  </si>
  <si>
    <t>Servicio de atención a emergencias y desastres</t>
  </si>
  <si>
    <t>43.3.1</t>
  </si>
  <si>
    <t>Centro de reserva  para la atención a emergencias y desastres dotado</t>
  </si>
  <si>
    <t>201663000-0038</t>
  </si>
  <si>
    <t>Apoyo institucional en la gestión del riesgo  en el Departamento del Quindío</t>
  </si>
  <si>
    <t>42.8</t>
  </si>
  <si>
    <t>Servicio de promoción a la participación ciudadana</t>
  </si>
  <si>
    <t>42.8.1</t>
  </si>
  <si>
    <t>Iniciativas para la promoción de la participación ciudadana implementada.</t>
  </si>
  <si>
    <t>42.9</t>
  </si>
  <si>
    <t>Implementar la Política de Libertad Religiosa</t>
  </si>
  <si>
    <t>42.9.1</t>
  </si>
  <si>
    <t>Política de Libertad Religiosa Implementado</t>
  </si>
  <si>
    <t>42.5</t>
  </si>
  <si>
    <t>Fortalecimiento de los organismos  de acción comunal (OAC)  de los doce municipios del Departamento en lo relacionado a sus procesos formativos, participativos, de organización y  gestión.</t>
  </si>
  <si>
    <t>42.5.1</t>
  </si>
  <si>
    <t>201663000-0040</t>
  </si>
  <si>
    <t xml:space="preserve">Desarrollo de los Organismos Comunales en el Departamento del Quindío </t>
  </si>
  <si>
    <t>42.6</t>
  </si>
  <si>
    <t xml:space="preserve">Formulación de la  Política Pública Departamental para la  Acción Comunal </t>
  </si>
  <si>
    <t>42.6.1</t>
  </si>
  <si>
    <t>Una Política Pública formulada.</t>
  </si>
  <si>
    <t>201663000-0042</t>
  </si>
  <si>
    <t xml:space="preserve">Fortalecimiento de las veedurias ciudadanas en el Departamento del Quindío </t>
  </si>
  <si>
    <t xml:space="preserve">310 SECRETARÍA DE CULTURA </t>
  </si>
  <si>
    <t>25.6</t>
  </si>
  <si>
    <t>Servicio de educación informal en áreas artísticas y culturales</t>
  </si>
  <si>
    <t>25.6.1</t>
  </si>
  <si>
    <t>201663000-0046</t>
  </si>
  <si>
    <t>Apoyo al arte y la cultura en todo el Departamento del Quindío</t>
  </si>
  <si>
    <t>25.4</t>
  </si>
  <si>
    <t>Servicio de circulación artística y cultural</t>
  </si>
  <si>
    <t>25.4.1</t>
  </si>
  <si>
    <t>Producciones artísticas en circulación</t>
  </si>
  <si>
    <t>25.5</t>
  </si>
  <si>
    <t>Servicios bibliotecarios</t>
  </si>
  <si>
    <t>25.5.1</t>
  </si>
  <si>
    <t>330108500</t>
  </si>
  <si>
    <t>Usuarios atendidos</t>
  </si>
  <si>
    <t>202000363-0011</t>
  </si>
  <si>
    <t xml:space="preserve">Implementación del programa "Tú y Yo Somos Cultura", para el fortalecimiento a la léctura,  escitura  y bibliotecas en el Departamento del Quindío </t>
  </si>
  <si>
    <t>25.9</t>
  </si>
  <si>
    <t>Servicio de divulgación y publicaciones</t>
  </si>
  <si>
    <t>25.9.1</t>
  </si>
  <si>
    <t>330110000</t>
  </si>
  <si>
    <t>Publicaciones realizadas</t>
  </si>
  <si>
    <t>25.8</t>
  </si>
  <si>
    <t>Servicio de información para el sector artístico y cultural</t>
  </si>
  <si>
    <t>25.8.1</t>
  </si>
  <si>
    <t>330109900</t>
  </si>
  <si>
    <t>Sistema de información del sector artístico y cultural en operación</t>
  </si>
  <si>
    <t>202000363-0012</t>
  </si>
  <si>
    <t xml:space="preserve"> Implementación de la "Ruta de la felicidad y la identidad quindiana", para  el fortalecimiento y visibilización de los procesos   artisticos  y culturales   en el Departamento del Quindío</t>
  </si>
  <si>
    <t>25.7</t>
  </si>
  <si>
    <t>Servicio de asistencia técnica en gestión artística y cultural</t>
  </si>
  <si>
    <t>25.7.1</t>
  </si>
  <si>
    <t>330109500</t>
  </si>
  <si>
    <t>Personas asistidas técnicamente</t>
  </si>
  <si>
    <t>201663000-0045</t>
  </si>
  <si>
    <t xml:space="preserve">Apoyo a seguridad social del creador y gestor cultural del Departamento del Quindío </t>
  </si>
  <si>
    <t>Gestión, protección y salvaguardia del patrimonio cultural colombiano. "Tú y yo protectores del patrimonio cultural"</t>
  </si>
  <si>
    <t>26.1</t>
  </si>
  <si>
    <t>Servicio de asistencia técnica en el manejo y gestión del patrimonio arqueológico, antropológico e histórico.</t>
  </si>
  <si>
    <t>26.1.1</t>
  </si>
  <si>
    <t>330204200</t>
  </si>
  <si>
    <t xml:space="preserve">Asistencias técnicas realizadas a entidades territoriales </t>
  </si>
  <si>
    <t>201663000-0049</t>
  </si>
  <si>
    <t>Apoyo al reconocimiento, apropiación y salvaguardia y difusión del patrimonio cultural en todo el Departamento del Quindío</t>
  </si>
  <si>
    <t>26.2</t>
  </si>
  <si>
    <t>Servicio de divulgación y publicación del Patrimonio cultural</t>
  </si>
  <si>
    <t>26.2.1</t>
  </si>
  <si>
    <t>330207000</t>
  </si>
  <si>
    <t xml:space="preserve">311 SECRETARÍA DE TURISMO INDUSTRIA Y COMERCIO </t>
  </si>
  <si>
    <t>27.1</t>
  </si>
  <si>
    <t>Servicio de apoyo y consolidación de las Comisiones Regionales de Competitividad - CRC</t>
  </si>
  <si>
    <t>27.1.1</t>
  </si>
  <si>
    <t>350200600</t>
  </si>
  <si>
    <t xml:space="preserve">Planes de trabajo concertados con las CRC para su consolidación </t>
  </si>
  <si>
    <t>201663000-0051</t>
  </si>
  <si>
    <t>Apoyo al mejoramiento de la competitividad a iniciativas  productivas en el  Departamento del Quindío</t>
  </si>
  <si>
    <t>27.2</t>
  </si>
  <si>
    <t>27.2.1</t>
  </si>
  <si>
    <t>350200700</t>
  </si>
  <si>
    <t>Clústeres asistidos en la implementación de los planes de acción</t>
  </si>
  <si>
    <t>27.4</t>
  </si>
  <si>
    <t>Servicio de asistencia técnica a las Mipymes para el acceso a nuevos mercados</t>
  </si>
  <si>
    <t>27.4.1</t>
  </si>
  <si>
    <t>350202200</t>
  </si>
  <si>
    <t>Empresas asistidas técnicamente</t>
  </si>
  <si>
    <t>201663000-0056</t>
  </si>
  <si>
    <t xml:space="preserve">Fortalecimiento del sector empresarial  hacia mercados globales en el Departamento del Quindío .   </t>
  </si>
  <si>
    <t>27.7</t>
  </si>
  <si>
    <t>Documentos de planeación</t>
  </si>
  <si>
    <t>27.7.1</t>
  </si>
  <si>
    <t>350204700</t>
  </si>
  <si>
    <t>Documentos de planeación elaborados</t>
  </si>
  <si>
    <t>27.5</t>
  </si>
  <si>
    <t>Servicio de asistencia técnica a los entes territoriales para el desarrollo turístico</t>
  </si>
  <si>
    <t>27.5.1</t>
  </si>
  <si>
    <t>350203900</t>
  </si>
  <si>
    <t>201663000-0059</t>
  </si>
  <si>
    <t>Fortalecimiento de la oferta de prestadores de servicos, productos y atractivos turísticos en el Departamento del Quindío</t>
  </si>
  <si>
    <t>27.5.2</t>
  </si>
  <si>
    <t>350203910</t>
  </si>
  <si>
    <t>Proyectos de infraestructura turística apoyados</t>
  </si>
  <si>
    <t>27.6</t>
  </si>
  <si>
    <t>Servicio de promoción turística</t>
  </si>
  <si>
    <t>27.6.1</t>
  </si>
  <si>
    <t>350204600</t>
  </si>
  <si>
    <t>Campañas realizadas</t>
  </si>
  <si>
    <t>201663000-0062</t>
  </si>
  <si>
    <t>Apoyo a la promoción nacional e internacional como destino  turísmo del Departamento del Quindío</t>
  </si>
  <si>
    <t>Generación y formalización del empleo. "Tú y yo con empleo de calidad"</t>
  </si>
  <si>
    <t>28.1</t>
  </si>
  <si>
    <t>Servicios de apoyo financiero para la creación de empresas</t>
  </si>
  <si>
    <t>28.1.1</t>
  </si>
  <si>
    <t>Planes de negocio financiados</t>
  </si>
  <si>
    <t>201663000-0053</t>
  </si>
  <si>
    <t>Apoyo al emprendimiento, empresarismo, asociatividad y generación de empleo en el departamento del Quindío</t>
  </si>
  <si>
    <t>28.4</t>
  </si>
  <si>
    <t>Servicio de asesoría técnica para el emprendimiento.</t>
  </si>
  <si>
    <t>28.4.1</t>
  </si>
  <si>
    <t>Emprendimientos fortalecidos</t>
  </si>
  <si>
    <t>28.2</t>
  </si>
  <si>
    <t>28.2.1</t>
  </si>
  <si>
    <t>Talleres de oferta institucional realizados</t>
  </si>
  <si>
    <t>28.3</t>
  </si>
  <si>
    <t>Servicio de información y monitoreo del mercado de trabajo</t>
  </si>
  <si>
    <t>28.3.1</t>
  </si>
  <si>
    <t>360203000</t>
  </si>
  <si>
    <t>Reportes realizados</t>
  </si>
  <si>
    <t xml:space="preserve">312 SECRETARÍA DE AGRICULTURA, DESARROLLO RURAL Y MEDIO AMBIENTE </t>
  </si>
  <si>
    <t>Inclusión productiva de pequeños productores rurales. "Tú y yo con oportunidades para el pequeño campesino"</t>
  </si>
  <si>
    <t>4.3</t>
  </si>
  <si>
    <t>Servicio de asesoría para el fortalecimiento de la asociatividad</t>
  </si>
  <si>
    <t>4.3.1</t>
  </si>
  <si>
    <t>170201100</t>
  </si>
  <si>
    <t>Asociaciones fortalecidas</t>
  </si>
  <si>
    <t>201663000-0075</t>
  </si>
  <si>
    <t xml:space="preserve">Fomento al emprendimiento y  al empleo rural en el Departamento del Quindío  </t>
  </si>
  <si>
    <t>4.1</t>
  </si>
  <si>
    <t>Servicio de apoyo financiero para proyectos productivos</t>
  </si>
  <si>
    <t>4.1.1</t>
  </si>
  <si>
    <t>170200700</t>
  </si>
  <si>
    <t>Proyectos productivos cofinanciados</t>
  </si>
  <si>
    <t>4.5</t>
  </si>
  <si>
    <t>Servicio de apoyo para el fomento organizativo de la agricultura campesina, familiar y comunitaria</t>
  </si>
  <si>
    <t>4.5.1</t>
  </si>
  <si>
    <t>170201700</t>
  </si>
  <si>
    <t>Productores agropecuarios apoyados</t>
  </si>
  <si>
    <t>8. Agropecuario</t>
  </si>
  <si>
    <t>201663000-0079</t>
  </si>
  <si>
    <t>Fomento a la agricultura familiar , urbana y  mercados campesinos para la soberanía y  Seguridad alimentaria en el Departamento del Quindío</t>
  </si>
  <si>
    <t>4.10</t>
  </si>
  <si>
    <t>Servicio de apoyo a la comercialización</t>
  </si>
  <si>
    <t>4.10.1</t>
  </si>
  <si>
    <t>170203800</t>
  </si>
  <si>
    <t>Organizaciones de productores formales apoyadas</t>
  </si>
  <si>
    <t>201663000-0078</t>
  </si>
  <si>
    <t>Fortalecimiento a la competitividad productiva y empresarial del sector rural en el Departamento del Quindío</t>
  </si>
  <si>
    <t>4.10.2</t>
  </si>
  <si>
    <t>170203801</t>
  </si>
  <si>
    <t>Productores apoyados para la participación en mercados campesinos</t>
  </si>
  <si>
    <t>4.7</t>
  </si>
  <si>
    <t>4.7.1</t>
  </si>
  <si>
    <t>170202301</t>
  </si>
  <si>
    <t>Planes de Desarrollo Agropecuario y Rural elaborados</t>
  </si>
  <si>
    <t>Implementación de procesos de extensión agropecuaria e inocuidad (estatus sanitario, BPA, BPG) alimentaria; en el Departamento del Quindío</t>
  </si>
  <si>
    <t>4.8</t>
  </si>
  <si>
    <t>Servicios de acompañamiento en la implementación de planes de desarrollo agropecuario y rural</t>
  </si>
  <si>
    <t>4.8.1</t>
  </si>
  <si>
    <t>170202400</t>
  </si>
  <si>
    <t>Planes de Desarrollo Agropecuario y Rural acompañados</t>
  </si>
  <si>
    <t>4.4</t>
  </si>
  <si>
    <t>Servicio de apoyo para el acceso a maquinaria y equipos</t>
  </si>
  <si>
    <t>4.4.1</t>
  </si>
  <si>
    <t>170201400</t>
  </si>
  <si>
    <t>Productores beneficiados con acceso a maquinaria y equipo</t>
  </si>
  <si>
    <t>202000363-0014</t>
  </si>
  <si>
    <t>Implementación de procesos productivos agropecuarios familiares campesinos en busca de la soberanía y seguridad alimentaria en el Departamento del Quindío</t>
  </si>
  <si>
    <t>Servicio de apoyo para el fomento organizativo de la Agricultura Campesina, Familiar y Comunitaria</t>
  </si>
  <si>
    <t>4.6</t>
  </si>
  <si>
    <t>Servicio de acompañamiento productivo y empresarial</t>
  </si>
  <si>
    <t>4.6.1</t>
  </si>
  <si>
    <t>170202100</t>
  </si>
  <si>
    <t>Unidades productivas beneficiadas</t>
  </si>
  <si>
    <t>4.9</t>
  </si>
  <si>
    <t>Servicio de apoyo en la formulación y estructuración de proyectos</t>
  </si>
  <si>
    <t>4.9.1</t>
  </si>
  <si>
    <t>170202500</t>
  </si>
  <si>
    <t>Proyectos estructurados</t>
  </si>
  <si>
    <t>202000363-0015</t>
  </si>
  <si>
    <t xml:space="preserve">Implementación de procesos de agro industrialización con calidad e inocuidad en el Departamento del Quindío </t>
  </si>
  <si>
    <t>Servicios financieros y gestión del riesgo para las actividades agropecuarias y rurales. "Tú y yo con un campo protegido"</t>
  </si>
  <si>
    <t>5.1</t>
  </si>
  <si>
    <t>Servicio de apoyo a la implementación de mecanismos y herramientas para el conocimiento, reducción y manejo de riesgos agropecuarios</t>
  </si>
  <si>
    <t>5.1.1</t>
  </si>
  <si>
    <t>170301300</t>
  </si>
  <si>
    <t>Personas beneficiadas</t>
  </si>
  <si>
    <t>Ordenamiento social y uso productivo del territorio rural. "Tú y yo con un campo planificado"</t>
  </si>
  <si>
    <t>6.1</t>
  </si>
  <si>
    <t>Documentos de lineamientos técnicos</t>
  </si>
  <si>
    <t>6.1.1</t>
  </si>
  <si>
    <t>170400203</t>
  </si>
  <si>
    <t>Documentos de lineamientos para el ordenamiento social y productivo elaborados</t>
  </si>
  <si>
    <t>202000363-0016</t>
  </si>
  <si>
    <t>Implementación de procesos de ordenamiento productivo y social territorial</t>
  </si>
  <si>
    <t>6.2</t>
  </si>
  <si>
    <t>Servicio de apoyo para el fomento de la formalidad</t>
  </si>
  <si>
    <t>6.2.1</t>
  </si>
  <si>
    <t>170401700</t>
  </si>
  <si>
    <t xml:space="preserve">Personas sensibilizadas en la formalización </t>
  </si>
  <si>
    <t>Aprovechamiento de mercados externos. "Tú y yo a los mercados internacionales"</t>
  </si>
  <si>
    <t>7.1</t>
  </si>
  <si>
    <t>Servicio de apoyo financiero para la participación en ferias nacionales e internacionales</t>
  </si>
  <si>
    <t>7.1.1</t>
  </si>
  <si>
    <t>170600400</t>
  </si>
  <si>
    <t>Participaciones en ferias nacionales e internacionales</t>
  </si>
  <si>
    <t>Sanidad agropecuaria e inocuidad agroalimentaria. "Tú y yo con un agro saludable"</t>
  </si>
  <si>
    <t>8.1</t>
  </si>
  <si>
    <t>Servicio de divulgación y socialización</t>
  </si>
  <si>
    <t>8.1.1</t>
  </si>
  <si>
    <t>170706900</t>
  </si>
  <si>
    <t>Eventos realizados</t>
  </si>
  <si>
    <t>Ciencia, tecnología e innovación agropecuaria. "Tú y yo con un agro interconectado"</t>
  </si>
  <si>
    <t>9.1</t>
  </si>
  <si>
    <t>9.1.1</t>
  </si>
  <si>
    <t>170801600</t>
  </si>
  <si>
    <t>Documentos de lineamientos técnicos elaborados</t>
  </si>
  <si>
    <t>202000363-0017</t>
  </si>
  <si>
    <t xml:space="preserve">Implementación de procesos de innovación, ciencia y tecnología agropecuario en el Departamento del Quindío </t>
  </si>
  <si>
    <t>10.1</t>
  </si>
  <si>
    <t>Centros logísticos agropecuarios adecuados</t>
  </si>
  <si>
    <t>10.1.1</t>
  </si>
  <si>
    <t>170901900</t>
  </si>
  <si>
    <t>Implementación de procesos de agro industrialización con calidad e inocuidad en el Departamento del Quindío</t>
  </si>
  <si>
    <t>10.2</t>
  </si>
  <si>
    <t>Infraestructura de pos cosecha adecuada</t>
  </si>
  <si>
    <t>10.2.1</t>
  </si>
  <si>
    <t>170903400</t>
  </si>
  <si>
    <t>Crecimiento económico del sector agropecuario (PIB)
Tasa desempleo</t>
  </si>
  <si>
    <t>27.3</t>
  </si>
  <si>
    <t>Servicio de asistencia técnica para emprendedores y/o empresas en edad temprana</t>
  </si>
  <si>
    <t>27.3.1</t>
  </si>
  <si>
    <t>350201701</t>
  </si>
  <si>
    <t xml:space="preserve">Necesidades empresariales atendidas a partir de emprendimientos </t>
  </si>
  <si>
    <t>Servicio de asistencia técnica para el desarrollo de iniciativas clústeres</t>
  </si>
  <si>
    <t>3201</t>
  </si>
  <si>
    <t>Fortalecimiento del desempeño ambiental de los sectores productivos. "Tú y yo guardianes de la biodiversidad.</t>
  </si>
  <si>
    <t>20.2</t>
  </si>
  <si>
    <t>Documentos de lineamientos técnicos para mejorar la calidad ambiental de las áreas urbanas</t>
  </si>
  <si>
    <t>20.2.1</t>
  </si>
  <si>
    <t>320101300</t>
  </si>
  <si>
    <t>10. Ambiental</t>
  </si>
  <si>
    <t>202000363-0018</t>
  </si>
  <si>
    <t xml:space="preserve">Fortalecimiento de los procesos de gestión ambiental urbana y rural para la protección del paisaje y la biodiversidad en el Departamento del Quindío </t>
  </si>
  <si>
    <t>21.2</t>
  </si>
  <si>
    <t>Servicio apoyo financiero para la implementación de esquemas de pago por servicio ambientales</t>
  </si>
  <si>
    <t>21.2.1</t>
  </si>
  <si>
    <t>320201700</t>
  </si>
  <si>
    <t>201663000-0067</t>
  </si>
  <si>
    <t>Gestón integral de cuencas hidrográficas en el Departamento del Quindío</t>
  </si>
  <si>
    <t>21.4</t>
  </si>
  <si>
    <t>Servicio de recuperación de cuerpos de agua lénticos y lóticos</t>
  </si>
  <si>
    <t>21.4.1</t>
  </si>
  <si>
    <t>320203704</t>
  </si>
  <si>
    <t>Bosque ripario recuperado</t>
  </si>
  <si>
    <t>201663000-0068</t>
  </si>
  <si>
    <t>Aplicación de mecanismos de protección ambiental en el Departamento del Quindío</t>
  </si>
  <si>
    <t>21.7</t>
  </si>
  <si>
    <t>21.7.1</t>
  </si>
  <si>
    <t xml:space="preserve">Numero de Hectáreas intervenidas </t>
  </si>
  <si>
    <t>21.5</t>
  </si>
  <si>
    <t xml:space="preserve">Estrategia  departamental para la protección y bienestar de los animales domésticos y silvestres del Departamento </t>
  </si>
  <si>
    <t>21.5.1</t>
  </si>
  <si>
    <t>Estrategia  para la protección y bienestar de los animales domésticos y silvestres adoptada</t>
  </si>
  <si>
    <t>202000363-0019</t>
  </si>
  <si>
    <t>Apoyo a la generación de entornos  amigables para nuestros animales en el departamento del Quindío</t>
  </si>
  <si>
    <t>21.6</t>
  </si>
  <si>
    <t>Realizar  campaña  de sensibilización y apropiación del patrimonio ambiental en el Departamento</t>
  </si>
  <si>
    <t>21.6.1</t>
  </si>
  <si>
    <t>Campaña  de sensibilización y apropiación del patrimonio ambiental realizada</t>
  </si>
  <si>
    <t>201663000-0069</t>
  </si>
  <si>
    <t>Fortalecimiento  y potencialización de los servicios ecosistemicos en el Departamento del Quindío</t>
  </si>
  <si>
    <t>3204</t>
  </si>
  <si>
    <t>Gestión de la información y el conocimiento ambiental. "Tú y yo conscientes con la naturaleza"</t>
  </si>
  <si>
    <t>22.1</t>
  </si>
  <si>
    <t>Servicio de apoyo financiero a emprendimientos</t>
  </si>
  <si>
    <t>22.1.1</t>
  </si>
  <si>
    <t>320401200</t>
  </si>
  <si>
    <t xml:space="preserve">Emprendimientos apoyados </t>
  </si>
  <si>
    <t>202000363-0020</t>
  </si>
  <si>
    <t xml:space="preserve">Apoyo a nuevos modelos de vida sostenibles, sustentables y eficientes en el suelo rural y urbano en el Departamento del Quindío </t>
  </si>
  <si>
    <t>Obras para estabilización de taludes</t>
  </si>
  <si>
    <t>23.3.1</t>
  </si>
  <si>
    <t>320501000</t>
  </si>
  <si>
    <t>Obras para estabilización de taludes realizadas</t>
  </si>
  <si>
    <t>3206</t>
  </si>
  <si>
    <t>Gestión del cambio climático para un desarrollo bajo en carbono y resiliente al clima. "Tú y yo preparados para el cambio climático"</t>
  </si>
  <si>
    <t>24.2</t>
  </si>
  <si>
    <t>Servicio de producción de plántulas en viveros</t>
  </si>
  <si>
    <t>24.2.1</t>
  </si>
  <si>
    <t>320601400</t>
  </si>
  <si>
    <t>Plántulas producidas</t>
  </si>
  <si>
    <t>202000363-0021</t>
  </si>
  <si>
    <t xml:space="preserve">313 DIRECCIÓN OFICINA PRIVADA </t>
  </si>
  <si>
    <t>Fortalecimiento de la Gestión  y Desempeño Institucional</t>
  </si>
  <si>
    <t>45.8</t>
  </si>
  <si>
    <t>Desarrollo de  la Política  de Transparencia, Acceso a la Información Pública y Lucha Contra la Corrupción del Modelo Integrado de Planificación y Gestión MIPG, articulada con el "Pacto por la Integridad , Transparencia y Legalidad" del Gobierno Nacional</t>
  </si>
  <si>
    <t>45.8.1</t>
  </si>
  <si>
    <t>201663000-0082</t>
  </si>
  <si>
    <t>Desarrollar y fortalecer la cultura de la transparencia, participación, buen gobierno  y valores éticos y morales en el Departamento del Quindío</t>
  </si>
  <si>
    <t>45.7</t>
  </si>
  <si>
    <t>Desarrollo e implementación de la estrategia de comunicaciones para la Administración Departamental</t>
  </si>
  <si>
    <t>45.7.1</t>
  </si>
  <si>
    <t>Estrategia de comunicaciones desarrollada e implementada</t>
  </si>
  <si>
    <t>201663000-0081</t>
  </si>
  <si>
    <t>Implementación de  la estrategia de comunicaciones para  la divulgación de  los programas, proyectos,  actividades y servicios del Departamento del Quindío</t>
  </si>
  <si>
    <t>42.4</t>
  </si>
  <si>
    <t>42.4.1</t>
  </si>
  <si>
    <t>Encuentros  ciudadanos realizados.</t>
  </si>
  <si>
    <t>202000363-0022</t>
  </si>
  <si>
    <t>Fortalecimiento de  las capacidades institucionales de la administración departamental del Quindío, para generar condiciones de gobernanza territorial, participación, administración eficiente y transparente.</t>
  </si>
  <si>
    <t xml:space="preserve">314 SECRETARÍA DE EDUCACIÓN </t>
  </si>
  <si>
    <t>Tasa de deserción escolar intra -anual</t>
  </si>
  <si>
    <t>15.13</t>
  </si>
  <si>
    <t>Servicio de fomento para la permanencia en programas de educación formal</t>
  </si>
  <si>
    <t>15.13.1</t>
  </si>
  <si>
    <t>Personas beneficiarias de estrategias de permanencia</t>
  </si>
  <si>
    <t>201663000-0084</t>
  </si>
  <si>
    <t xml:space="preserve">Fortalecimiento de las estrategias para el acceso,  permanencia y seguridad  de los niños, niñas y jóvenes en el  sistema educativo del Departamento del Quindío </t>
  </si>
  <si>
    <t>Tasa de cobertura bruta en transición
Tasa de cobertura bruta en educación básica
Tasa de cobertura en educación media
Tasa de deserción escolar intra-anual
Tasa de repitencia</t>
  </si>
  <si>
    <t>15.9</t>
  </si>
  <si>
    <t>Servicio de apoyo a la permanencia con alimentación escolar</t>
  </si>
  <si>
    <t>15.9.1</t>
  </si>
  <si>
    <t>Beneficiarios de la alimentación escolar</t>
  </si>
  <si>
    <t xml:space="preserve">Tasa de cobertura bruta en educación básica
Tasa de cobertura en educación media
</t>
  </si>
  <si>
    <t>15.22</t>
  </si>
  <si>
    <t>Servicio de apoyo para la implementación de la estrategia educativa del sistema de responsabilidad penal para adolescentes</t>
  </si>
  <si>
    <t>15.22.1</t>
  </si>
  <si>
    <t>Entidades Territoriales certificadas con asistencia técnica para el fortalecimiento de la estrategia educativa del sistema de responsabilidad penal para adolescentes</t>
  </si>
  <si>
    <t>201663000-0086</t>
  </si>
  <si>
    <t>Implementación de estrategias de inclusión para garantizar la atención educativa a población vulnerable en el  Departamento del  Quindío</t>
  </si>
  <si>
    <t>Tasa de cobertura bruta en educación básica
Tasa de cobertura en educación media
Tasa de Analfabetismo
Tasa de deserción escolar intra-anual
Tasa de repitencia</t>
  </si>
  <si>
    <t>15.11</t>
  </si>
  <si>
    <t>Servicio educación formal por modelos educativos flexibles</t>
  </si>
  <si>
    <t>15.11.1</t>
  </si>
  <si>
    <t>Beneficiarios atendidos con modelos educativos flexibles</t>
  </si>
  <si>
    <t xml:space="preserve">Tasa de cobertura bruta en transición
Tasa de cobertura bruta en educación básica
Tasa de cobertura en educación media
</t>
  </si>
  <si>
    <t>15.30</t>
  </si>
  <si>
    <t>Servicio educativo</t>
  </si>
  <si>
    <t>15.30.1</t>
  </si>
  <si>
    <t>Establecimientos educativos en operación</t>
  </si>
  <si>
    <t>201663000-0087</t>
  </si>
  <si>
    <t>201663000-0098</t>
  </si>
  <si>
    <t>Funcionamiento y prestación de servicios del sector educativo del nivel central en el Departamento del Quindío</t>
  </si>
  <si>
    <t>Tasa de cobertura bruta en transición
Tasa de cobertura bruta en educación básica
Tasa de cobertura en educación media
Tasa de Analfabetismo
Tasa de deserción escolar intra-anual
Tasa de repitencia</t>
  </si>
  <si>
    <t>15.2</t>
  </si>
  <si>
    <t>Servicio de asistencia técnica en educación inicial, preescolar, básica y media</t>
  </si>
  <si>
    <t>15.2.1</t>
  </si>
  <si>
    <t>Entidades y organizaciones asistidas técnicamente</t>
  </si>
  <si>
    <t>201663000-0090</t>
  </si>
  <si>
    <t>Mejoramiento de ambientes escolares y  fortalecimiento de modelos educativos articuladores de la ciencia, los lenguajes, las artes y el deporte en el Departamento del Quindío</t>
  </si>
  <si>
    <t>15.18</t>
  </si>
  <si>
    <t>Servicios de asistencia técnica en innovación educativa en la educación inicial, preescolar, básica y media</t>
  </si>
  <si>
    <t>15.18.1</t>
  </si>
  <si>
    <t>Instituciones educativas asistidas técnicamente en innovación educativa</t>
  </si>
  <si>
    <t xml:space="preserve">Tasa de cobertura bruta en transición
Tasa de cobertura bruta en educación básica
Tasa de cobertura en educación media 
Tasa de deserción escolar intra-anual </t>
  </si>
  <si>
    <t>Servicio de acondicionamiento de ambientes de aprendizaje</t>
  </si>
  <si>
    <t>15.8.1</t>
  </si>
  <si>
    <t>Ambientes de aprendizaje en funcionamiento</t>
  </si>
  <si>
    <t>201663000-0093</t>
  </si>
  <si>
    <t>Mejoramiento de estrategias que permitan una mayor eficiencia en la gestión de procesos y proyectos de las instituciones educativas del Departamento del Quindío</t>
  </si>
  <si>
    <t>201663000-0095</t>
  </si>
  <si>
    <t xml:space="preserve">Fortalecimiento de los niveles de educación  básica y media para la articulación con la educación terciaria en el Departamento del Quindío </t>
  </si>
  <si>
    <t>Tasa de cobertura bruta en transición</t>
  </si>
  <si>
    <t>15.16</t>
  </si>
  <si>
    <t>Servicio de atención integral para la primera infancia</t>
  </si>
  <si>
    <t>15.16.1</t>
  </si>
  <si>
    <t>Instituciones educativas oficiales que implementan el nivel preescolar en el marco de la atención integral</t>
  </si>
  <si>
    <t>201663000-0101</t>
  </si>
  <si>
    <t xml:space="preserve">Implementación del modelo de atención integral de la educación inicial en el Departamento del  Quindío </t>
  </si>
  <si>
    <t>15.20</t>
  </si>
  <si>
    <t>Servicio de accesibilidad a contenidos web para fines pedagógicos</t>
  </si>
  <si>
    <t>15.20.2</t>
  </si>
  <si>
    <t>Establecimientos educativos conectados a internet</t>
  </si>
  <si>
    <t>201663000-0097</t>
  </si>
  <si>
    <t xml:space="preserve">Fortalecimiento de las herramientas tecnológicas en las Instituciones Educativas del Departamento del Quindío </t>
  </si>
  <si>
    <t>15.20.1</t>
  </si>
  <si>
    <t>Estudiantes con acceso a contenidos web en el establecimiento educativo</t>
  </si>
  <si>
    <t>Porcentaje de estudiantes de grado 11 con dominio de inglés a nivel B1 (preintermedio)</t>
  </si>
  <si>
    <t>15.14</t>
  </si>
  <si>
    <t>15.14.1</t>
  </si>
  <si>
    <t>Estudiantes beneficiados con estrategias de promoción del bilingüismo</t>
  </si>
  <si>
    <t>202000363-0023</t>
  </si>
  <si>
    <t>Fortalecer las competencias comunicativas en lengua extranjera en estudiantes y docentes de las instituciones educativas oficiales del Departamento del Quindío</t>
  </si>
  <si>
    <t>15.14.2</t>
  </si>
  <si>
    <t>Instituciones educativas fortalecidas en competencias comunicativas en un segundo idioma</t>
  </si>
  <si>
    <t>15.23</t>
  </si>
  <si>
    <t>Servicio educativo de promoción del bilingüismo para docentes</t>
  </si>
  <si>
    <t>15.23.1</t>
  </si>
  <si>
    <t>Docentes beneficiados con estrategias de promoción del bilingüismo</t>
  </si>
  <si>
    <t>15.6</t>
  </si>
  <si>
    <t>Servicio de monitoreo y seguimiento a la gestión del sector educativo</t>
  </si>
  <si>
    <t>15.6.1</t>
  </si>
  <si>
    <t>Entidades territoriales con seguimiento y evaluación a la gestión.</t>
  </si>
  <si>
    <t>202000363-0024</t>
  </si>
  <si>
    <t>Fortalecimiento de la educación media para la articulación con la educación superior o terciaria. "Tú y yo preparados para la educación superior"</t>
  </si>
  <si>
    <t>Tasa de cobertura en educación superior</t>
  </si>
  <si>
    <t>44.1</t>
  </si>
  <si>
    <t>Servicio de apoyo para el acceso y la permanencia a la educación superior o terciaria</t>
  </si>
  <si>
    <t>44.1.1</t>
  </si>
  <si>
    <t>Estrategias o programas de  fomento para  acceso y  permanencia a la educación superior o terciaria implementados</t>
  </si>
  <si>
    <t>Fortalecimiento de los niveles de educación  básica y media para la articulación con la educación terciaria en el Departamento del Quindío</t>
  </si>
  <si>
    <t>2017003630-122</t>
  </si>
  <si>
    <t>Implementación de un fondo de apoyo departamental para el acceso y la permanencia de la educacion técnica, tecnológica y superior en el Departamento del Quindío</t>
  </si>
  <si>
    <t>316 SECRETARÍA DE FAMILIA</t>
  </si>
  <si>
    <t>INCLUSION SOCIAL</t>
  </si>
  <si>
    <t>Salud Pública, "Tú y yo con salud de calidad"</t>
  </si>
  <si>
    <t>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t>
  </si>
  <si>
    <t>12.6</t>
  </si>
  <si>
    <t xml:space="preserve">Servicio de gestión del riesgo en temas de salud sexual y reproductiva </t>
  </si>
  <si>
    <t>12.6.1</t>
  </si>
  <si>
    <t>Campañas de gestión del riesgo en temas de salud sexual y reproductiva implementadas.</t>
  </si>
  <si>
    <t>202000363-0025</t>
  </si>
  <si>
    <t>Diseño e implementación de campañas para la promoción de la vida y prevención del consumo de sustancias psicoactivas "TU Y YO UNIDOS POR LA VIDA".</t>
  </si>
  <si>
    <t>12.7</t>
  </si>
  <si>
    <t xml:space="preserve">Servicio de gestión del riesgo en temas de trastornos mentales </t>
  </si>
  <si>
    <t>12.7.1</t>
  </si>
  <si>
    <t>Campañas de gestión del riesgo en temas de trastornos mentales implementadas</t>
  </si>
  <si>
    <t>25.1</t>
  </si>
  <si>
    <t>Servicio de educación informal al sector artístico y cultural</t>
  </si>
  <si>
    <t>25.1.1</t>
  </si>
  <si>
    <t>Capacitaciones de educación informal realizadas</t>
  </si>
  <si>
    <t>201663000-0110</t>
  </si>
  <si>
    <t>Desarrollo de acciones encaminadas a la atención integral  de los adolescentes y jóvenes del Departamento del Quindío</t>
  </si>
  <si>
    <t>Desarrollo Integral de Niños, Niñas, Adolescentes y sus Familias. "Tú y yo niños, niñas y adolescentes con desarrollo integral"</t>
  </si>
  <si>
    <t>36.4</t>
  </si>
  <si>
    <t xml:space="preserve">Diseñar e implementar un modelo de atención integral en entornos protectores para la primera infancia </t>
  </si>
  <si>
    <t>36.4.1</t>
  </si>
  <si>
    <t>Modelo de atención integral de entornos protectores implementado</t>
  </si>
  <si>
    <t>201663000-0102</t>
  </si>
  <si>
    <t>Implementación de un modelo de atención integral a niños y niñas en entornos protectores en el Departamento del Quindìo</t>
  </si>
  <si>
    <t xml:space="preserve">Cobertura  en la  implementación y seguimiento de las   Rutas integrales de atención  a la primera infancia </t>
  </si>
  <si>
    <t>36.3</t>
  </si>
  <si>
    <t xml:space="preserve">Implementar y realizar seguimiento a las rutas integrales de atención </t>
  </si>
  <si>
    <t>36.3.1</t>
  </si>
  <si>
    <t xml:space="preserve">Numero de rutas integrales de atención  a la  primera infancia implementadas y con seguimiento </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</si>
  <si>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que participan en una actividad remunerada  o no  x cada 100.000 habitantes  en el departamento del Quindío
Tasa  de mujeres de 12 a 14 años que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</si>
  <si>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36.8</t>
  </si>
  <si>
    <t xml:space="preserve">Implementar la  política pública para la protección, el fortalecimiento y el desarrollo integral de la familia Quindiana </t>
  </si>
  <si>
    <t>36.8.1</t>
  </si>
  <si>
    <t>Política Pública de Familia  implementada</t>
  </si>
  <si>
    <t>201663000-0103</t>
  </si>
  <si>
    <t>Formulación e implementación de  la politica pública  de la familia en el departamento del Quindío</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</si>
  <si>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que participan en una actividad remunerada  o no  x cada 100.000 habitantes  en el departamento del Quindío
-Tasa  de mujeres de 12 a 14 años que han sido madres o están en embarazo X 100.000 habitantes en el Departamento del Quindío
-Tasa de Consumo de Sustancias Psicoactivas  x 100.000 Habitantes en el Departamento del Quindío.</t>
  </si>
  <si>
    <t>36.7</t>
  </si>
  <si>
    <t>Revisar, ajustar e implementar  la política pública de primera infancia, infancia y adolescencia</t>
  </si>
  <si>
    <t>36.7.1</t>
  </si>
  <si>
    <t xml:space="preserve">Política Pública de Primera Infancia, Infancia y Adolescencia, revisada, ajustada e implementada. </t>
  </si>
  <si>
    <t>201663000-0109</t>
  </si>
  <si>
    <t>Implementación de la política de primera infancia, infancia y adolescencia en el Departamento del Quindío</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</si>
  <si>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</si>
  <si>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36.9</t>
  </si>
  <si>
    <t xml:space="preserve">Implementar  la política pública de juventud </t>
  </si>
  <si>
    <t>36.9.1</t>
  </si>
  <si>
    <t>Política Pública de Juventud implementada</t>
  </si>
  <si>
    <t>Tasa de Violencia Intrafamiliar x 100.000 Habitantes en el Departamento del Quindío.
Tasa de violencia de Género</t>
  </si>
  <si>
    <t>36.2</t>
  </si>
  <si>
    <t>Rutas integrales de atención en violencia intrafamiliar y  violencia de género</t>
  </si>
  <si>
    <t>36.2.1</t>
  </si>
  <si>
    <t>Capacitación en activación de las Rutas Integrales de Atención en Violencia Intrafamiliar y de Género, a trabajadores de Supermercados y Tenderos de los Municipios realizadas</t>
  </si>
  <si>
    <t>202000363-0026</t>
  </si>
  <si>
    <t>Diseño e implementación de programa de acompañamiento familiar y comunitario con enfoque preventivo en los tipos de violencias en el Departamento del Quindío "TU Y YO COMPROMETIDOS CON LA FAMILIA"</t>
  </si>
  <si>
    <t>36.1</t>
  </si>
  <si>
    <t>Servicio de divulgación para la promoción y prevención de los derechos de los niños, niñas y adolescentes</t>
  </si>
  <si>
    <t>36.1.1</t>
  </si>
  <si>
    <t>410202200</t>
  </si>
  <si>
    <t xml:space="preserve">Eventos de divulgación realizados </t>
  </si>
  <si>
    <t>202000363-0027</t>
  </si>
  <si>
    <t>Diseño e implementación de programa comunitario para la prevención de los derechos de niños, niñas y adolescentes y su desarrollo integral. "TU Y YO COMPROMETIDOS CON LOS SUEÑOS".</t>
  </si>
  <si>
    <t>Cobertura de adolescentes y jóvenes atendidos en Post egreso, en los servicios de restablecimiento en la administración de justicia.</t>
  </si>
  <si>
    <t>36.6</t>
  </si>
  <si>
    <t>Servicios dirigidos a la atención de niños, niñas, adolescentes y jóvenes, con enfoque pedagógico y restaurativo encaminados a la inclusión social</t>
  </si>
  <si>
    <t>36.6.1</t>
  </si>
  <si>
    <t>Niños, niñas, adolescentes y jóvenes atendidos en los servicios de restablecimiento en la administración de justicia</t>
  </si>
  <si>
    <t>202000363-0028</t>
  </si>
  <si>
    <t>Atención post egreso de adolescentes y jóvenes, en los servicios de restablecimiento en la administración de justicia, con enfoque pedagógico y restaurativo encaminados a la inclusión social del Departamento del Quindío .</t>
  </si>
  <si>
    <t>Servicio de asistencia técnica para fortalecimiento de unidades productivas colectivas para la generación de ingresos</t>
  </si>
  <si>
    <t>37.4.1</t>
  </si>
  <si>
    <t>Unidades productivas colectivas con asistencia técnica</t>
  </si>
  <si>
    <t>Cobertura para la atención al ciudadano migrante a través del plan de atención y de repatriación.</t>
  </si>
  <si>
    <t>37.2</t>
  </si>
  <si>
    <t>Servicio de gestión de oferta social para la población vulnerable</t>
  </si>
  <si>
    <t>37.2.1</t>
  </si>
  <si>
    <t>201663000-0118</t>
  </si>
  <si>
    <t>Implementación del programa  para la atención y acompañamiento  del ciudadano migrante  y de repatriación en el Departamento del Quindío</t>
  </si>
  <si>
    <t>37.1</t>
  </si>
  <si>
    <t>Servicio de acompañamiento familiar y comunitario para la superación de la pobreza</t>
  </si>
  <si>
    <t>37.1.1</t>
  </si>
  <si>
    <t>Comunidades con acompañamiento familiar.</t>
  </si>
  <si>
    <t xml:space="preserve">Cobertura de municipios del departamento con procesos de implementación de proyectos  productivos  para las personas con discapacidad </t>
  </si>
  <si>
    <t>37.3</t>
  </si>
  <si>
    <t>Servicio de apoyo para el fortalecimiento de unidades productivas colectivas para la generación de ingresos</t>
  </si>
  <si>
    <t>37.3.1</t>
  </si>
  <si>
    <t>Unidades productivas colectivas fortalecidas</t>
  </si>
  <si>
    <t>202000363-0029</t>
  </si>
  <si>
    <t>Atención integral a población en condición de discapacidad en los municipios del Departamento del Quindío "TU Y YO JUNTOS EN LA INCLUSIÓN".</t>
  </si>
  <si>
    <t xml:space="preserve">Tasa planes de vida de los cabildos  indígenas construidos e implementados </t>
  </si>
  <si>
    <t>37.5</t>
  </si>
  <si>
    <t xml:space="preserve">Apoyar la construcción e Implementación de los  Planes de vida de los cabildos Indígenas asentados en el Departamento del Quindío </t>
  </si>
  <si>
    <t>37.5.1</t>
  </si>
  <si>
    <t xml:space="preserve">Planes de vida de los cabildos indígenas  construidos  e implementados </t>
  </si>
  <si>
    <t>202000363-0030</t>
  </si>
  <si>
    <t>Apoyo en la construcción e Implementación de los Planes de Vida de los Cabildos y Resguardos indígenas  asentados en el Departamento del Quindío "TU Y YO UNIDOS CON DIGNIDAD".</t>
  </si>
  <si>
    <t>Tasa de  planes de vida de los resguardos  indígenas construidos e implementados</t>
  </si>
  <si>
    <t>37.6</t>
  </si>
  <si>
    <t xml:space="preserve">Apoyar la construcción e Implementación de los  Planes de vida de los resguardos indígenas  asentados en el Departamento del Quindío </t>
  </si>
  <si>
    <t>37.6.1</t>
  </si>
  <si>
    <t xml:space="preserve">Planes de vida de los resguardos indígenas  construidos  e implementados </t>
  </si>
  <si>
    <t>37.7</t>
  </si>
  <si>
    <t>37.7.1</t>
  </si>
  <si>
    <t xml:space="preserve">Política Pública para la comunidad negra, afrocolombiana, raizal y palenquera residente en el departamento del Quindío formulada e implementada </t>
  </si>
  <si>
    <t>202000363-0031</t>
  </si>
  <si>
    <t xml:space="preserve">Formulación e implementación de la política pública para la comunidad negra, afrocolombiana, raizal y palenquera residente en el Departamento del Quindío </t>
  </si>
  <si>
    <t>Atención integral de población en situación permanente de desprotección social y/o familiar "Tú y yo con atención integral"</t>
  </si>
  <si>
    <t>38.3</t>
  </si>
  <si>
    <t>4104035</t>
  </si>
  <si>
    <t>Servicios de atención integral a población en condición de discapacidad</t>
  </si>
  <si>
    <t>38.3.1</t>
  </si>
  <si>
    <t xml:space="preserve">Personas atendidas con servicios integrales de atención </t>
  </si>
  <si>
    <t>38.3.2</t>
  </si>
  <si>
    <t xml:space="preserve">Estrategia de rehabilitación basada en la comunidad implementada en los municipios  </t>
  </si>
  <si>
    <t>Cobertura de municipios del departamento del Quindío, con programas de atención a la población habitante de calle.</t>
  </si>
  <si>
    <t>38.2</t>
  </si>
  <si>
    <t>4104026</t>
  </si>
  <si>
    <t>Servicio de articulación de oferta social para la población habitante de calle</t>
  </si>
  <si>
    <t>38.2.1</t>
  </si>
  <si>
    <t xml:space="preserve">Servicio de articulación habitante de calle implementado en los municipios </t>
  </si>
  <si>
    <t>202000363-0032</t>
  </si>
  <si>
    <t xml:space="preserve"> Apoyo en  la articulación de la  oferta social para la población habitante de calle del Departamento del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</si>
  <si>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</si>
  <si>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38.7</t>
  </si>
  <si>
    <t>Implementar  la política  pública de diversidad sexual e identidad de género</t>
  </si>
  <si>
    <t>38.7.1</t>
  </si>
  <si>
    <t>Política pública de diversidad sexual implementada.</t>
  </si>
  <si>
    <t>201663000-0125</t>
  </si>
  <si>
    <t>Fomulación e implementación de la politica pública  de diversidad sexual en el Departamento del Quindío</t>
  </si>
  <si>
    <t xml:space="preserve">Tasa de Violencia Intrafamiliar x 100.000 Habitantes en el Departamento del Quindío.
Tasa de violencia de Género
Tasa  de mujeres de 12 a 14 años que han sido madres o están en embarazo X 100.000 habitantes en el Departamento del Quindío
Tasa de participación femenina en cargos de elección popular en el  departamento del Quindío
Cobertura de Asociaciones de mujeres fortalecidas  </t>
  </si>
  <si>
    <t>38.8</t>
  </si>
  <si>
    <t xml:space="preserve">Revisar, ajustar e implementar la política pública de equidad de género para la mujer </t>
  </si>
  <si>
    <t>38.8.1</t>
  </si>
  <si>
    <t>Política pública de la mujer y equidad de género revisada, ajustada e implementada.</t>
  </si>
  <si>
    <t>201663000-0128</t>
  </si>
  <si>
    <t>Implementación de la polìtica pùblica de equidad de género para la mujer en el Departamento del Quindìo</t>
  </si>
  <si>
    <t>38.9</t>
  </si>
  <si>
    <t xml:space="preserve">Formular e implementar la política pública de adulto mayor </t>
  </si>
  <si>
    <t>38.9.1</t>
  </si>
  <si>
    <t xml:space="preserve">Política Pública de Adulto Mayor  formulada e implementada </t>
  </si>
  <si>
    <t>201663000-0129</t>
  </si>
  <si>
    <t xml:space="preserve">Apoyo y bienestar integral a las personas mayores del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</si>
  <si>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</si>
  <si>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38.1</t>
  </si>
  <si>
    <t>Servicios de atención y protección integral al adulto mayor</t>
  </si>
  <si>
    <t>38.1.1</t>
  </si>
  <si>
    <t xml:space="preserve">Adultos mayores atendidos con servicios integrales </t>
  </si>
  <si>
    <t>38.5</t>
  </si>
  <si>
    <t>Transferencia estampilla para el bienestar del adulto mayor</t>
  </si>
  <si>
    <t>38.5.1</t>
  </si>
  <si>
    <t>Municipios con recursos transferidos con la estampilla Departamental para el bienestar del adulto mayor</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</si>
  <si>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</si>
  <si>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38.6</t>
  </si>
  <si>
    <t>Revisar, ajustar e implementar  la política pública de  discapacidad</t>
  </si>
  <si>
    <t>38.6.1</t>
  </si>
  <si>
    <t>201663000-0114</t>
  </si>
  <si>
    <t>Actualización e implementación  de   la política pública departamental de discapacidad  "Capacidad sin Limites" en el Quindío</t>
  </si>
  <si>
    <t xml:space="preserve">Mejorar las condiciones de calidad de vida de la población, el acceso incluyente y equitativo a la oferta de servicios del Estado y la ampliación de oportunidades para los Quindianos. </t>
  </si>
  <si>
    <t>41.2.2</t>
  </si>
  <si>
    <t>Casa de la Mujer Empoderada implementada</t>
  </si>
  <si>
    <t>202000363-0033</t>
  </si>
  <si>
    <t>Implementación de la Casa de la Mujer Empoderada para la promoción a la participación ciudadana de mujeres en escenarios sociales, políticos y el fortalecimiento de la Asociatividad en el departamento del Quindío "TU Y YO  CON LAS MUJERES EMPODERADAS".</t>
  </si>
  <si>
    <t>41.2.3</t>
  </si>
  <si>
    <t>Casa Refugio de la Mujer implementada</t>
  </si>
  <si>
    <t>202000363-0034</t>
  </si>
  <si>
    <t>Implementación de la Casa Refugio de la Mujer del Departamento del Quindío</t>
  </si>
  <si>
    <t>Derechos fundamentales del trabajo y fortalecimiento del diálogo social. "Tú y yo con una niñez protegida"</t>
  </si>
  <si>
    <t>Tasa  de Niños, Niñas y Adolescentes que participan en una actividad remunerada  o no  x cada 100.000 habitantes  en el departamento del Quindío</t>
  </si>
  <si>
    <t>29.1</t>
  </si>
  <si>
    <t>Servicio de educación informal para la prevención integral del trabajo infantil</t>
  </si>
  <si>
    <t>29.1.1</t>
  </si>
  <si>
    <t>360400600</t>
  </si>
  <si>
    <t>Diseño e Implementación de programa comunitario para la prevención de los derechos de niños, niñas y adolescentes y su desarrollo integral. "TU Y YO COMPROMETIDOS CON LOS SUEÑOS".</t>
  </si>
  <si>
    <t>Tasa de participación femenina en cargos de elección popular en el  departamento del Quindío</t>
  </si>
  <si>
    <t>42.8.2</t>
  </si>
  <si>
    <t>Iniciativas para la promoción de la participación femenina en escenarios sociales y políticos implementada.</t>
  </si>
  <si>
    <t xml:space="preserve">318 SECRETARIA DE SALUD </t>
  </si>
  <si>
    <t xml:space="preserve"> INCLUSION SOCIAL Y EQUIDAD</t>
  </si>
  <si>
    <t xml:space="preserve">Inspección, vigilancia y control. "Tú y yo con salud certificada" </t>
  </si>
  <si>
    <t>Mortalidad por diarreica aguda (EDA) menores 5 años (numero de muertes anual)</t>
  </si>
  <si>
    <t>11.19</t>
  </si>
  <si>
    <t>11.19.1</t>
  </si>
  <si>
    <t xml:space="preserve">Modelo de IVC sanitario operando </t>
  </si>
  <si>
    <t>201663000-0132</t>
  </si>
  <si>
    <t>11.2</t>
  </si>
  <si>
    <t>Servicio de concepto sanitario</t>
  </si>
  <si>
    <t>11.2.1</t>
  </si>
  <si>
    <t>Conceptos sanitarios expedidos</t>
  </si>
  <si>
    <t>201663000-0146</t>
  </si>
  <si>
    <t xml:space="preserve">Fortalecimiento de la autoridad sanitaria en el Departamento del Quindío </t>
  </si>
  <si>
    <t>Prevalencia de niños menores de 5 años con desnutrición aguda</t>
  </si>
  <si>
    <t>11.9</t>
  </si>
  <si>
    <t>Servicio de asistencia técnica en inspección, vigilancia y control</t>
  </si>
  <si>
    <t>11.9.1</t>
  </si>
  <si>
    <t>Asistencias técnica en Inspección, Vigilancia y Control realizadas</t>
  </si>
  <si>
    <t>Mortalidad por infección respiratoria aguda (IRA) menores 5 años (numero de muertes anual)</t>
  </si>
  <si>
    <t>11.18</t>
  </si>
  <si>
    <t>11.18.1</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</si>
  <si>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</si>
  <si>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</si>
  <si>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Mortalidad por dengue (casos)</t>
  </si>
  <si>
    <t>11.15</t>
  </si>
  <si>
    <t>Servicio de promoción, prevención, vigilancia y control de vectores y zoonosis</t>
  </si>
  <si>
    <t>11.15.1</t>
  </si>
  <si>
    <t>Municipios categorías 4, 5 y 6 que formulen y ejecuten real y efectivamente acciones de promoción, prevención, vigilancia y control de vectores y zoonosis realizados</t>
  </si>
  <si>
    <t>Tasa de mortalidad en menores de 1 año (por 1000 nacidos vivos).</t>
  </si>
  <si>
    <t>11.11</t>
  </si>
  <si>
    <t>Servicio de evaluación, aprobación y seguimiento de planes de gestión integral del riesgo</t>
  </si>
  <si>
    <t>11.11.1</t>
  </si>
  <si>
    <t>Informes de evaluación, aprobación y seguimiento de Planes de Gestión Integral de Riesgo realizados</t>
  </si>
  <si>
    <t>Tasa mortalidad en menores de 5 años (por 1.000 nacidos vivos).</t>
  </si>
  <si>
    <t>11.4</t>
  </si>
  <si>
    <t>Servicio de inspección, vigilancia y control</t>
  </si>
  <si>
    <t>11.4.1</t>
  </si>
  <si>
    <t>visitas realizadas</t>
  </si>
  <si>
    <t>11.1</t>
  </si>
  <si>
    <t>11.1.1</t>
  </si>
  <si>
    <t>Documentos técnicos publicados y/o socializados</t>
  </si>
  <si>
    <t>201663000-0148</t>
  </si>
  <si>
    <t>Implementación de programas de promoción social en poblaciones  especiales en el Departamento del Quindío</t>
  </si>
  <si>
    <t>Tasa de violencia de género</t>
  </si>
  <si>
    <t>11.6</t>
  </si>
  <si>
    <t>Servicio de adopción y seguimiento de acciones y medidas especiales</t>
  </si>
  <si>
    <t>11.6.1</t>
  </si>
  <si>
    <t>Acciones y medidas especiales ejecutadas</t>
  </si>
  <si>
    <t>11.5</t>
  </si>
  <si>
    <t>Servicio de análisis de laboratorio</t>
  </si>
  <si>
    <t>11.5.1</t>
  </si>
  <si>
    <t>Análisis realizados</t>
  </si>
  <si>
    <t>201663000-0151</t>
  </si>
  <si>
    <t xml:space="preserve">Fortalecimiento de las actividades de vigilancia y control del laboratorio de salud pública en el Departamento del Quindío </t>
  </si>
  <si>
    <t>Tasa ajustada por edad de mortalidad asociada a cáncer de cuello uterino (por 100.000 mujeres).</t>
  </si>
  <si>
    <t>11.7</t>
  </si>
  <si>
    <t>Servicio de auditoría y visitas inspectivas</t>
  </si>
  <si>
    <t>11.7.1</t>
  </si>
  <si>
    <t>Auditorías y visitas inspectivas realizadas</t>
  </si>
  <si>
    <t>11.4.2</t>
  </si>
  <si>
    <t xml:space="preserve">Informes de los resultados obtenidos en la vigilancia sanitaria </t>
  </si>
  <si>
    <t>Servicio de información de vigilancia epidemiológica</t>
  </si>
  <si>
    <t>11.13.1</t>
  </si>
  <si>
    <t>Informes de evento generados en la vigencia</t>
  </si>
  <si>
    <t>201663000-0152</t>
  </si>
  <si>
    <t>Fortalecimiento del sistema de vigilancia en salud pública en el Departamento del Quindío</t>
  </si>
  <si>
    <t>11.14</t>
  </si>
  <si>
    <t>11.14.1</t>
  </si>
  <si>
    <t>Asistencias técnicas realizadas</t>
  </si>
  <si>
    <t>201663000-0155</t>
  </si>
  <si>
    <t xml:space="preserve">Asistencia técnica para el fortalecimiento de la gestión de las entidades territoriales del Departamento del Quindío </t>
  </si>
  <si>
    <t>Servicio de información para la gestión de la inspección, vigilancia y control sanitario</t>
  </si>
  <si>
    <t>11.16.1</t>
  </si>
  <si>
    <t>Usuarios del sistema</t>
  </si>
  <si>
    <t>201663000-0158</t>
  </si>
  <si>
    <t>Apoyo al proceso del sistema obligatorio de garantía de calidad a los prestadores de salud en el Departamento del Quindío</t>
  </si>
  <si>
    <t>Razón de mortalidad materna (por 100.000 nacidos vivos)</t>
  </si>
  <si>
    <t>11.3</t>
  </si>
  <si>
    <t>Servicio de certificaciones en buenas practicas</t>
  </si>
  <si>
    <t>11.3.1</t>
  </si>
  <si>
    <t>Certificaciones expedidas</t>
  </si>
  <si>
    <t>Porcentaje de atención institucional del parto por personal calificado.</t>
  </si>
  <si>
    <t>Porcentaje de población asegurada al SGSSS</t>
  </si>
  <si>
    <t>11.17</t>
  </si>
  <si>
    <t>Servicios de comunicación y divulgación en inspección, vigilancia y control</t>
  </si>
  <si>
    <t>11.17.1</t>
  </si>
  <si>
    <t>Eventos de rendición de cuentas realizados</t>
  </si>
  <si>
    <t>201663000-0160</t>
  </si>
  <si>
    <t>Apoyo operativo a la inversión social en salud en el Departamento del Quindío</t>
  </si>
  <si>
    <t>Porcentaje de nacidos vivos con 4 o mas controles prenatales</t>
  </si>
  <si>
    <t>11.8</t>
  </si>
  <si>
    <t>Servicio del ejercicio del procedimiento administrativo sancionatorio</t>
  </si>
  <si>
    <t>11.8.1</t>
  </si>
  <si>
    <t xml:space="preserve">Procesos con aplicación del procedimiento administrativo sancionatorio tramitados </t>
  </si>
  <si>
    <t>Porcentaje transmisión materno -infantil del VIH.</t>
  </si>
  <si>
    <t>Servicio de gestión de peticiones, quejas, reclamos y denuncias</t>
  </si>
  <si>
    <t>11.12.1</t>
  </si>
  <si>
    <t>Preguntas Quejas Reclamos y Denuncias Gestionadas</t>
  </si>
  <si>
    <t>11.10</t>
  </si>
  <si>
    <t>Servicio de implementación de estrategias para el fortalecimiento del control social en salud</t>
  </si>
  <si>
    <t>11.10.1</t>
  </si>
  <si>
    <t>Estrategias para el fortalecimiento del control social en salud implementadas</t>
  </si>
  <si>
    <t>Servicio de gestión del riesgo para temas de consumo, aprovechamiento biológico, calidad e inocuidad de los alimentos.</t>
  </si>
  <si>
    <t>12.12.1</t>
  </si>
  <si>
    <t>Campañas de gestión del riesgo para temas de consumo, aprovechamiento biológico, calidad e inocuidad de los alimentos implementadas</t>
  </si>
  <si>
    <t>12.14</t>
  </si>
  <si>
    <t>Servicios de promoción de la salud y prevención de riesgos asociados a condiciones no transmisibles</t>
  </si>
  <si>
    <t>12.14.1</t>
  </si>
  <si>
    <t>Campañas de promoción de la salud y prevención de riesgos asociados a condiciones no transmisibles implementadas</t>
  </si>
  <si>
    <t>Tasa de mortalidad por malaria.</t>
  </si>
  <si>
    <t xml:space="preserve">Servicio de educación informal en temas de salud pública </t>
  </si>
  <si>
    <t>12.4.1</t>
  </si>
  <si>
    <t>201663000-0133</t>
  </si>
  <si>
    <t>Control Salud Ambiental Departamento del Quindío</t>
  </si>
  <si>
    <t>Tasa  de mujeres de 10 a 14 años que han sido madres o están en embarazo.
Tasa de mujeres de 15 a 19 años que han sido madres o están en embarazo.</t>
  </si>
  <si>
    <t>12.16</t>
  </si>
  <si>
    <t xml:space="preserve">Realizar seguimiento y monitoreo a las Entidades Administradoras de Planes Básicos EAPB en la implementación de la Ruta Integral de Atención para la Promoción y Mantenimiento de la Salud y Materno Perinatal en el Departamento  </t>
  </si>
  <si>
    <t>12.16.1</t>
  </si>
  <si>
    <t>Entidades Administradoras de Planes Básicos EAPB con Rutas de obligatorio cumplimiento Implementadas</t>
  </si>
  <si>
    <t>Letalidad por dengue.</t>
  </si>
  <si>
    <t>12.20</t>
  </si>
  <si>
    <t>Formular el Plan de Fortalecimiento de Capacidades en Salud Ambiental en coordinación con el Consejo Territorial de Salud Ambiental COTSA</t>
  </si>
  <si>
    <t>12.20.1</t>
  </si>
  <si>
    <t>12.17</t>
  </si>
  <si>
    <t>Implementar el protocolo de vigilancia sanitaria y ambiental de los efectos en salud relacionados con la contaminación del aire en los 11 municipios de competencia departamental.</t>
  </si>
  <si>
    <t>12.17.1</t>
  </si>
  <si>
    <t>Protocolo implementado</t>
  </si>
  <si>
    <t>Mortalidad por dengue (casos)
Letalidad por dengue.</t>
  </si>
  <si>
    <t>12.19</t>
  </si>
  <si>
    <t>12.19.1</t>
  </si>
  <si>
    <t>Plan Departamental en Salud Ambiental de adaptación al cambio climático implementado</t>
  </si>
  <si>
    <t>12.18</t>
  </si>
  <si>
    <t>Implementar la estrategia de entornos saludables en articulación intersectorial y sectorial en los entornos de vivienda, educativo, institucional y comunitario con énfasis en la Atención Primaria en Salud Ambiental APSA.</t>
  </si>
  <si>
    <t>12.18.1</t>
  </si>
  <si>
    <t xml:space="preserve">Estrategia de entornos saludables en articulación intersectorial y sectorial implementada </t>
  </si>
  <si>
    <t>12.21</t>
  </si>
  <si>
    <t xml:space="preserve">Implementación de la estrategia de movilidad saludable, segura y sostenible </t>
  </si>
  <si>
    <t>12.21.1</t>
  </si>
  <si>
    <t xml:space="preserve">Estrategia de movilidad saludable, segura y sostenible   implementada </t>
  </si>
  <si>
    <t>201663000-0134</t>
  </si>
  <si>
    <t>Fortalecimiento de acciones de intervención inherentes a los derechos sexuales y reproductivos  en el Departamento del Quindío</t>
  </si>
  <si>
    <t xml:space="preserve">Realizar seguimiento y Monitoreo a las Entidades Administradoras de Planes Básicos EAPB en la implementación de la Ruta Integral de Atención para la Promoción y Mantenimiento de la Salud y Materno Perinatal en el Departamento  </t>
  </si>
  <si>
    <t>12.5</t>
  </si>
  <si>
    <t>Servicio de gestión del riesgo en temas de consumo de sustancias psicoactivas</t>
  </si>
  <si>
    <t>12.5.1</t>
  </si>
  <si>
    <t>Campañas de gestión del riesgo en temas de consumo de sustancias psicoactivas implementadas</t>
  </si>
  <si>
    <t>201663000-0135</t>
  </si>
  <si>
    <t>Fortalecimiento, promoción de la salud y prevención primaria en salud mental en el Departamento del Quindío</t>
  </si>
  <si>
    <t>Adaptar e implementar la política pública de salud mental para el Departamento del Quindío</t>
  </si>
  <si>
    <t>12.22.1</t>
  </si>
  <si>
    <t xml:space="preserve">Política pública en Salud Mental adaptada e Implementada  </t>
  </si>
  <si>
    <t>12.8</t>
  </si>
  <si>
    <t>Servicio de gestión del riesgo para abordar condiciones crónicas prevalentes</t>
  </si>
  <si>
    <t>12.8.1</t>
  </si>
  <si>
    <t>Campañas de gestión del riesgo para abordar condiciones crónicas prevalentes implementadas</t>
  </si>
  <si>
    <t>201663000-0138</t>
  </si>
  <si>
    <t xml:space="preserve">Control y vigilancia en las acciones de condiciones no transmisibles y promoción de estilos de vida saludable en el Quindío  </t>
  </si>
  <si>
    <t>Cobertura de vacunación con DPT en menores de 1 año
Cobertura de vacunación con Triple Viral en niños de 1 año
Cobertura útil con esquema completo de vacunación para la edad (triple viral a los 5 años)</t>
  </si>
  <si>
    <t>12.1</t>
  </si>
  <si>
    <t>Cuartos fríos adecuados</t>
  </si>
  <si>
    <t>12.1.1</t>
  </si>
  <si>
    <t>201663000-0139</t>
  </si>
  <si>
    <t>Fortalecimiento de las acciones de la prevención y protección en la población infantil en el Departamento del Quindío</t>
  </si>
  <si>
    <t>Cobertura útil con esquema completo de vacunación para la edad (triple viral a los 5 años)
Mortalidad por infección respiratoria aguda (IRA) menores 5 años (numero de muertes anual)
Mortalidad por diarreica aguda (EDA) menores 5 años (numero de muertes anual)
Tasa de mortalidad por malaria.</t>
  </si>
  <si>
    <t>12.10</t>
  </si>
  <si>
    <t>Servicio de gestión del riesgo para enfermedades emergentes, reemergentes y desatendidas</t>
  </si>
  <si>
    <t>12.10.1</t>
  </si>
  <si>
    <t>Campañas de gestión del riesgo para enfermedades emergentes, reemergentes y desatendidas implementadas.</t>
  </si>
  <si>
    <t>12.11</t>
  </si>
  <si>
    <t>Servicio de gestión del riesgo para enfermedades inmunoprevenibles</t>
  </si>
  <si>
    <t>12.11.1</t>
  </si>
  <si>
    <t>Campañas de gestión del riesgo para enfermedades inmunoprevenibles  implementadas</t>
  </si>
  <si>
    <t>Mortalidad por dengue (casos) 
Letalidad por dengue.</t>
  </si>
  <si>
    <t>Formulación e implementación del plan departamental en salud Ambiental de adaptación al cambio climático.</t>
  </si>
  <si>
    <t>201663000-0141</t>
  </si>
  <si>
    <t xml:space="preserve">Fortalecimiento de estrategia de gestión integral, vectores, cambio climático y zoonosis en el Departamento  del Quindío </t>
  </si>
  <si>
    <t>12.2</t>
  </si>
  <si>
    <t>12.2.1</t>
  </si>
  <si>
    <t>201663000-0142</t>
  </si>
  <si>
    <t xml:space="preserve">Fortalecimiento de la inclusión social para la disminución de riesgos de contraer enfermedades transmisibles  en el Departamento del Quindío </t>
  </si>
  <si>
    <t>Servicio de gestión del riesgo para enfermedades emergentes, reemergentes y desatendidas.</t>
  </si>
  <si>
    <t>202000363-0002</t>
  </si>
  <si>
    <t>Tu y Yo Contra  - COVID</t>
  </si>
  <si>
    <t>12.13</t>
  </si>
  <si>
    <t>Servicios de atención en salud pública en situaciones de emergencias y desastres</t>
  </si>
  <si>
    <t>12.13.1</t>
  </si>
  <si>
    <t>Personas en capacidad de ser atendidas</t>
  </si>
  <si>
    <t>201663000-0143</t>
  </si>
  <si>
    <t>Prevención en emergencias y desastres de eventos relacionados con la salud pública en el Departamento del  Quindío</t>
  </si>
  <si>
    <t>12.9</t>
  </si>
  <si>
    <t>Servicio de gestión del riesgo para abordar situaciones prevalentes de origen laboral</t>
  </si>
  <si>
    <t>12.9.1</t>
  </si>
  <si>
    <t>Campañas de gestión del riesgo para abordar situaciones prevalentes de origen laboral implementadas</t>
  </si>
  <si>
    <t>201663000-0145</t>
  </si>
  <si>
    <t xml:space="preserve"> Prevención vigilancia y control de eventos de origen laboral en el Departamento del Quindío</t>
  </si>
  <si>
    <t>12.3.1</t>
  </si>
  <si>
    <t xml:space="preserve">Documentos de planeación en epidemiología y demografía elaborados </t>
  </si>
  <si>
    <t>Porcentaje de atención institucional del parto.</t>
  </si>
  <si>
    <t>12.15</t>
  </si>
  <si>
    <t>Centros reguladores de urgencias, emergencias y desastres funcionando y dotados</t>
  </si>
  <si>
    <t>12.15.1</t>
  </si>
  <si>
    <t>Centros reguladores de urgencias, emergencias y desastres dotados y funcionando.</t>
  </si>
  <si>
    <t>201663000-0157</t>
  </si>
  <si>
    <t xml:space="preserve">Fortalecimiento de la red de urgencias y emergencias en el Departamento del Quindío </t>
  </si>
  <si>
    <t>201663000-0150</t>
  </si>
  <si>
    <t>13.7</t>
  </si>
  <si>
    <t>Servicio de promoción de afiliaciones al régimen contributivo del Sistema General de Seguridad Social de las personas con capacidad de pago</t>
  </si>
  <si>
    <t>13.7.1</t>
  </si>
  <si>
    <t>Personas con capacidad de pago afiliadas</t>
  </si>
  <si>
    <t>201663000-0153</t>
  </si>
  <si>
    <t>Subsidio afiliación al régimen subsidiado del Sistema General de Seguridad Social en Salud en el Departamento del Quindío</t>
  </si>
  <si>
    <t>Cobertura de tratamiento antiretroviral</t>
  </si>
  <si>
    <t>13.8</t>
  </si>
  <si>
    <t>Servicio de cofinanciación para la continuidad del  régimen subsidiado en salud en 11 municipios del departamento</t>
  </si>
  <si>
    <t>13.8.1</t>
  </si>
  <si>
    <t>Personas afiliadas</t>
  </si>
  <si>
    <t>13.5</t>
  </si>
  <si>
    <t>Servicio de apoyo con tecnologías para prestación de servicios en salud</t>
  </si>
  <si>
    <t>13.5.1</t>
  </si>
  <si>
    <t>Población inimputable atendida</t>
  </si>
  <si>
    <t>201663000-0154</t>
  </si>
  <si>
    <t xml:space="preserve">Prestación de Servicios a la Población no Afiliada al Sistema General de Seguridad Social en Salud  y en los no POS  a la Población Afiliada al Régimen Subsidiado.
</t>
  </si>
  <si>
    <t>13.5.2</t>
  </si>
  <si>
    <t>Pacientes atendidos</t>
  </si>
  <si>
    <t>Servicios de reconocimientos para el cumplimiento de metas de calidad, financiera, producción y transferencias especiales.</t>
  </si>
  <si>
    <t>13.9.1</t>
  </si>
  <si>
    <t>Porcentaje de recursos transferidos</t>
  </si>
  <si>
    <t>13.10</t>
  </si>
  <si>
    <t>Servicios de reconocimientos de deuda</t>
  </si>
  <si>
    <t>13.10.1</t>
  </si>
  <si>
    <t>Porcentaje de recursos pagados</t>
  </si>
  <si>
    <t>Tasa de mujeres de 15 a 19 años que han sido madres o están en embarazo.</t>
  </si>
  <si>
    <t>13.6</t>
  </si>
  <si>
    <t>Servicio de asistencia técnica a Instituciones prestadoras de servicios de salud</t>
  </si>
  <si>
    <t>13.6.1</t>
  </si>
  <si>
    <t>Instituciones Prestadoras de Servicios de salud asistidas técnicamente</t>
  </si>
  <si>
    <t>201663000-0159</t>
  </si>
  <si>
    <t>Fortalecimiento de la red de prestación de servicios pública  del Departamento del Quindío</t>
  </si>
  <si>
    <t>Facilitar el acceso y uso de las Tecnologías de la Información y las Comunicaciones en todo el departamento del Quindio. "Tú y yo somos ciudadanos TIC"</t>
  </si>
  <si>
    <t>Tasa de crecimiento de puntos de acceso a internet gratis 
Índice Departamental de Competitividad
Tasa de Desempleo</t>
  </si>
  <si>
    <t>16.4</t>
  </si>
  <si>
    <t>Servicio de acceso y uso de tecnologías de la información y las comunicaciones</t>
  </si>
  <si>
    <t>16.4.2</t>
  </si>
  <si>
    <t>Soluciones de conectividad en instituciones públicas instaladas</t>
  </si>
  <si>
    <t>202000363-0035</t>
  </si>
  <si>
    <t>Fortalecimiento  y apoyo a las tecnologías de la información de las comunicaciones en el departamento del Quindío</t>
  </si>
  <si>
    <t>Nivel de avance alto en el Índice de Gobierno digital
Índice Departamental de Competitividad
Tasa de Desempleo</t>
  </si>
  <si>
    <t>Servicio de educación informal en tecnologías de la información y las comunicaciones.</t>
  </si>
  <si>
    <t>16.5.1</t>
  </si>
  <si>
    <t>Personas capacitadas en tecnologías de la información y las comunicaciones</t>
  </si>
  <si>
    <t>Fomento del desarrollo de aplicaciones, software y contenidos para impulsar la apropiación de las Tecnologías de la Información y las Comunicaciones (TIC) "Quindío paraiso empresarial TIC-Quindío TIC"</t>
  </si>
  <si>
    <t>17.8</t>
  </si>
  <si>
    <t>Servicio de promoción de la industria de tecnologías de la información</t>
  </si>
  <si>
    <t>17.8.1</t>
  </si>
  <si>
    <t xml:space="preserve">Eventos para  promoción  de productos y Servicio de la industria TI realizados </t>
  </si>
  <si>
    <t>202000363-0036</t>
  </si>
  <si>
    <t>Fortalecimiento del sector empresarial del departamento del Quindío</t>
  </si>
  <si>
    <t xml:space="preserve">PRODUCTIVIDAD Y COMPETITIVIDAD </t>
  </si>
  <si>
    <t>3903</t>
  </si>
  <si>
    <t xml:space="preserve">Desarrollo tecnológico e innovación para el crecimiento empresarial </t>
  </si>
  <si>
    <t>Tasa de crecimiento de empresas en el sector productivo transformadas digitalmente</t>
  </si>
  <si>
    <t>31.1</t>
  </si>
  <si>
    <t>Servicio de apoyo para la transferencia de conocimiento y tecnología</t>
  </si>
  <si>
    <t>31.1.1</t>
  </si>
  <si>
    <t>Nuevas tecnologías adoptadas</t>
  </si>
  <si>
    <t>201663000-0001</t>
  </si>
  <si>
    <t>Apoyo a la estrategia de gobierno en linea en el Departamento del Quindío</t>
  </si>
  <si>
    <t>Generación de una cultura que valora y gestiona el conocimiento y la innovación.</t>
  </si>
  <si>
    <t>32.2</t>
  </si>
  <si>
    <t>Servicios de comunicación con enfoque en ciencia tecnología y sociedad</t>
  </si>
  <si>
    <t>32.2.1</t>
  </si>
  <si>
    <t>Juguetes, juegos o videojuegos para la comunicación de la ciencia, tecnología e innovación producidos</t>
  </si>
  <si>
    <t>202000363-0037</t>
  </si>
  <si>
    <t xml:space="preserve">Implementación  y  divulgación de la estratégia    "Quindío innovador y competitivo" </t>
  </si>
  <si>
    <t>Nivel de avance alto en el Índice de Gobierno digital</t>
  </si>
  <si>
    <t>17.6</t>
  </si>
  <si>
    <t>Servicio de educación informal para la implementación de la estrategia de gobierno digital</t>
  </si>
  <si>
    <t>17.6.1</t>
  </si>
  <si>
    <t>Personas capacitadas para la implementación de la Estrategia de Gobierno digital</t>
  </si>
  <si>
    <t>201663000-0004</t>
  </si>
  <si>
    <t>Apoyo a la sostenibilidad de las tecnologías de la información y comunicación de la Gobernación del Quindío</t>
  </si>
  <si>
    <t>17.10</t>
  </si>
  <si>
    <t>Servicio de educación informal en Gestión TI y en Seguridad y Privacidad de la Información</t>
  </si>
  <si>
    <t>17.10.1</t>
  </si>
  <si>
    <t>Personas capacitadas para en Gestión TI y en Seguridad y Privacidad de la Información</t>
  </si>
  <si>
    <t>TOTAL ADMINISTRACIÓN CENTRAL:</t>
  </si>
  <si>
    <t xml:space="preserve">319 INDEPORTES QUINDÍO </t>
  </si>
  <si>
    <t>39.1</t>
  </si>
  <si>
    <t>Servicio de Escuelas Deportivas</t>
  </si>
  <si>
    <t>39.1.1</t>
  </si>
  <si>
    <t>Municipios con Escuelas Deportivas</t>
  </si>
  <si>
    <t>201663000-0163</t>
  </si>
  <si>
    <t>Apoyo al Deporte formativo, deporte social comunitario y juegos  tradicionales en el Departamento del Quindío</t>
  </si>
  <si>
    <t>39.2</t>
  </si>
  <si>
    <t>Servicio de promoción de la actividad física, la recreación y el deporte</t>
  </si>
  <si>
    <t>39.2.1</t>
  </si>
  <si>
    <t>Municipios vinculados al programa Supérate-Intercolegiados</t>
  </si>
  <si>
    <t>39.2.2</t>
  </si>
  <si>
    <t>430103704</t>
  </si>
  <si>
    <t>Municipios implementando  programas de recreación, actividad física y deporte social comunitario</t>
  </si>
  <si>
    <t>201663000-0162</t>
  </si>
  <si>
    <t>Apoyo a los juegos intercolegiados en el Deparrtamento del Quindìo</t>
  </si>
  <si>
    <t>201663000-0164</t>
  </si>
  <si>
    <t xml:space="preserve"> Apoyo a la recreación,  para el bien común en el Departamento del Quindío</t>
  </si>
  <si>
    <t>39.3</t>
  </si>
  <si>
    <t>Formular e  implementar una  política pública para el desarrollo y acceso al deporte, la recreación, la actividad física, la educación física y el uso adecuado del tiempo libre, como ejes de transformación humana y social en el departamento del Quindío</t>
  </si>
  <si>
    <t>39.3.1</t>
  </si>
  <si>
    <t>201663000-0166</t>
  </si>
  <si>
    <t>Apoyo a proyectos deportivos, recreativos y de actividad fisica, en el Departamento del Quindìo</t>
  </si>
  <si>
    <t>201663000-0165</t>
  </si>
  <si>
    <t>Apoyo a la actividad fisica, salud y productiva en el Departamento del Quindío</t>
  </si>
  <si>
    <t>40.2</t>
  </si>
  <si>
    <t>Servicio de asistencia técnica para la promoción del deporte</t>
  </si>
  <si>
    <t>40.2.1</t>
  </si>
  <si>
    <t xml:space="preserve">Organismos deportivos asistidos </t>
  </si>
  <si>
    <t>201663000-0161</t>
  </si>
  <si>
    <t>Apoyo al deporte asociado en el Departamento del Quindío</t>
  </si>
  <si>
    <t>40.2.2</t>
  </si>
  <si>
    <t>Juegos Deportivos Realizados</t>
  </si>
  <si>
    <t>202000363-0038</t>
  </si>
  <si>
    <t>Desarrollo de los  XXII JUEGOS DEPORTIVOS NACIONALES Y VI JUEGOS PARANACIONALES   2023</t>
  </si>
  <si>
    <t xml:space="preserve">320 PROMOTORA DE VIVIENDA </t>
  </si>
  <si>
    <t>201663000-0171</t>
  </si>
  <si>
    <t xml:space="preserve">Apoyo en la formulación y ejecucion de proyectos de vivienda, infraestructura y equipamientos colectivos y comunitarios en el Departamento del Quindío  </t>
  </si>
  <si>
    <t>33.1</t>
  </si>
  <si>
    <t xml:space="preserve">Servicio de asistencia técnica y jurídica en saneamiento y titulación de predios </t>
  </si>
  <si>
    <t>33.1.1</t>
  </si>
  <si>
    <t>400100100</t>
  </si>
  <si>
    <t>Entidades territoriales asistidas técnica y jurídicamente</t>
  </si>
  <si>
    <t xml:space="preserve">7. Vivienda </t>
  </si>
  <si>
    <t>33.4</t>
  </si>
  <si>
    <t>33.4.1</t>
  </si>
  <si>
    <t>400101700</t>
  </si>
  <si>
    <t>Viviendas de Interés Prioritario urbanas construidas</t>
  </si>
  <si>
    <t>33.5</t>
  </si>
  <si>
    <t xml:space="preserve">Viviendas de Interés Prioritario urbanas mejoradas </t>
  </si>
  <si>
    <t>33.5.1</t>
  </si>
  <si>
    <t>400101800</t>
  </si>
  <si>
    <t>Viviendas de Interés Prioritario urbanas mejoradas</t>
  </si>
  <si>
    <t>33.6</t>
  </si>
  <si>
    <t>Estudios de preinversión e inversión</t>
  </si>
  <si>
    <t>33.6.1</t>
  </si>
  <si>
    <t>400103000</t>
  </si>
  <si>
    <t>321 INSTITUTO DEPARTAMENTAL DE TRANSITO</t>
  </si>
  <si>
    <t xml:space="preserve"> TERRITORIO, AMBIENTE Y DESARROLLO SOSTENIBLE</t>
  </si>
  <si>
    <t>Seguridad de Transporte. "Tú y yo seguros en la vía"</t>
  </si>
  <si>
    <t>19.1</t>
  </si>
  <si>
    <t>Formular e Implementar una estrategia de movilidad saludable, segura y sostenible.</t>
  </si>
  <si>
    <t>19.1.1</t>
  </si>
  <si>
    <t xml:space="preserve">Estrategia de movilidad saludable, segura y sostenible  formulada e implementada </t>
  </si>
  <si>
    <t xml:space="preserve">9. Transporte </t>
  </si>
  <si>
    <t>201663000-0172</t>
  </si>
  <si>
    <t>Fortalecimiento de la seguridad vial  en el Departamento del Quindío</t>
  </si>
  <si>
    <t>19.2</t>
  </si>
  <si>
    <t>Formular e Implementar un programa de formación en normas de tránsito y fomento de cultura  de la seguridad en la vía.</t>
  </si>
  <si>
    <t>19.2.1</t>
  </si>
  <si>
    <t>Programa de formación cultural  de la seguridad en la vía formulado e implementado.</t>
  </si>
  <si>
    <t>19.3</t>
  </si>
  <si>
    <t>Formular e Implementar un programa de control, prevención y atención del tránsito y el transporte en los municipios y vías de jurisdicción del IDTQ.</t>
  </si>
  <si>
    <t>19.3.1</t>
  </si>
  <si>
    <t>Programa de control y atención del tránsito y el transporte formulado e implementado</t>
  </si>
  <si>
    <t>19.4</t>
  </si>
  <si>
    <t>Diseñar e Implementar un programa de señalización y demarcación en los municipios y vías de jurisdicción del IDTQ.</t>
  </si>
  <si>
    <t>19.4.1</t>
  </si>
  <si>
    <t>Programa de Señalización y demarcación en los municipios y vías de jurisdicción del IDTQ diseñado e Implementado</t>
  </si>
  <si>
    <t>TOTAL ENTIDADES DESCENTRALIZADAS</t>
  </si>
  <si>
    <t>TOTAL POAI:</t>
  </si>
  <si>
    <t>CÓDIGO BPPIN</t>
  </si>
  <si>
    <t xml:space="preserve">NOMBRE DEL PROYECTO </t>
  </si>
  <si>
    <t>ADMINISTRACIÓN CENTRAL</t>
  </si>
  <si>
    <t>304 -Secretaría Administrativa</t>
  </si>
  <si>
    <t>Formulación e implementación del programa de seguridad y salud en el trabajo, capacitación y bienestar social en el Departamento del Quindio</t>
  </si>
  <si>
    <t>305 Secretaría de Planeación</t>
  </si>
  <si>
    <t>307 Secretaría de Hacienda</t>
  </si>
  <si>
    <t xml:space="preserve"> Mejoramiento de la sostenibilidad de los procesos de fiscalización liquidación control y cobranza de los tributos en el Departamento del Quindío</t>
  </si>
  <si>
    <t xml:space="preserve">Implementación de un programa de gestión fianciera para la optimización de los procesos en el area de tesorería, presupuesto y contabilidad en el Departamento del Quindio </t>
  </si>
  <si>
    <t xml:space="preserve">308 Secretaría de Agua e Infraestructura </t>
  </si>
  <si>
    <t>309 Secretaría del Interior</t>
  </si>
  <si>
    <t>310 Secretaría de Cultura</t>
  </si>
  <si>
    <t xml:space="preserve">311 Secretaría de Turismo, Industria y Comercio </t>
  </si>
  <si>
    <t>312 Secretaría de Agricultura, Desarrollo Rural y Medio Ambiente</t>
  </si>
  <si>
    <t>313 Oficina Privada</t>
  </si>
  <si>
    <t xml:space="preserve">314 Secretaría de Educación - </t>
  </si>
  <si>
    <t>316 Secretaría de Familia</t>
  </si>
  <si>
    <t>318 Secretaría de Salud - 1801- Régimen Subsidiado - 1802 Prestación de Servicios -1803 Salud Pública - 1804 Otros Gastos en Salud</t>
  </si>
  <si>
    <t xml:space="preserve">Fortalecimiento de la red de urgencias y emergencias en el Departamento del Quindio </t>
  </si>
  <si>
    <t xml:space="preserve">324 Secretaría de Tecnologías de la Información y las Comunicaciones </t>
  </si>
  <si>
    <t>ENTIDADES DESCENTRALIZADAS</t>
  </si>
  <si>
    <t>319 Indeportes Quindío</t>
  </si>
  <si>
    <t>202000363-0039</t>
  </si>
  <si>
    <t>Fortalecimiento al deporte competitivo y de altos logros "TU Y    YO SOMOS salvaVIDAS POR UN QUINDIO GANADOR" en el Departamento del Quindio</t>
  </si>
  <si>
    <t>320 Promotora de Vivienda</t>
  </si>
  <si>
    <t xml:space="preserve">321 Instituto Departamental de Transito </t>
  </si>
  <si>
    <t>TOTAL ENTIDADES DESCENTRALIZADAS:</t>
  </si>
  <si>
    <t>GRAN TOTAL:</t>
  </si>
  <si>
    <t>JOSÉ IGNACIO ROJAS SEPÚLVEDA</t>
  </si>
  <si>
    <t>Secretario de Planeación Departamental</t>
  </si>
  <si>
    <t>SEGUIMIENTO PROYECTOS DE INVERSION REGISTRADOS EN EL BANCO DE PROGRAMAS Y PROYECTOS, QUE FORMAN PARTE DEL PLAN OPERATIVO ANUAL DE INVERSIONES POAI DEL DEPARTAMENTO</t>
  </si>
  <si>
    <t>OBLIGACIONES</t>
  </si>
  <si>
    <t>LINEA ESTRATEGICA</t>
  </si>
  <si>
    <t>TOTAL SECTOR CENTRAL</t>
  </si>
  <si>
    <t>SGP SALÚD PUBLICA - PRESTACIÓN DE SERVICIOS
 (171)(198)(61)(60)</t>
  </si>
  <si>
    <t>OTROS (IVA TELEFONIA MÓVIL  - REGISTRO - LEY 1816 (3% MONOPOLIO LICORES) (DEPORTES) EXTRACCION MATERIAL RIO  (47)</t>
  </si>
  <si>
    <t>NACIÓN  - COFINANCIACIÓN
CONV ANTICONTRABANDO
(111)(107)</t>
  </si>
  <si>
    <t>PRESUPUESTO</t>
  </si>
  <si>
    <t>PENDIENTE DNP</t>
  </si>
  <si>
    <t xml:space="preserve">308 SECRETARÍA DE AGUAS E INFRAESTRUCTURA </t>
  </si>
  <si>
    <t>.Tasa de participación en procesos y actividades artísticas y culturales.
.Tasa de consumo de sustancias sicoactivas por 100.000 habitantes en el departamento del Quindío.</t>
  </si>
  <si>
    <t>400101500</t>
  </si>
  <si>
    <t>.Cobertura en formación artística y cultural
.Tasa de consumo de sustancias sicoactivas por 100.000 habitantes en el departamento del Quindío.</t>
  </si>
  <si>
    <t>.Tasa de lectura
.Tasa de consumo de sustancias sicoactivas por 100.000 habitantes en el departamento del Quindío.</t>
  </si>
  <si>
    <t>Índice Departamental de Competitividad
Tasa desempleo</t>
  </si>
  <si>
    <t>360201800</t>
  </si>
  <si>
    <t>360203201</t>
  </si>
  <si>
    <t>360202904</t>
  </si>
  <si>
    <t xml:space="preserve">Esquemas de Pago por Servicio ambientales implementados </t>
  </si>
  <si>
    <t xml:space="preserve">mecanismos de articulación implementados para la gestión de oferta social </t>
  </si>
  <si>
    <t xml:space="preserve"> I </t>
  </si>
  <si>
    <t>390300501</t>
  </si>
  <si>
    <t>Fortalecimiento, Habitos y estilos de vida saludable como instrumento SALVAVIDAS en el Departamento del Quindio</t>
  </si>
  <si>
    <t>Cobertura de ligas apoyadas en el departamento del Quindío.
Porcentaje de medallería del departamento del Quindío en los Juegos Nacionales.</t>
  </si>
  <si>
    <t>202000363-0040</t>
  </si>
  <si>
    <t>202000363-0113</t>
  </si>
  <si>
    <t xml:space="preserve">
EJECUCION GASTOS DE INVERSION POR UNIDAD EJECUTORA SECTOR CENTRAL
PLAN DE DESARROLLO 2020 - 2023 "TU Y YO SOMOS QUINDIO"
SEPTIEMBRE 30 DE 2020</t>
  </si>
  <si>
    <t>SEPTIEMBRE 30 2020</t>
  </si>
  <si>
    <t>0.47</t>
  </si>
  <si>
    <t>0.35</t>
  </si>
  <si>
    <t>0.75</t>
  </si>
  <si>
    <t>0.5</t>
  </si>
  <si>
    <t>307 SECRETARÍA DE HACIENDA</t>
  </si>
  <si>
    <t>Índice de Desempeño Fiscal Administración Departamental</t>
  </si>
  <si>
    <t>Servicio de asistencia técnica para la articulación de los operadores de los servicios de justicia</t>
  </si>
  <si>
    <t>Cobertura de Instituciones Educativas con Planes Escolares de Gestión del Riesgo de Desastres-PEGERD</t>
  </si>
  <si>
    <t xml:space="preserve"> DNP</t>
  </si>
  <si>
    <t xml:space="preserve">Administración del  riesgo mediante el conocimiento, la reducción y el manejo del desastres en el Departamento del Quindío </t>
  </si>
  <si>
    <t>Fortalecimiento de la oferta de prestadores de servicios, productos y atractivos turísticos en el Departamento del Quindío</t>
  </si>
  <si>
    <t>9.2</t>
  </si>
  <si>
    <t>Servicio de información actualizado</t>
  </si>
  <si>
    <t>9.2.1</t>
  </si>
  <si>
    <t>Sistemas de información actualizados</t>
  </si>
  <si>
    <t>Documentos de lineamientos técnicos para mejorar la calidad ambiental de las áreas urbanas elaborados</t>
  </si>
  <si>
    <t>Gestión integral de cuencas hidrográficas en el Departamento del Quindío</t>
  </si>
  <si>
    <t>Implementación de  las Dimensiones y Políticas  del Modelo Integrado de Planeación y de Gestión MIPG</t>
  </si>
  <si>
    <t>Instrumentos de planificación para  el  Ordenamiento y la Gestión Territorial Departamental (Plan de Desarrollo Departamental PDD, Políticas y Directrices de Ordenamiento Territorial, Sistema de Información Geográfica, Catastro Multipropósito  y mecanismos de integración)</t>
  </si>
  <si>
    <t>Implementación Sistema de Cooperación Internacional y  de Gestión de proyectos  del Departamento del Quindío - "Fabrica de Proyectos"</t>
  </si>
  <si>
    <t xml:space="preserve">Implementación de un programa de gestión financiera para la optimización de los procesos en el área de tesorería, presupuesto y contabilidad en el Departamento del Quindío </t>
  </si>
  <si>
    <t>Promoción al acceso a la justicia. "Tú y yo con justicia"</t>
  </si>
  <si>
    <t xml:space="preserve">Índice de competitividad  en el sector de infraestructura vial </t>
  </si>
  <si>
    <t>Déficit cualitativo de viviendas por hogares</t>
  </si>
  <si>
    <t>Implementación del plan departamental para el manejo empresarial de los servicios de agua y saneamiento básico en el Departamento del Quindío</t>
  </si>
  <si>
    <t>Cobertura de asistencia a los municipios del departamento del Quindío en los procesos de la garantía y prevención de derechos humanos.</t>
  </si>
  <si>
    <t>Cobertura  de municipios del departamento del Quindío  atendidos con estudios y/o construcción de obras   para mitigación y atención a desastres realizadas.</t>
  </si>
  <si>
    <t>1.Cobertura  de municipios del departamento del Quindío  atendidos con estudios y/o construcción de obras   para mitigación y atención a desastres realizadas.
2.Ecosistemas protegidos y/o en procesos de restauración en el Departamento</t>
  </si>
  <si>
    <t>Cobertura de   personas capacitadas en Gestión del Riesgo de Desastres  en el Departamento del Quindío, bajo el marco de Ciudades resilientes</t>
  </si>
  <si>
    <t>Municipios con organismos de acción comunal fortalecidos.</t>
  </si>
  <si>
    <t xml:space="preserve">Fortalecimiento de las veedurías ciudadanas en el Departamento del Quindío </t>
  </si>
  <si>
    <t xml:space="preserve">Implementación del programa "Tú y Yo Somos Cultura", para el fortalecimiento a la lectura,  escritura  y bibliotecas en el Departamento del Quindío </t>
  </si>
  <si>
    <t xml:space="preserve"> Implementación de la "Ruta de la felicidad y la identidad quindiana", para  el fortalecimiento y visibilización de los procesos   artísticos  y culturales   en el Departamento del Quindío</t>
  </si>
  <si>
    <t>Servicio de asistencia técnica para el desarrollo de iniciativas Clústers</t>
  </si>
  <si>
    <t>Índice Departamental de Competitividad Turística
Tasa desempleo</t>
  </si>
  <si>
    <t>Apoyo a la promoción nacional e internacional como destino turismo del Departamento del Quindío</t>
  </si>
  <si>
    <t>Servicio de asistencia técnica para la generación y formalización del empleo</t>
  </si>
  <si>
    <t>Adquisición, mantenimiento y administración de áreas de importancia estratégica para la conservación y regulación del recurso hídrico.</t>
  </si>
  <si>
    <t>Fortalecimiento  y potencialización de los servicios ecosistémicos en el Departamento del Quindío</t>
  </si>
  <si>
    <t>Implementación de acciones de Gestión del Cambio Climático en el marco del PIGCC.</t>
  </si>
  <si>
    <t xml:space="preserve">Encuentros ciudadanos en el Departamento del Quindío en aplicación de la Política de Transparencia, Acceso a la Información Pública y Lucha contra la Corrupción.  </t>
  </si>
  <si>
    <t>Fortalecimiento territorial para una gestión educativa integral en la Secretaría de Educación Departamental del Quindío</t>
  </si>
  <si>
    <t>Implementación de un fondo de apoyo departamental para el acceso y la permanencia de la educación técnica, tecnológica y superior en el Departamento del Quindío</t>
  </si>
  <si>
    <t>Implementación de un modelo de atención integral a niños y niñas en entornos protectores en el Departamento del Quindío</t>
  </si>
  <si>
    <t>Formulación e implementación de  la política pública  de la familia en el departamento del Quindío</t>
  </si>
  <si>
    <t xml:space="preserve">Cobertura de municipios del departamento apoyados con  emprendimientos juveniles </t>
  </si>
  <si>
    <t>Formulación e implementación de la política pública  de diversidad sexual en el Departamento del Quindío</t>
  </si>
  <si>
    <t>Implementación de la política pública de equidad de género para la mujer en el Departamento del Quindío</t>
  </si>
  <si>
    <t>Porcentaje de población asegurada al SGSSS
Oportunidad en la presunción diagnóstica y tratamiento oncológico en menores de 18 años (alta y media)</t>
  </si>
  <si>
    <t>Mortalidad por diarreica aguda (EDA) menores 5 años (numero de muertes anual)
Prevalencia de niños menores de 5 años con desnutrición aguda
Índice de riesgo de la calidad de agua para consumo humano IRCA</t>
  </si>
  <si>
    <t>Oportunidad en la presunción diagnóstica y tratamiento oncológico en menores de 18 años (alta y media)</t>
  </si>
  <si>
    <t>Formulación e implementación del Plan Departamental en Salud Ambiental de adaptación al cambio climático.</t>
  </si>
  <si>
    <t>Tasa ajustada por edad de mortalidad asociada a cáncer de cuello uterino (por 100.000 mujeres).
Oportunidad en la presunción diagnóstica y tratamiento oncológico en menores de 18 años (alta y media)</t>
  </si>
  <si>
    <t>Facilitar el acceso y uso de las Tecnologías de la Información y las Comunicaciones en todo el departamento del Quindío. "Tú y yo somos ciudadanos TIC"</t>
  </si>
  <si>
    <t>Fomento del desarrollo de aplicaciones, software y contenidos para impulsar la apropiación de las Tecnologías de la Información y las Comunicaciones (TIC) "Quindío paraíso empresarial TIC-Quindío TIC"</t>
  </si>
  <si>
    <t>Apoyo a la estrategia de gobierno en línea en el Departamento del Quindío</t>
  </si>
  <si>
    <t>Incremento de emprendimientos y/o empresas de base tecnológica</t>
  </si>
  <si>
    <t xml:space="preserve">Implementación  y  divulgación de la estrategia    "Quindío innovador y competitivo" </t>
  </si>
  <si>
    <t>Apoyo a los juegos Intercolegiados en el Departamento del Quindío</t>
  </si>
  <si>
    <t>Apoyo a proyectos deportivos, recreativos y de actividad física, en el Departamento del Quindío</t>
  </si>
  <si>
    <t>Apoyo a la actividad física, salud y productiva en el Departamento del Quindío</t>
  </si>
  <si>
    <t xml:space="preserve">Apoyo en la formulación y ejecución de proyectos de vivienda, infraestructura y equipamientos colectivos y comunitarios en el Departamento del Quindío  </t>
  </si>
  <si>
    <t xml:space="preserve">índice de competitividad  en el sector de infraestructura vial </t>
  </si>
  <si>
    <t>Déficit cuantitativo de viviendas por hogares</t>
  </si>
  <si>
    <t xml:space="preserve">Viviendas de Interés Prioritario urbanas construidas </t>
  </si>
  <si>
    <t xml:space="preserve">Infraestructura Institucional de edificios públicos de atención de servicios ciudadanos con procesos constructivos, y/o mejorados, y/o ampliados, y/o mantenidos y/o reforzados </t>
  </si>
  <si>
    <r>
      <t xml:space="preserve">Política de Transparencia, Acceso a la Información Pública y Lucha Contra la Corrupción  articulada   con el "Pacto por la Integridad , Transparencia y Legalidad" del Gobierno Nacional desarrollada.                                                                           </t>
    </r>
    <r>
      <rPr>
        <sz val="12"/>
        <color rgb="FF000000"/>
        <rFont val="Arial"/>
        <family val="2"/>
      </rPr>
      <t xml:space="preserve">        </t>
    </r>
  </si>
  <si>
    <t>F-PLA-43</t>
  </si>
  <si>
    <t>Julio 30 de 2020</t>
  </si>
  <si>
    <t>Tasa de cobertura bruta en transición
Tasa de cobertura bruta en educación básica
Tasa de cobertura en educación media</t>
  </si>
  <si>
    <t>Servicios educativos de promoción del bilingüismo</t>
  </si>
  <si>
    <t>Tasa de participación en procesos y actividades artísticas y culturales.
Tasa de consumo de sustancias sicoactivas por 100.000 habitantes en el departamento del Quindío.</t>
  </si>
  <si>
    <t>Índice Departamental de Competitividad Turística
Tasa de desempleo</t>
  </si>
  <si>
    <t xml:space="preserve">Cobertura  de alcantarillado </t>
  </si>
  <si>
    <t xml:space="preserve">Cobertura en la  implementación del  modelo de entornos protectores y atención integral de la primera infancia </t>
  </si>
  <si>
    <t>Cobertura  de municipios   con  jóvenes en riesgo psicosocial impactados en los  barrios vulnerables del Departamento del Quindío</t>
  </si>
  <si>
    <t>Tasa de violencia de género.
Tasa de Suicidio  x 100.000 Habitantes en el Departamento del Quindío.
Tasa de suicidios en niños y niñas ( 6 a 11 años)
Tasa de suicidios en adolescentes (12 a 17 años)
Tasa de suicidios (18 - 28 años)
Tasa de Consumo de Sustancias Psicoactivas  x 100.000 habitantes en el Departamento del Quindío.</t>
  </si>
  <si>
    <t>Tasa de violencia Intrafamiliar x 100.000 Habitantes en el Departamento del Quindío.
Tasa de violencia contra niños y niñas 0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</si>
  <si>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Tasa de Violencia Intrafamiliar x 100.000 Habitantes en el Departamento del Quindío.
Tasa de violencia contra niños y niñas 0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</si>
  <si>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Cobertura  de población diferencial,  comunidades negras, afros raizales y palenqueras asentadas en el departamento del Quindío con una  política publica .</t>
  </si>
  <si>
    <t>Formular e implementar la política pública para la comunidad negra, afrocolombiana, raizal y palenquera residente en 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</si>
  <si>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</si>
  <si>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</si>
  <si>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</si>
  <si>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Cobertura  de  centros vida y centros de bienestar del adulto mayor (Legalmente constituidos)  apoyados con los recursos  de la  Estampilla Pro adulto Mayor .</t>
  </si>
  <si>
    <t xml:space="preserve">Política Pública de  Discapacidad  revisada, ajustada e implementada. </t>
  </si>
  <si>
    <t>FONDO LOCAL DE SALUD  - MONOPOLIO RENTAS CEDIDAS -LOTERIAS-RIFAS-PREMIO(152)(99)63)</t>
  </si>
  <si>
    <t>Realizar la vigilancia epidemiológica de plaguicidas en el marco del programa VEO (vigilancia epidemiológica de organofosforados y carbamatos) en los municipios de competencia departamental.</t>
  </si>
  <si>
    <t>Prevalencia de niños menores de 5 años con desnutrición aguda.</t>
  </si>
  <si>
    <t>Plan de Fortalecimiento de Capacidades en Salud Ambiental  formulado.</t>
  </si>
  <si>
    <t>Tasa de violencia de género.
Tasa de Suicidio  x 100.000 Habitantes en el Departamento del Quindío.
Tasa de suicidios en niños y niñas ( 6 a 11 años)
Tasa de suicidios en adolescentes (12 a 17 años)
Tasa de suicidios (18 - 28 años)
Tasa de Consumo de Sustancias Psicoactivas  x 100.000 Habitantes en el Departamento del Quindío.</t>
  </si>
  <si>
    <t xml:space="preserve">Infraestructura  vial    construida, mejorada, ampliada,  mantenida, y/o  reforzada </t>
  </si>
  <si>
    <t xml:space="preserve">Infraestructura   deportiva y/o recreativa construida y/o mejorada, y/o ampliada, y/o mantenida, y/o  reforzada </t>
  </si>
  <si>
    <t>324  SECRETARÍA TECNOLOGÍAS DE LA INFORMACIÓN Y COMUNICACIÓN</t>
  </si>
  <si>
    <t>37.4</t>
  </si>
  <si>
    <t>13.9</t>
  </si>
  <si>
    <t>12.22</t>
  </si>
  <si>
    <t>12.4</t>
  </si>
  <si>
    <t>12.12</t>
  </si>
  <si>
    <t>11.12</t>
  </si>
  <si>
    <t>11.16</t>
  </si>
  <si>
    <t>11.13</t>
  </si>
  <si>
    <t>16.5</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</si>
  <si>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</si>
  <si>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</si>
  <si>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picoactivas por 100.000 habitantes en el departamento del Quindío.</t>
  </si>
  <si>
    <t>.Tasa de cumplimiento al Plan de Biocultura en patrimonio y del PCC.
.Tasa de consumo de sustancias psicoactivas por 100.000 habitantes en el departamento del Quindío.</t>
  </si>
  <si>
    <t>Tasa de lesionados por siniestros viales por cada 100 habitantes.
Tasa de fallecidos por siniestros viales por cada 100 habitantes.</t>
  </si>
  <si>
    <t>Fortalecimiento, hábitos y estilos de vida saludable como instrumento SALVAVIDAS en el Departamento del Quindío</t>
  </si>
  <si>
    <t>Cobertura de municipios que participan en programas de recreación, actividad física y deporte social y comunitario en el Departamento del Quindío.
Tasa de Consumo de Sustancias Psicoactivas  x 100.000 Habitantes en el Departamento del Quindío.</t>
  </si>
  <si>
    <t>Fortalecimiento al deporte competitivo y de altos logros "TÚ Y  YO SOMOS SALVAVIDAS POR UN QUINDÍO GANADOR" en el Departamento del Quindío</t>
  </si>
  <si>
    <t>Política pública formulada e implementada</t>
  </si>
  <si>
    <t>SEGUIMIENTO PLAN OPERATIVO ANUAL DE INVERSIÓN  POAI 
PLAN DE DESARROLLO 2020-2023 "TÚ Y YO SOMOS QUINDIO "
SEPTIEMBRE 30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</si>
</sst>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quot;-&quot;??_);_(@_)"/>
    <numFmt numFmtId="165" formatCode="_-&quot;$&quot;* #,##0_-;\-&quot;$&quot;* #,##0_-;_-&quot;$&quot;* &quot;-&quot;_-;_-@_-"/>
    <numFmt numFmtId="166" formatCode="_-&quot;$&quot;* #,##0.00_-;\-&quot;$&quot;* #,##0.00_-;_-&quot;$&quot;* &quot;-&quot;??_-;_-@_-"/>
    <numFmt numFmtId="167" formatCode="_([$$-240A]\ * #,##0.00_);_([$$-240A]\ * \(#,##0.00\);_([$$-240A]\ * &quot;-&quot;??_);_(@_)"/>
    <numFmt numFmtId="168" formatCode="_(* #,##0_);_(* \(#,##0\);_(* &quot;-&quot;??_);_(@_)"/>
    <numFmt numFmtId="169" formatCode="_-* #,##0.00_-;\-* #,##0.00_-;_-* &quot;-&quot;_-;_-@_-"/>
    <numFmt numFmtId="170" formatCode="00"/>
    <numFmt numFmtId="171" formatCode="_-* #,##0_-;\-* #,##0_-;_-* &quot;-&quot;??_-;_-@_-"/>
    <numFmt numFmtId="172" formatCode="0.0"/>
    <numFmt numFmtId="173" formatCode="_-&quot;$&quot;\ * #,##0.00_-;\-&quot;$&quot;\ * #,##0.00_-;_-&quot;$&quot;\ * &quot;-&quot;_-;_-@_-"/>
    <numFmt numFmtId="174" formatCode="_(&quot;$&quot;\ * #,##0_);_(&quot;$&quot;\ * \(#,##0\);_(&quot;$&quot;\ * &quot;-&quot;??_);_(@_)"/>
  </numFmts>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rgb="FF6F6F6E"/>
      <name val="Calibri"/>
      <family val="2"/>
      <scheme val="minor"/>
    </font>
    <font>
      <sz val="12"/>
      <name val="Arial"/>
      <family val="2"/>
    </font>
    <font>
      <sz val="12"/>
      <color theme="1"/>
      <name val="Arial"/>
      <family val="2"/>
    </font>
    <font>
      <b/>
      <sz val="12"/>
      <color theme="0"/>
      <name val="Arial"/>
      <family val="2"/>
    </font>
    <font>
      <sz val="10"/>
      <name val="Arial"/>
      <family val="2"/>
    </font>
    <font>
      <b/>
      <sz val="10"/>
      <color theme="1"/>
      <name val="Arial"/>
      <family val="2"/>
    </font>
    <font>
      <sz val="10"/>
      <color theme="1"/>
      <name val="Arial"/>
      <family val="2"/>
    </font>
    <font>
      <sz val="10"/>
      <color theme="0"/>
      <name val="Arial"/>
      <family val="2"/>
    </font>
    <font>
      <b/>
      <sz val="12"/>
      <name val="Arial"/>
      <family val="2"/>
    </font>
    <font>
      <b/>
      <sz val="10"/>
      <name val="Arial"/>
      <family val="2"/>
    </font>
    <font>
      <sz val="12"/>
      <color theme="0"/>
      <name val="Arial"/>
      <family val="2"/>
    </font>
    <font>
      <sz val="12"/>
      <color indexed="8"/>
      <name val="Arial"/>
      <family val="2"/>
    </font>
    <font>
      <sz val="12"/>
      <color rgb="FFFF0000"/>
      <name val="Arial"/>
      <family val="2"/>
    </font>
    <font>
      <sz val="12"/>
      <color rgb="FF000000"/>
      <name val="Arial"/>
      <family val="2"/>
    </font>
    <font>
      <sz val="8"/>
      <name val="Calibri"/>
      <family val="2"/>
      <scheme val="minor"/>
    </font>
    <font>
      <b/>
      <sz val="8"/>
      <name val="Arial"/>
      <family val="2"/>
    </font>
    <font>
      <sz val="8"/>
      <name val="Arial"/>
      <family val="2"/>
    </font>
    <font>
      <sz val="8"/>
      <color theme="1"/>
      <name val="Calibri"/>
      <family val="2"/>
      <scheme val="minor"/>
    </font>
    <font>
      <b/>
      <sz val="8"/>
      <name val="Calibri"/>
      <family val="2"/>
      <scheme val="minor"/>
    </font>
    <font>
      <sz val="12"/>
      <color rgb="FF222222"/>
      <name val="Arial"/>
      <family val="2"/>
    </font>
  </fonts>
  <fills count="45">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CECEC"/>
        <bgColor indexed="64"/>
      </patternFill>
    </fill>
    <fill>
      <patternFill patternType="solid">
        <fgColor theme="8" tint="-0.499984740745262"/>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002060"/>
        <bgColor indexed="64"/>
      </patternFill>
    </fill>
    <fill>
      <patternFill patternType="solid">
        <fgColor rgb="FFFFC000"/>
        <bgColor indexed="64"/>
      </patternFill>
    </fill>
    <fill>
      <patternFill patternType="solid">
        <fgColor rgb="FF00B0F0"/>
        <bgColor indexed="64"/>
      </patternFill>
    </fill>
    <fill>
      <patternFill patternType="solid">
        <fgColor theme="4" tint="0.39997558519241921"/>
        <bgColor indexed="64"/>
      </patternFill>
    </fill>
    <fill>
      <patternFill patternType="solid">
        <fgColor indexed="49"/>
        <bgColor indexed="64"/>
      </patternFill>
    </fill>
    <fill>
      <patternFill patternType="solid">
        <fgColor theme="2" tint="-0.249977111117893"/>
        <bgColor indexed="64"/>
      </patternFill>
    </fill>
    <fill>
      <patternFill patternType="solid">
        <fgColor theme="0"/>
        <bgColor theme="4" tint="0.79998168889431442"/>
      </patternFill>
    </fill>
    <fill>
      <patternFill patternType="solid">
        <fgColor theme="9" tint="0.39997558519241921"/>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thin">
        <color indexed="64"/>
      </right>
      <top/>
      <bottom/>
      <diagonal/>
    </border>
  </borders>
  <cellStyleXfs count="62">
    <xf numFmtId="0" fontId="0" fillId="0" borderId="0"/>
    <xf numFmtId="0" fontId="1" fillId="9"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6" fillId="11" borderId="0" applyNumberFormat="0" applyBorder="0" applyAlignment="0" applyProtection="0"/>
    <xf numFmtId="0" fontId="16" fillId="15" borderId="0" applyNumberFormat="0" applyBorder="0" applyAlignment="0" applyProtection="0"/>
    <xf numFmtId="0" fontId="16" fillId="19" borderId="0" applyNumberFormat="0" applyBorder="0" applyAlignment="0" applyProtection="0"/>
    <xf numFmtId="0" fontId="16" fillId="23" borderId="0" applyNumberFormat="0" applyBorder="0" applyAlignment="0" applyProtection="0"/>
    <xf numFmtId="0" fontId="16" fillId="27" borderId="0" applyNumberFormat="0" applyBorder="0" applyAlignment="0" applyProtection="0"/>
    <xf numFmtId="0" fontId="16" fillId="31" borderId="0" applyNumberFormat="0" applyBorder="0" applyAlignment="0" applyProtection="0"/>
    <xf numFmtId="0" fontId="10" fillId="5" borderId="4" applyNumberFormat="0" applyAlignment="0" applyProtection="0"/>
    <xf numFmtId="0" fontId="12" fillId="6" borderId="7" applyNumberFormat="0" applyAlignment="0" applyProtection="0"/>
    <xf numFmtId="0" fontId="11" fillId="0" borderId="6" applyNumberFormat="0" applyFill="0" applyAlignment="0" applyProtection="0"/>
    <xf numFmtId="0" fontId="3" fillId="0" borderId="1" applyNumberFormat="0" applyFill="0" applyAlignment="0" applyProtection="0"/>
    <xf numFmtId="0" fontId="5" fillId="0" borderId="0" applyNumberFormat="0" applyFill="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8" fillId="4" borderId="4" applyNumberFormat="0" applyAlignment="0" applyProtection="0"/>
    <xf numFmtId="0" fontId="6" fillId="2" borderId="0" applyNumberFormat="0" applyBorder="0" applyAlignment="0" applyProtection="0"/>
    <xf numFmtId="0" fontId="7" fillId="3" borderId="0" applyNumberFormat="0" applyBorder="0" applyAlignment="0" applyProtection="0"/>
    <xf numFmtId="0" fontId="1" fillId="7" borderId="8" applyNumberFormat="0" applyFont="0" applyAlignment="0" applyProtection="0"/>
    <xf numFmtId="0" fontId="9" fillId="5"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2"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15" fillId="0" borderId="9" applyNumberFormat="0" applyFill="0" applyAlignment="0" applyProtection="0"/>
    <xf numFmtId="164" fontId="17" fillId="0" borderId="0" applyFont="0" applyFill="0" applyBorder="0" applyAlignment="0" applyProtection="0"/>
    <xf numFmtId="43" fontId="1" fillId="0" borderId="0" applyFont="0" applyFill="0" applyBorder="0" applyAlignment="0" applyProtection="0"/>
    <xf numFmtId="0" fontId="18" fillId="32" borderId="10">
      <alignment horizontal="center" vertical="center" wrapText="1"/>
    </xf>
    <xf numFmtId="0" fontId="1" fillId="0" borderId="0"/>
    <xf numFmtId="9" fontId="17"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7" fontId="1" fillId="0" borderId="0"/>
    <xf numFmtId="167" fontId="18" fillId="32" borderId="10">
      <alignment horizontal="center" vertical="center" wrapText="1"/>
    </xf>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7" fontId="22" fillId="0" borderId="0"/>
    <xf numFmtId="4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3" fontId="17" fillId="0" borderId="0" applyFont="0" applyFill="0" applyBorder="0" applyAlignment="0" applyProtection="0"/>
    <xf numFmtId="44" fontId="1" fillId="0" borderId="0" applyFont="0" applyFill="0" applyBorder="0" applyAlignment="0" applyProtection="0"/>
    <xf numFmtId="0" fontId="24" fillId="0" borderId="0"/>
    <xf numFmtId="42" fontId="1" fillId="0" borderId="0" applyFont="0" applyFill="0" applyBorder="0" applyAlignment="0" applyProtection="0"/>
    <xf numFmtId="167" fontId="22" fillId="0" borderId="0"/>
  </cellStyleXfs>
  <cellXfs count="594">
    <xf numFmtId="0" fontId="0" fillId="0" borderId="0" xfId="0"/>
    <xf numFmtId="0" fontId="24" fillId="0" borderId="0" xfId="0" applyFont="1"/>
    <xf numFmtId="168" fontId="25" fillId="33" borderId="14" xfId="57" applyNumberFormat="1" applyFont="1" applyFill="1" applyBorder="1" applyAlignment="1">
      <alignment vertical="center" wrapText="1"/>
    </xf>
    <xf numFmtId="168" fontId="25" fillId="33" borderId="11" xfId="57" applyNumberFormat="1" applyFont="1" applyFill="1" applyBorder="1" applyAlignment="1">
      <alignment horizontal="center" vertical="center" wrapText="1"/>
    </xf>
    <xf numFmtId="0" fontId="24" fillId="0" borderId="0" xfId="0" applyFont="1" applyFill="1"/>
    <xf numFmtId="0" fontId="20" fillId="0" borderId="11" xfId="0" applyFont="1" applyBorder="1" applyAlignment="1">
      <alignment horizontal="center" vertical="center"/>
    </xf>
    <xf numFmtId="0" fontId="20" fillId="0" borderId="11" xfId="0" applyFont="1" applyBorder="1" applyAlignment="1">
      <alignment horizontal="left" vertical="center"/>
    </xf>
    <xf numFmtId="168" fontId="19" fillId="0" borderId="11" xfId="57" applyNumberFormat="1" applyFont="1" applyBorder="1" applyAlignment="1">
      <alignment horizontal="right" vertical="center"/>
    </xf>
    <xf numFmtId="9" fontId="19" fillId="0" borderId="11" xfId="45" applyFont="1" applyBorder="1" applyAlignment="1">
      <alignment horizontal="center" vertical="center"/>
    </xf>
    <xf numFmtId="9" fontId="19" fillId="0" borderId="11" xfId="56" applyFont="1" applyBorder="1" applyAlignment="1">
      <alignment horizontal="center" vertical="center"/>
    </xf>
    <xf numFmtId="10" fontId="19" fillId="0" borderId="11" xfId="56" applyNumberFormat="1" applyFont="1" applyBorder="1" applyAlignment="1">
      <alignment horizontal="center" vertical="center"/>
    </xf>
    <xf numFmtId="164" fontId="19" fillId="0" borderId="11" xfId="56" applyNumberFormat="1" applyFont="1" applyBorder="1" applyAlignment="1">
      <alignment horizontal="right" vertical="center"/>
    </xf>
    <xf numFmtId="41" fontId="19" fillId="0" borderId="11" xfId="56" applyNumberFormat="1" applyFont="1" applyBorder="1" applyAlignment="1">
      <alignment horizontal="right" vertical="center"/>
    </xf>
    <xf numFmtId="10" fontId="19" fillId="0" borderId="11" xfId="56" applyNumberFormat="1" applyFont="1" applyBorder="1" applyAlignment="1">
      <alignment horizontal="right" vertical="center"/>
    </xf>
    <xf numFmtId="168" fontId="20" fillId="0" borderId="11" xfId="57" applyNumberFormat="1" applyFont="1" applyBorder="1" applyAlignment="1">
      <alignment vertical="center"/>
    </xf>
    <xf numFmtId="10" fontId="20" fillId="0" borderId="11" xfId="45" applyNumberFormat="1" applyFont="1" applyBorder="1" applyAlignment="1">
      <alignment horizontal="center" vertical="center"/>
    </xf>
    <xf numFmtId="0" fontId="24" fillId="0" borderId="0" xfId="0" applyFont="1" applyAlignment="1">
      <alignment vertical="center"/>
    </xf>
    <xf numFmtId="168" fontId="19" fillId="0" borderId="11" xfId="56" applyNumberFormat="1" applyFont="1" applyBorder="1" applyAlignment="1">
      <alignment horizontal="right" vertical="center"/>
    </xf>
    <xf numFmtId="41" fontId="19" fillId="0" borderId="11" xfId="56" applyNumberFormat="1" applyFont="1" applyBorder="1" applyAlignment="1">
      <alignment horizontal="center" vertical="center"/>
    </xf>
    <xf numFmtId="0" fontId="20" fillId="0" borderId="11" xfId="0" applyFont="1" applyBorder="1" applyAlignment="1">
      <alignment horizontal="left" vertical="center" wrapText="1"/>
    </xf>
    <xf numFmtId="0" fontId="19" fillId="0" borderId="11" xfId="0" applyFont="1" applyBorder="1" applyAlignment="1">
      <alignment horizontal="center" vertical="center"/>
    </xf>
    <xf numFmtId="168" fontId="19" fillId="0" borderId="11" xfId="0" applyNumberFormat="1" applyFont="1" applyBorder="1" applyAlignment="1">
      <alignment horizontal="right" vertical="center"/>
    </xf>
    <xf numFmtId="168" fontId="19" fillId="0" borderId="11" xfId="0" applyNumberFormat="1" applyFont="1" applyBorder="1" applyAlignment="1">
      <alignment vertical="center"/>
    </xf>
    <xf numFmtId="168" fontId="19" fillId="0" borderId="11" xfId="57" applyNumberFormat="1" applyFont="1" applyBorder="1" applyAlignment="1">
      <alignment vertical="center"/>
    </xf>
    <xf numFmtId="0" fontId="22" fillId="0" borderId="0" xfId="0" applyFont="1" applyAlignment="1">
      <alignment vertical="center"/>
    </xf>
    <xf numFmtId="0" fontId="21" fillId="33" borderId="0" xfId="0" applyFont="1" applyFill="1" applyAlignment="1">
      <alignment horizontal="left" vertical="center"/>
    </xf>
    <xf numFmtId="168" fontId="21" fillId="33" borderId="11" xfId="57" applyNumberFormat="1" applyFont="1" applyFill="1" applyBorder="1" applyAlignment="1">
      <alignment vertical="center"/>
    </xf>
    <xf numFmtId="9" fontId="21" fillId="33" borderId="11" xfId="45" applyFont="1" applyFill="1" applyBorder="1" applyAlignment="1">
      <alignment horizontal="center" vertical="center"/>
    </xf>
    <xf numFmtId="10" fontId="21" fillId="33" borderId="11" xfId="56" applyNumberFormat="1" applyFont="1" applyFill="1" applyBorder="1" applyAlignment="1">
      <alignment horizontal="center" vertical="center"/>
    </xf>
    <xf numFmtId="10" fontId="21" fillId="33" borderId="11" xfId="45" applyNumberFormat="1" applyFont="1" applyFill="1" applyBorder="1" applyAlignment="1">
      <alignment horizontal="center" vertical="center"/>
    </xf>
    <xf numFmtId="0" fontId="23" fillId="0" borderId="0" xfId="0" applyFont="1" applyAlignment="1">
      <alignment vertical="center"/>
    </xf>
    <xf numFmtId="0" fontId="24" fillId="0" borderId="0" xfId="0" applyFont="1" applyAlignment="1">
      <alignment horizontal="left"/>
    </xf>
    <xf numFmtId="168" fontId="24" fillId="0" borderId="0" xfId="57" applyNumberFormat="1" applyFont="1"/>
    <xf numFmtId="168" fontId="22" fillId="0" borderId="0" xfId="57" applyNumberFormat="1" applyFont="1" applyFill="1" applyBorder="1" applyAlignment="1">
      <alignment horizontal="center"/>
    </xf>
    <xf numFmtId="168" fontId="22" fillId="0" borderId="0" xfId="57" applyNumberFormat="1" applyFont="1" applyFill="1" applyBorder="1"/>
    <xf numFmtId="168" fontId="22" fillId="0" borderId="0" xfId="57" applyNumberFormat="1" applyFont="1" applyFill="1" applyBorder="1" applyAlignment="1">
      <alignment horizontal="center" vertical="center" wrapText="1"/>
    </xf>
    <xf numFmtId="9" fontId="22" fillId="0" borderId="0" xfId="45" applyFont="1" applyFill="1" applyBorder="1" applyAlignment="1">
      <alignment horizontal="center" vertical="center"/>
    </xf>
    <xf numFmtId="0" fontId="24" fillId="0" borderId="0" xfId="0" applyFont="1" applyFill="1" applyBorder="1" applyAlignment="1">
      <alignment horizontal="left"/>
    </xf>
    <xf numFmtId="168" fontId="24" fillId="0" borderId="0" xfId="57" applyNumberFormat="1" applyFont="1" applyFill="1" applyBorder="1"/>
    <xf numFmtId="168" fontId="22" fillId="0" borderId="0" xfId="57" applyNumberFormat="1" applyFont="1"/>
    <xf numFmtId="0" fontId="22" fillId="0" borderId="0" xfId="0" applyFont="1" applyAlignment="1">
      <alignment horizontal="left"/>
    </xf>
    <xf numFmtId="0" fontId="22" fillId="0" borderId="0" xfId="0" applyFont="1" applyFill="1" applyBorder="1" applyAlignment="1">
      <alignment horizontal="left"/>
    </xf>
    <xf numFmtId="10" fontId="22" fillId="0" borderId="0" xfId="56" applyNumberFormat="1" applyFont="1" applyFill="1" applyBorder="1"/>
    <xf numFmtId="164" fontId="19" fillId="0" borderId="11" xfId="41" applyFont="1" applyFill="1" applyBorder="1" applyAlignment="1">
      <alignment horizontal="justify" vertical="center"/>
    </xf>
    <xf numFmtId="168" fontId="19" fillId="0" borderId="11" xfId="41" applyNumberFormat="1" applyFont="1" applyFill="1" applyBorder="1" applyAlignment="1">
      <alignment horizontal="center" vertical="center" wrapText="1"/>
    </xf>
    <xf numFmtId="0" fontId="19" fillId="0" borderId="11" xfId="41" applyNumberFormat="1" applyFont="1" applyFill="1" applyBorder="1" applyAlignment="1">
      <alignment horizontal="center" vertical="center" wrapText="1"/>
    </xf>
    <xf numFmtId="164" fontId="19" fillId="0" borderId="11" xfId="41" applyFont="1" applyFill="1" applyBorder="1"/>
    <xf numFmtId="0" fontId="19" fillId="0" borderId="11" xfId="49" applyNumberFormat="1" applyFont="1" applyFill="1" applyBorder="1" applyAlignment="1">
      <alignment horizontal="justify" vertical="center" wrapText="1"/>
    </xf>
    <xf numFmtId="0" fontId="19" fillId="0" borderId="11" xfId="51" applyNumberFormat="1" applyFont="1" applyFill="1" applyBorder="1" applyAlignment="1">
      <alignment horizontal="center" vertical="center" wrapText="1"/>
    </xf>
    <xf numFmtId="164" fontId="19" fillId="0" borderId="11" xfId="51" applyFont="1" applyFill="1" applyBorder="1" applyAlignment="1">
      <alignment horizontal="right" vertical="center" wrapText="1"/>
    </xf>
    <xf numFmtId="167" fontId="19" fillId="0" borderId="11" xfId="49" applyFont="1" applyFill="1" applyBorder="1" applyAlignment="1">
      <alignment horizontal="justify" vertical="center" wrapText="1"/>
    </xf>
    <xf numFmtId="171" fontId="19" fillId="0" borderId="0" xfId="51" applyNumberFormat="1" applyFont="1" applyAlignment="1">
      <alignment horizontal="center"/>
    </xf>
    <xf numFmtId="164" fontId="19" fillId="0" borderId="11" xfId="41" applyFont="1" applyBorder="1" applyAlignment="1">
      <alignment horizontal="justify" vertical="center"/>
    </xf>
    <xf numFmtId="0" fontId="19" fillId="0" borderId="11" xfId="49" applyNumberFormat="1" applyFont="1" applyFill="1" applyBorder="1" applyAlignment="1">
      <alignment horizontal="center" vertical="center"/>
    </xf>
    <xf numFmtId="164" fontId="19" fillId="39" borderId="11" xfId="41" applyFont="1" applyFill="1" applyBorder="1" applyAlignment="1">
      <alignment horizontal="justify" vertical="center"/>
    </xf>
    <xf numFmtId="164" fontId="26" fillId="39" borderId="11" xfId="41" applyFont="1" applyFill="1" applyBorder="1" applyAlignment="1">
      <alignment horizontal="justify" vertical="center"/>
    </xf>
    <xf numFmtId="43" fontId="19" fillId="0" borderId="11" xfId="42" applyFont="1" applyFill="1" applyBorder="1" applyAlignment="1">
      <alignment horizontal="center" vertical="center"/>
    </xf>
    <xf numFmtId="0" fontId="19" fillId="0" borderId="11" xfId="51" applyNumberFormat="1" applyFont="1" applyFill="1" applyBorder="1" applyAlignment="1">
      <alignment horizontal="justify" vertical="center" wrapText="1"/>
    </xf>
    <xf numFmtId="164" fontId="19" fillId="0" borderId="11" xfId="41" applyFont="1" applyFill="1" applyBorder="1" applyAlignment="1">
      <alignment horizontal="justify" vertical="center" wrapText="1"/>
    </xf>
    <xf numFmtId="164" fontId="30" fillId="0" borderId="11" xfId="41" applyFont="1" applyFill="1" applyBorder="1" applyAlignment="1">
      <alignment horizontal="justify" vertical="center"/>
    </xf>
    <xf numFmtId="164" fontId="19" fillId="0" borderId="11" xfId="51" applyFont="1" applyFill="1" applyBorder="1" applyAlignment="1">
      <alignment vertical="center"/>
    </xf>
    <xf numFmtId="164" fontId="19" fillId="0" borderId="11" xfId="51" applyFont="1" applyFill="1" applyBorder="1" applyAlignment="1">
      <alignment horizontal="center" vertical="center"/>
    </xf>
    <xf numFmtId="164" fontId="19" fillId="0" borderId="11" xfId="41" applyFont="1" applyFill="1" applyBorder="1" applyAlignment="1">
      <alignment horizontal="right" vertical="center"/>
    </xf>
    <xf numFmtId="164" fontId="26" fillId="39" borderId="11" xfId="51" applyFont="1" applyFill="1" applyBorder="1" applyAlignment="1">
      <alignment horizontal="center" vertical="center"/>
    </xf>
    <xf numFmtId="164" fontId="19" fillId="0" borderId="11" xfId="41" applyFont="1" applyFill="1" applyBorder="1" applyAlignment="1">
      <alignment horizontal="center" vertical="center" wrapText="1"/>
    </xf>
    <xf numFmtId="164" fontId="20" fillId="0" borderId="11" xfId="41" applyFont="1" applyFill="1" applyBorder="1" applyAlignment="1">
      <alignment horizontal="center" vertical="center" wrapText="1"/>
    </xf>
    <xf numFmtId="0" fontId="32" fillId="0" borderId="0" xfId="0" applyFont="1"/>
    <xf numFmtId="0" fontId="33" fillId="0" borderId="0" xfId="0" applyFont="1" applyAlignment="1">
      <alignment horizontal="center" vertical="center"/>
    </xf>
    <xf numFmtId="0" fontId="33" fillId="0" borderId="0" xfId="0" applyFont="1" applyAlignment="1">
      <alignment vertical="center"/>
    </xf>
    <xf numFmtId="0" fontId="34" fillId="0" borderId="11" xfId="0" applyFont="1" applyBorder="1" applyAlignment="1">
      <alignment horizontal="center" vertical="center" wrapText="1"/>
    </xf>
    <xf numFmtId="164" fontId="32" fillId="0" borderId="27" xfId="0" applyNumberFormat="1" applyFont="1" applyBorder="1" applyAlignment="1">
      <alignment vertical="center"/>
    </xf>
    <xf numFmtId="164" fontId="33" fillId="0" borderId="0" xfId="0" applyNumberFormat="1" applyFont="1" applyAlignment="1">
      <alignment vertical="center"/>
    </xf>
    <xf numFmtId="0" fontId="35" fillId="0" borderId="0" xfId="0" applyFont="1"/>
    <xf numFmtId="164" fontId="32" fillId="0" borderId="0" xfId="0" applyNumberFormat="1" applyFont="1"/>
    <xf numFmtId="164" fontId="32" fillId="0" borderId="11" xfId="0" applyNumberFormat="1" applyFont="1" applyBorder="1" applyAlignment="1">
      <alignment vertical="center"/>
    </xf>
    <xf numFmtId="0" fontId="34" fillId="0" borderId="18" xfId="0" applyFont="1" applyBorder="1" applyAlignment="1">
      <alignment horizontal="center" vertical="center" wrapText="1"/>
    </xf>
    <xf numFmtId="164" fontId="32" fillId="0" borderId="18" xfId="0" applyNumberFormat="1" applyFont="1" applyBorder="1" applyAlignment="1">
      <alignment vertical="center"/>
    </xf>
    <xf numFmtId="164" fontId="34" fillId="0" borderId="11" xfId="0" applyNumberFormat="1" applyFont="1" applyBorder="1" applyAlignment="1">
      <alignment vertical="center"/>
    </xf>
    <xf numFmtId="0" fontId="34" fillId="0" borderId="11" xfId="0" applyFont="1" applyFill="1" applyBorder="1" applyAlignment="1">
      <alignment horizontal="center" vertical="center" wrapText="1"/>
    </xf>
    <xf numFmtId="0" fontId="34" fillId="0" borderId="11" xfId="0" applyFont="1" applyFill="1" applyBorder="1" applyAlignment="1">
      <alignment horizontal="justify" vertical="center" wrapText="1"/>
    </xf>
    <xf numFmtId="164" fontId="34" fillId="0" borderId="11" xfId="0" applyNumberFormat="1" applyFont="1" applyFill="1" applyBorder="1" applyAlignment="1">
      <alignment horizontal="left" vertical="center" wrapText="1"/>
    </xf>
    <xf numFmtId="0" fontId="32" fillId="0" borderId="0" xfId="0" applyFont="1" applyFill="1"/>
    <xf numFmtId="0" fontId="32" fillId="0" borderId="0" xfId="0" applyFont="1" applyAlignment="1">
      <alignment horizontal="left" vertical="center" wrapText="1"/>
    </xf>
    <xf numFmtId="1" fontId="34" fillId="0" borderId="11" xfId="0" applyNumberFormat="1" applyFont="1" applyBorder="1" applyAlignment="1">
      <alignment horizontal="center" vertical="center" wrapText="1"/>
    </xf>
    <xf numFmtId="0" fontId="32" fillId="0" borderId="11" xfId="0" applyFont="1" applyBorder="1" applyAlignment="1">
      <alignment horizontal="justify" vertical="center" wrapText="1"/>
    </xf>
    <xf numFmtId="1" fontId="34" fillId="0" borderId="18" xfId="0" applyNumberFormat="1" applyFont="1" applyBorder="1" applyAlignment="1">
      <alignment horizontal="center" vertical="center" wrapText="1"/>
    </xf>
    <xf numFmtId="0" fontId="33" fillId="42" borderId="19" xfId="0" applyFont="1" applyFill="1" applyBorder="1" applyAlignment="1">
      <alignment horizontal="center" vertical="center" wrapText="1"/>
    </xf>
    <xf numFmtId="164" fontId="32" fillId="34" borderId="0" xfId="0" applyNumberFormat="1" applyFont="1" applyFill="1"/>
    <xf numFmtId="0" fontId="32" fillId="34" borderId="0" xfId="0" applyFont="1" applyFill="1"/>
    <xf numFmtId="3" fontId="34" fillId="0" borderId="11" xfId="0" applyNumberFormat="1" applyFont="1" applyBorder="1" applyAlignment="1">
      <alignment horizontal="justify" vertical="center" wrapText="1"/>
    </xf>
    <xf numFmtId="3" fontId="32" fillId="0" borderId="11" xfId="0" applyNumberFormat="1" applyFont="1" applyBorder="1" applyAlignment="1">
      <alignment horizontal="justify" vertical="center" wrapText="1"/>
    </xf>
    <xf numFmtId="168" fontId="34" fillId="0" borderId="11" xfId="0" applyNumberFormat="1" applyFont="1" applyBorder="1" applyAlignment="1">
      <alignment horizontal="justify" vertical="center" wrapText="1"/>
    </xf>
    <xf numFmtId="164" fontId="33" fillId="42" borderId="25" xfId="51" applyFont="1" applyFill="1" applyBorder="1" applyAlignment="1">
      <alignment horizontal="center" vertical="center" wrapText="1"/>
    </xf>
    <xf numFmtId="0" fontId="36" fillId="0" borderId="0" xfId="0" applyFont="1"/>
    <xf numFmtId="0" fontId="36" fillId="40" borderId="31" xfId="0" applyFont="1" applyFill="1" applyBorder="1" applyAlignment="1">
      <alignment horizontal="justify" vertical="center" wrapText="1"/>
    </xf>
    <xf numFmtId="164" fontId="33" fillId="40" borderId="32" xfId="41" applyFont="1" applyFill="1" applyBorder="1" applyAlignment="1">
      <alignment vertical="center"/>
    </xf>
    <xf numFmtId="0" fontId="32" fillId="34" borderId="0" xfId="0" applyFont="1" applyFill="1" applyAlignment="1">
      <alignment horizontal="justify" vertical="center" wrapText="1"/>
    </xf>
    <xf numFmtId="0" fontId="34" fillId="34" borderId="0" xfId="0" applyFont="1" applyFill="1" applyAlignment="1">
      <alignment horizontal="center" vertical="center" wrapText="1"/>
    </xf>
    <xf numFmtId="43" fontId="32" fillId="34" borderId="0" xfId="0" applyNumberFormat="1" applyFont="1" applyFill="1" applyAlignment="1">
      <alignment vertical="center"/>
    </xf>
    <xf numFmtId="0" fontId="32" fillId="34" borderId="0" xfId="0" applyFont="1" applyFill="1" applyAlignment="1">
      <alignment vertical="center"/>
    </xf>
    <xf numFmtId="0" fontId="32" fillId="0" borderId="0" xfId="0" applyFont="1" applyAlignment="1">
      <alignment horizontal="justify" vertical="center" wrapText="1"/>
    </xf>
    <xf numFmtId="0" fontId="34" fillId="0" borderId="0" xfId="0" applyFont="1" applyAlignment="1">
      <alignment horizontal="center" vertical="center" wrapText="1"/>
    </xf>
    <xf numFmtId="0" fontId="32" fillId="0" borderId="0" xfId="0" applyFont="1" applyAlignment="1">
      <alignment vertical="center"/>
    </xf>
    <xf numFmtId="0" fontId="33" fillId="40" borderId="36" xfId="0" applyFont="1" applyFill="1" applyBorder="1" applyAlignment="1">
      <alignment horizontal="center" vertical="center" wrapText="1"/>
    </xf>
    <xf numFmtId="0" fontId="34" fillId="0" borderId="14" xfId="0" applyFont="1" applyBorder="1" applyAlignment="1">
      <alignment horizontal="justify" vertical="center" wrapText="1"/>
    </xf>
    <xf numFmtId="164" fontId="35" fillId="0" borderId="11" xfId="0" applyNumberFormat="1" applyFont="1" applyBorder="1" applyAlignment="1">
      <alignment vertical="center"/>
    </xf>
    <xf numFmtId="0" fontId="34" fillId="0" borderId="20" xfId="0" applyFont="1" applyBorder="1" applyAlignment="1">
      <alignment horizontal="center" vertical="center" wrapText="1"/>
    </xf>
    <xf numFmtId="164" fontId="32" fillId="0" borderId="20" xfId="0" applyNumberFormat="1" applyFont="1" applyBorder="1" applyAlignment="1">
      <alignment vertical="center"/>
    </xf>
    <xf numFmtId="164" fontId="33" fillId="41" borderId="32" xfId="0" applyNumberFormat="1" applyFont="1" applyFill="1" applyBorder="1" applyAlignment="1">
      <alignment horizontal="left" vertical="center" wrapText="1"/>
    </xf>
    <xf numFmtId="0" fontId="34" fillId="0" borderId="38" xfId="0" applyFont="1" applyBorder="1" applyAlignment="1">
      <alignment horizontal="justify" vertical="center" wrapText="1"/>
    </xf>
    <xf numFmtId="0" fontId="34" fillId="0" borderId="38" xfId="0" applyFont="1" applyBorder="1" applyAlignment="1">
      <alignment horizontal="center" vertical="center" wrapText="1"/>
    </xf>
    <xf numFmtId="164" fontId="32" fillId="0" borderId="38" xfId="0" applyNumberFormat="1" applyFont="1" applyBorder="1" applyAlignment="1">
      <alignment vertical="center"/>
    </xf>
    <xf numFmtId="164" fontId="32" fillId="0" borderId="39" xfId="0" applyNumberFormat="1" applyFont="1" applyBorder="1" applyAlignment="1">
      <alignment vertical="center"/>
    </xf>
    <xf numFmtId="164" fontId="32" fillId="0" borderId="34" xfId="0" applyNumberFormat="1" applyFont="1" applyBorder="1" applyAlignment="1">
      <alignment vertical="center"/>
    </xf>
    <xf numFmtId="164" fontId="33" fillId="41" borderId="35" xfId="0" applyNumberFormat="1" applyFont="1" applyFill="1" applyBorder="1" applyAlignment="1">
      <alignment horizontal="left" vertical="center"/>
    </xf>
    <xf numFmtId="164" fontId="33" fillId="41" borderId="36" xfId="0" applyNumberFormat="1" applyFont="1" applyFill="1" applyBorder="1" applyAlignment="1">
      <alignment horizontal="left" vertical="center"/>
    </xf>
    <xf numFmtId="0" fontId="34" fillId="0" borderId="12" xfId="0" applyFont="1" applyBorder="1" applyAlignment="1">
      <alignment horizontal="justify" vertical="center" wrapText="1"/>
    </xf>
    <xf numFmtId="164" fontId="33" fillId="41" borderId="32" xfId="0" applyNumberFormat="1" applyFont="1" applyFill="1" applyBorder="1" applyAlignment="1">
      <alignment horizontal="left" vertical="center"/>
    </xf>
    <xf numFmtId="0" fontId="34" fillId="0" borderId="15" xfId="0" applyFont="1" applyBorder="1" applyAlignment="1">
      <alignment horizontal="justify" vertical="center" wrapText="1"/>
    </xf>
    <xf numFmtId="164" fontId="32" fillId="0" borderId="41" xfId="0" applyNumberFormat="1" applyFont="1" applyBorder="1" applyAlignment="1">
      <alignment vertical="center"/>
    </xf>
    <xf numFmtId="164" fontId="33" fillId="41" borderId="33" xfId="0" applyNumberFormat="1" applyFont="1" applyFill="1" applyBorder="1" applyAlignment="1">
      <alignment horizontal="left" vertical="center"/>
    </xf>
    <xf numFmtId="164" fontId="33" fillId="41" borderId="30" xfId="0" applyNumberFormat="1" applyFont="1" applyFill="1" applyBorder="1" applyAlignment="1">
      <alignment horizontal="left" vertical="center"/>
    </xf>
    <xf numFmtId="0" fontId="34" fillId="0" borderId="20" xfId="0" applyFont="1" applyFill="1" applyBorder="1" applyAlignment="1">
      <alignment horizontal="center" vertical="center" wrapText="1"/>
    </xf>
    <xf numFmtId="164" fontId="34" fillId="0" borderId="20" xfId="0" applyNumberFormat="1" applyFont="1" applyFill="1" applyBorder="1" applyAlignment="1">
      <alignment horizontal="left" vertical="center" wrapText="1"/>
    </xf>
    <xf numFmtId="1" fontId="34" fillId="0" borderId="18" xfId="0" applyNumberFormat="1" applyFont="1" applyFill="1" applyBorder="1" applyAlignment="1">
      <alignment horizontal="center" vertical="center" wrapText="1"/>
    </xf>
    <xf numFmtId="164" fontId="34" fillId="0" borderId="18" xfId="0" applyNumberFormat="1" applyFont="1" applyFill="1" applyBorder="1" applyAlignment="1">
      <alignment horizontal="left" vertical="center" wrapText="1"/>
    </xf>
    <xf numFmtId="0" fontId="32" fillId="0" borderId="18" xfId="0" applyFont="1" applyBorder="1" applyAlignment="1">
      <alignment horizontal="justify" vertical="center" wrapText="1"/>
    </xf>
    <xf numFmtId="168" fontId="34" fillId="0" borderId="20" xfId="0" applyNumberFormat="1" applyFont="1" applyBorder="1" applyAlignment="1">
      <alignment horizontal="justify" vertical="center" wrapText="1"/>
    </xf>
    <xf numFmtId="169" fontId="33" fillId="41" borderId="33" xfId="55" applyNumberFormat="1" applyFont="1" applyFill="1" applyBorder="1" applyAlignment="1">
      <alignment horizontal="justify" vertical="center" wrapText="1"/>
    </xf>
    <xf numFmtId="164" fontId="33" fillId="42" borderId="42" xfId="51" applyFont="1" applyFill="1" applyBorder="1" applyAlignment="1">
      <alignment horizontal="center" vertical="center" wrapText="1"/>
    </xf>
    <xf numFmtId="164" fontId="33" fillId="40" borderId="33" xfId="41" applyFont="1" applyFill="1" applyBorder="1" applyAlignment="1">
      <alignment vertical="center"/>
    </xf>
    <xf numFmtId="0" fontId="32" fillId="0" borderId="43" xfId="0" applyFont="1" applyBorder="1"/>
    <xf numFmtId="0" fontId="32" fillId="0" borderId="22" xfId="0" applyFont="1" applyBorder="1"/>
    <xf numFmtId="0" fontId="33" fillId="0" borderId="22" xfId="0" applyFont="1" applyBorder="1" applyAlignment="1">
      <alignment horizontal="center" vertical="center"/>
    </xf>
    <xf numFmtId="0" fontId="33" fillId="42" borderId="25" xfId="0" applyFont="1" applyFill="1" applyBorder="1" applyAlignment="1">
      <alignment horizontal="center" vertical="center" wrapText="1"/>
    </xf>
    <xf numFmtId="0" fontId="33" fillId="0" borderId="22" xfId="0" applyFont="1" applyBorder="1" applyAlignment="1">
      <alignment vertical="center"/>
    </xf>
    <xf numFmtId="0" fontId="32" fillId="0" borderId="22" xfId="0" applyFont="1" applyBorder="1" applyAlignment="1">
      <alignment horizontal="center" vertical="center"/>
    </xf>
    <xf numFmtId="0" fontId="36" fillId="0" borderId="22" xfId="0" applyFont="1" applyBorder="1" applyAlignment="1">
      <alignment horizontal="center" vertical="center" wrapText="1"/>
    </xf>
    <xf numFmtId="0" fontId="32" fillId="0" borderId="0" xfId="0" applyFont="1" applyBorder="1"/>
    <xf numFmtId="0" fontId="32" fillId="0" borderId="23" xfId="0" applyFont="1" applyBorder="1"/>
    <xf numFmtId="0" fontId="36" fillId="0" borderId="46" xfId="0" applyFont="1" applyBorder="1"/>
    <xf numFmtId="0" fontId="20" fillId="0" borderId="11" xfId="0" applyFont="1" applyFill="1" applyBorder="1" applyAlignment="1">
      <alignment horizontal="center" vertical="center" wrapText="1"/>
    </xf>
    <xf numFmtId="0" fontId="12" fillId="34" borderId="0" xfId="0" applyFont="1" applyFill="1" applyBorder="1"/>
    <xf numFmtId="0" fontId="12" fillId="34" borderId="0" xfId="0" applyFont="1" applyFill="1" applyBorder="1" applyAlignment="1">
      <alignment horizontal="center"/>
    </xf>
    <xf numFmtId="9" fontId="16" fillId="34" borderId="0" xfId="56" applyFont="1" applyFill="1" applyBorder="1" applyAlignment="1">
      <alignment horizontal="center"/>
    </xf>
    <xf numFmtId="0" fontId="16" fillId="34" borderId="0" xfId="0" applyFont="1" applyFill="1" applyBorder="1"/>
    <xf numFmtId="168" fontId="28" fillId="34" borderId="0" xfId="57" applyNumberFormat="1" applyFont="1" applyFill="1" applyBorder="1"/>
    <xf numFmtId="9" fontId="28" fillId="34" borderId="0" xfId="56" applyFont="1" applyFill="1" applyBorder="1" applyAlignment="1">
      <alignment horizontal="center" vertical="center"/>
    </xf>
    <xf numFmtId="10" fontId="28" fillId="34" borderId="0" xfId="56" applyNumberFormat="1" applyFont="1" applyFill="1" applyBorder="1" applyAlignment="1">
      <alignment horizontal="center" vertical="center"/>
    </xf>
    <xf numFmtId="10" fontId="28" fillId="34" borderId="0" xfId="56" applyNumberFormat="1" applyFont="1" applyFill="1" applyBorder="1" applyAlignment="1">
      <alignment horizontal="center"/>
    </xf>
    <xf numFmtId="164" fontId="16" fillId="34" borderId="0" xfId="0" applyNumberFormat="1" applyFont="1" applyFill="1" applyBorder="1" applyAlignment="1">
      <alignment horizontal="left"/>
    </xf>
    <xf numFmtId="0" fontId="19" fillId="0" borderId="0" xfId="0" applyFont="1"/>
    <xf numFmtId="0" fontId="26" fillId="0" borderId="11" xfId="0" applyFont="1" applyBorder="1" applyAlignment="1">
      <alignment vertical="center"/>
    </xf>
    <xf numFmtId="0" fontId="19" fillId="34" borderId="0" xfId="0" applyFont="1" applyFill="1"/>
    <xf numFmtId="0" fontId="26" fillId="0" borderId="11" xfId="0" applyFont="1" applyBorder="1" applyAlignment="1">
      <alignment horizontal="left" vertical="center"/>
    </xf>
    <xf numFmtId="0" fontId="27" fillId="0" borderId="0" xfId="0" applyFont="1" applyAlignment="1">
      <alignment horizontal="center" vertical="center"/>
    </xf>
    <xf numFmtId="0" fontId="28" fillId="37" borderId="11" xfId="0" applyFont="1" applyFill="1" applyBorder="1" applyAlignment="1">
      <alignment horizontal="center" vertical="center"/>
    </xf>
    <xf numFmtId="164" fontId="21" fillId="37" borderId="11" xfId="0" applyNumberFormat="1" applyFont="1" applyFill="1" applyBorder="1" applyAlignment="1">
      <alignment horizontal="center" vertical="center"/>
    </xf>
    <xf numFmtId="0" fontId="26" fillId="0" borderId="0" xfId="0" applyFont="1" applyAlignment="1">
      <alignment vertical="center"/>
    </xf>
    <xf numFmtId="0" fontId="26" fillId="38" borderId="11" xfId="0" applyFont="1" applyFill="1" applyBorder="1" applyAlignment="1">
      <alignment horizontal="left" vertical="center"/>
    </xf>
    <xf numFmtId="0" fontId="26" fillId="38" borderId="11" xfId="0" applyFont="1" applyFill="1" applyBorder="1" applyAlignment="1">
      <alignment horizontal="center" vertical="center"/>
    </xf>
    <xf numFmtId="0" fontId="26" fillId="38" borderId="11" xfId="0" applyFont="1" applyFill="1" applyBorder="1" applyAlignment="1">
      <alignment horizontal="justify" vertical="center" wrapText="1"/>
    </xf>
    <xf numFmtId="0" fontId="26" fillId="38" borderId="11" xfId="0" applyFont="1" applyFill="1" applyBorder="1" applyAlignment="1">
      <alignment horizontal="center" vertical="center" wrapText="1"/>
    </xf>
    <xf numFmtId="0" fontId="19" fillId="38" borderId="11" xfId="0" applyFont="1" applyFill="1" applyBorder="1" applyAlignment="1">
      <alignment horizontal="center" vertical="center"/>
    </xf>
    <xf numFmtId="0" fontId="19" fillId="38" borderId="11" xfId="0" applyFont="1" applyFill="1" applyBorder="1" applyAlignment="1">
      <alignment vertical="center"/>
    </xf>
    <xf numFmtId="164" fontId="26" fillId="38" borderId="11" xfId="0" applyNumberFormat="1" applyFont="1" applyFill="1" applyBorder="1" applyAlignment="1">
      <alignment vertical="center"/>
    </xf>
    <xf numFmtId="0" fontId="26" fillId="39" borderId="11" xfId="0" applyFont="1" applyFill="1" applyBorder="1" applyAlignment="1">
      <alignment horizontal="justify" vertical="center" wrapText="1"/>
    </xf>
    <xf numFmtId="0" fontId="26" fillId="39" borderId="11" xfId="0" applyFont="1" applyFill="1" applyBorder="1" applyAlignment="1">
      <alignment horizontal="center" vertical="center" wrapText="1"/>
    </xf>
    <xf numFmtId="0" fontId="19" fillId="39" borderId="11" xfId="0" applyFont="1" applyFill="1" applyBorder="1" applyAlignment="1">
      <alignment horizontal="center" vertical="center"/>
    </xf>
    <xf numFmtId="0" fontId="19" fillId="39" borderId="11" xfId="0" applyFont="1" applyFill="1" applyBorder="1" applyAlignment="1">
      <alignment vertical="center"/>
    </xf>
    <xf numFmtId="0" fontId="26" fillId="39" borderId="11" xfId="0" applyFont="1" applyFill="1" applyBorder="1" applyAlignment="1">
      <alignment horizontal="center" vertical="center"/>
    </xf>
    <xf numFmtId="164" fontId="26" fillId="39" borderId="11" xfId="0" applyNumberFormat="1" applyFont="1" applyFill="1" applyBorder="1" applyAlignment="1">
      <alignment vertical="center"/>
    </xf>
    <xf numFmtId="167" fontId="19" fillId="0" borderId="11" xfId="58" applyNumberFormat="1" applyFont="1" applyFill="1" applyBorder="1" applyAlignment="1">
      <alignment horizontal="center" vertical="center"/>
    </xf>
    <xf numFmtId="164" fontId="19" fillId="0" borderId="11" xfId="0" applyNumberFormat="1" applyFont="1" applyBorder="1" applyAlignment="1">
      <alignment vertical="center"/>
    </xf>
    <xf numFmtId="167" fontId="20" fillId="0" borderId="11" xfId="58" applyNumberFormat="1" applyFont="1" applyFill="1" applyBorder="1" applyAlignment="1">
      <alignment vertical="center"/>
    </xf>
    <xf numFmtId="167" fontId="20" fillId="0" borderId="11" xfId="58" applyNumberFormat="1" applyFont="1" applyFill="1" applyBorder="1" applyAlignment="1">
      <alignment horizontal="right" vertical="center"/>
    </xf>
    <xf numFmtId="164" fontId="21" fillId="37" borderId="11" xfId="51" applyFont="1" applyFill="1" applyBorder="1" applyAlignment="1">
      <alignment horizontal="center" vertical="center"/>
    </xf>
    <xf numFmtId="164" fontId="26" fillId="38" borderId="11" xfId="51" applyFont="1" applyFill="1" applyBorder="1" applyAlignment="1">
      <alignment horizontal="center" vertical="center"/>
    </xf>
    <xf numFmtId="164" fontId="26" fillId="0" borderId="11" xfId="0" applyNumberFormat="1" applyFont="1" applyBorder="1" applyAlignment="1">
      <alignment vertical="center"/>
    </xf>
    <xf numFmtId="0" fontId="20" fillId="0" borderId="0" xfId="0" applyFont="1"/>
    <xf numFmtId="0" fontId="19" fillId="0" borderId="0" xfId="0" applyFont="1" applyAlignment="1">
      <alignment horizontal="left" vertical="center" wrapText="1"/>
    </xf>
    <xf numFmtId="0" fontId="19" fillId="0" borderId="11" xfId="0" applyFont="1" applyBorder="1"/>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center" wrapText="1"/>
    </xf>
    <xf numFmtId="164" fontId="21" fillId="37" borderId="11" xfId="0" applyNumberFormat="1" applyFont="1" applyFill="1" applyBorder="1" applyAlignment="1">
      <alignment horizontal="left" vertical="center"/>
    </xf>
    <xf numFmtId="0" fontId="20" fillId="0" borderId="11" xfId="0" applyFont="1" applyBorder="1" applyAlignment="1" applyProtection="1">
      <alignment horizontal="justify" vertical="center" wrapText="1"/>
      <protection locked="0"/>
    </xf>
    <xf numFmtId="0" fontId="20" fillId="0" borderId="11" xfId="0" applyFont="1" applyBorder="1" applyAlignment="1" applyProtection="1">
      <alignment horizontal="center" vertical="center" wrapText="1"/>
      <protection locked="0"/>
    </xf>
    <xf numFmtId="164" fontId="26" fillId="0" borderId="11" xfId="0" applyNumberFormat="1" applyFont="1" applyBorder="1" applyAlignment="1">
      <alignment horizontal="left" vertical="center"/>
    </xf>
    <xf numFmtId="164" fontId="19" fillId="0" borderId="11" xfId="0" applyNumberFormat="1" applyFont="1" applyBorder="1" applyAlignment="1">
      <alignment horizontal="left" vertical="center"/>
    </xf>
    <xf numFmtId="0" fontId="29" fillId="0" borderId="11" xfId="0" applyFont="1" applyBorder="1" applyAlignment="1">
      <alignment horizontal="justify" vertical="center" wrapText="1"/>
    </xf>
    <xf numFmtId="169" fontId="19" fillId="0" borderId="11" xfId="55" applyNumberFormat="1" applyFont="1" applyFill="1" applyBorder="1" applyAlignment="1">
      <alignment horizontal="right" vertical="center"/>
    </xf>
    <xf numFmtId="0" fontId="26" fillId="39" borderId="11" xfId="0" applyFont="1" applyFill="1" applyBorder="1" applyAlignment="1">
      <alignment horizontal="left" vertical="center" wrapText="1"/>
    </xf>
    <xf numFmtId="167" fontId="20" fillId="0" borderId="11" xfId="58" applyNumberFormat="1" applyFont="1" applyFill="1" applyBorder="1" applyAlignment="1">
      <alignment horizontal="center" vertical="center" wrapText="1"/>
    </xf>
    <xf numFmtId="0" fontId="29" fillId="0" borderId="11" xfId="0" applyFont="1" applyBorder="1" applyAlignment="1">
      <alignment horizontal="center" vertical="center" wrapText="1"/>
    </xf>
    <xf numFmtId="43" fontId="19" fillId="0" borderId="11" xfId="0" applyNumberFormat="1" applyFont="1" applyBorder="1" applyAlignment="1">
      <alignment vertical="center"/>
    </xf>
    <xf numFmtId="0" fontId="19" fillId="0" borderId="11" xfId="49" applyNumberFormat="1" applyFont="1" applyFill="1" applyBorder="1">
      <alignment horizontal="center" vertical="center" wrapText="1"/>
    </xf>
    <xf numFmtId="169" fontId="19" fillId="0" borderId="11" xfId="55" applyNumberFormat="1" applyFont="1" applyFill="1" applyBorder="1" applyAlignment="1">
      <alignment horizontal="right" vertical="center" wrapText="1"/>
    </xf>
    <xf numFmtId="164" fontId="19" fillId="0" borderId="11" xfId="0" applyNumberFormat="1" applyFont="1" applyFill="1" applyBorder="1" applyAlignment="1">
      <alignment vertical="center"/>
    </xf>
    <xf numFmtId="0" fontId="19" fillId="0" borderId="0" xfId="0" applyFont="1" applyFill="1"/>
    <xf numFmtId="41" fontId="19" fillId="0" borderId="11" xfId="55" applyFont="1" applyFill="1" applyBorder="1" applyAlignment="1">
      <alignment horizontal="right" vertical="center" wrapText="1"/>
    </xf>
    <xf numFmtId="41" fontId="19" fillId="0" borderId="11" xfId="55" applyFont="1" applyFill="1" applyBorder="1" applyAlignment="1">
      <alignment vertical="center"/>
    </xf>
    <xf numFmtId="164" fontId="26" fillId="39" borderId="11" xfId="0" applyNumberFormat="1" applyFont="1" applyFill="1" applyBorder="1" applyAlignment="1">
      <alignment horizontal="justify" vertical="center" wrapText="1"/>
    </xf>
    <xf numFmtId="167" fontId="31" fillId="0" borderId="11" xfId="58" applyNumberFormat="1" applyFont="1" applyFill="1" applyBorder="1" applyAlignment="1">
      <alignment horizontal="center" vertical="center" wrapText="1"/>
    </xf>
    <xf numFmtId="167" fontId="19" fillId="0" borderId="11" xfId="58" applyNumberFormat="1" applyFont="1" applyFill="1" applyBorder="1" applyAlignment="1">
      <alignment horizontal="center" vertical="center" wrapText="1"/>
    </xf>
    <xf numFmtId="167" fontId="31" fillId="0" borderId="11" xfId="58" applyNumberFormat="1" applyFont="1" applyFill="1" applyBorder="1" applyAlignment="1">
      <alignment vertical="center" wrapText="1"/>
    </xf>
    <xf numFmtId="167" fontId="19" fillId="0" borderId="11" xfId="58" applyNumberFormat="1" applyFont="1" applyFill="1" applyBorder="1" applyAlignment="1">
      <alignment horizontal="left" vertical="center" wrapText="1"/>
    </xf>
    <xf numFmtId="0" fontId="19" fillId="0" borderId="0" xfId="0" applyFont="1" applyAlignment="1">
      <alignment vertical="center"/>
    </xf>
    <xf numFmtId="0" fontId="21" fillId="37" borderId="11" xfId="0" applyFont="1" applyFill="1" applyBorder="1" applyAlignment="1">
      <alignment horizontal="left" vertical="center"/>
    </xf>
    <xf numFmtId="0" fontId="21" fillId="37" borderId="11" xfId="0" applyFont="1" applyFill="1" applyBorder="1" applyAlignment="1">
      <alignment horizontal="center" vertical="center"/>
    </xf>
    <xf numFmtId="0" fontId="21" fillId="37" borderId="11" xfId="0" applyFont="1" applyFill="1" applyBorder="1" applyAlignment="1">
      <alignment horizontal="justify" vertical="center" wrapText="1"/>
    </xf>
    <xf numFmtId="0" fontId="21" fillId="37" borderId="11" xfId="0" applyFont="1" applyFill="1" applyBorder="1" applyAlignment="1">
      <alignment horizontal="center" vertical="center" wrapText="1"/>
    </xf>
    <xf numFmtId="173" fontId="19" fillId="0" borderId="11" xfId="60" applyNumberFormat="1" applyFont="1" applyFill="1" applyBorder="1" applyAlignment="1">
      <alignment horizontal="center" vertical="center" wrapText="1"/>
    </xf>
    <xf numFmtId="173" fontId="19" fillId="0" borderId="11" xfId="60" applyNumberFormat="1" applyFont="1" applyFill="1" applyBorder="1" applyAlignment="1">
      <alignment horizontal="center" vertical="center"/>
    </xf>
    <xf numFmtId="0" fontId="19" fillId="0" borderId="11" xfId="0" applyFont="1" applyBorder="1" applyAlignment="1">
      <alignment vertical="center" wrapText="1"/>
    </xf>
    <xf numFmtId="164" fontId="19" fillId="0" borderId="11" xfId="0" applyNumberFormat="1" applyFont="1" applyBorder="1" applyAlignment="1">
      <alignment horizontal="justify" vertical="center"/>
    </xf>
    <xf numFmtId="0" fontId="26" fillId="39" borderId="11" xfId="0" applyFont="1" applyFill="1" applyBorder="1" applyAlignment="1">
      <alignment vertical="center" wrapText="1"/>
    </xf>
    <xf numFmtId="0" fontId="19" fillId="39" borderId="11" xfId="0" applyFont="1" applyFill="1" applyBorder="1" applyAlignment="1">
      <alignment horizontal="center" vertical="center" wrapText="1"/>
    </xf>
    <xf numFmtId="0" fontId="19" fillId="39" borderId="11" xfId="0" applyFont="1" applyFill="1" applyBorder="1" applyAlignment="1">
      <alignment horizontal="justify" vertical="center" wrapText="1"/>
    </xf>
    <xf numFmtId="0" fontId="19" fillId="0" borderId="11" xfId="0" applyFont="1" applyFill="1" applyBorder="1"/>
    <xf numFmtId="4" fontId="19" fillId="0" borderId="11" xfId="0" applyNumberFormat="1" applyFont="1" applyBorder="1" applyAlignment="1">
      <alignment horizontal="right" vertical="center" wrapText="1"/>
    </xf>
    <xf numFmtId="0" fontId="26" fillId="39" borderId="11" xfId="0" applyFont="1" applyFill="1" applyBorder="1" applyAlignment="1">
      <alignment vertical="center"/>
    </xf>
    <xf numFmtId="0" fontId="19" fillId="34" borderId="11" xfId="0" applyFont="1" applyFill="1" applyBorder="1" applyAlignment="1">
      <alignment horizontal="justify" vertical="center" wrapText="1"/>
    </xf>
    <xf numFmtId="0" fontId="19" fillId="34" borderId="11" xfId="0" applyFont="1" applyFill="1" applyBorder="1" applyAlignment="1">
      <alignment horizontal="center" vertical="center" wrapText="1"/>
    </xf>
    <xf numFmtId="164" fontId="26" fillId="34" borderId="11" xfId="0" applyNumberFormat="1" applyFont="1" applyFill="1" applyBorder="1" applyAlignment="1">
      <alignment vertical="center"/>
    </xf>
    <xf numFmtId="174" fontId="20" fillId="0" borderId="11" xfId="58" applyNumberFormat="1" applyFont="1" applyBorder="1" applyAlignment="1">
      <alignment vertical="center" wrapText="1"/>
    </xf>
    <xf numFmtId="164" fontId="19" fillId="0" borderId="11" xfId="0" applyNumberFormat="1" applyFont="1" applyBorder="1" applyAlignment="1">
      <alignment horizontal="justify" vertical="center" wrapText="1"/>
    </xf>
    <xf numFmtId="164" fontId="19" fillId="0" borderId="11" xfId="0" applyNumberFormat="1" applyFont="1" applyBorder="1" applyAlignment="1">
      <alignment horizontal="right" vertical="center"/>
    </xf>
    <xf numFmtId="164" fontId="20" fillId="0" borderId="11" xfId="0" applyNumberFormat="1" applyFont="1" applyBorder="1" applyAlignment="1">
      <alignment vertical="center"/>
    </xf>
    <xf numFmtId="0" fontId="19" fillId="0" borderId="11" xfId="0" applyFont="1" applyFill="1" applyBorder="1" applyAlignment="1">
      <alignment horizontal="center" vertical="center"/>
    </xf>
    <xf numFmtId="1" fontId="19" fillId="0" borderId="11" xfId="0" applyNumberFormat="1" applyFont="1" applyBorder="1" applyAlignment="1">
      <alignment horizontal="center" vertical="center" wrapText="1"/>
    </xf>
    <xf numFmtId="0" fontId="19" fillId="0" borderId="11" xfId="0" applyFont="1" applyFill="1" applyBorder="1" applyAlignment="1" applyProtection="1">
      <alignment horizontal="center" vertical="center" wrapText="1"/>
      <protection locked="0"/>
    </xf>
    <xf numFmtId="0" fontId="19" fillId="0" borderId="11" xfId="0" applyFont="1" applyFill="1" applyBorder="1" applyAlignment="1" applyProtection="1">
      <alignment horizontal="justify" vertical="center" wrapText="1"/>
      <protection locked="0"/>
    </xf>
    <xf numFmtId="0" fontId="20" fillId="0" borderId="0" xfId="0" applyFont="1" applyFill="1"/>
    <xf numFmtId="0" fontId="19" fillId="0" borderId="11" xfId="0" applyFont="1" applyBorder="1" applyAlignment="1" applyProtection="1">
      <alignment horizontal="center" vertical="center" wrapText="1"/>
      <protection locked="0"/>
    </xf>
    <xf numFmtId="0" fontId="19" fillId="0" borderId="11" xfId="0" applyFont="1" applyBorder="1" applyAlignment="1" applyProtection="1">
      <alignment horizontal="justify" vertical="center" wrapText="1"/>
      <protection locked="0"/>
    </xf>
    <xf numFmtId="4" fontId="19" fillId="0" borderId="11" xfId="0" applyNumberFormat="1" applyFont="1" applyBorder="1" applyAlignment="1">
      <alignment vertical="center" wrapText="1"/>
    </xf>
    <xf numFmtId="4" fontId="31" fillId="0" borderId="11" xfId="0" applyNumberFormat="1" applyFont="1" applyBorder="1" applyAlignment="1">
      <alignment horizontal="center" vertical="center"/>
    </xf>
    <xf numFmtId="44" fontId="19" fillId="0" borderId="11" xfId="58" applyFont="1" applyFill="1" applyBorder="1" applyAlignment="1">
      <alignment horizontal="center" vertical="center"/>
    </xf>
    <xf numFmtId="0" fontId="19" fillId="0" borderId="0" xfId="0" applyFont="1" applyBorder="1"/>
    <xf numFmtId="0" fontId="20" fillId="0" borderId="11" xfId="0" applyFont="1" applyFill="1" applyBorder="1" applyAlignment="1">
      <alignment horizontal="justify" vertical="center" wrapText="1"/>
    </xf>
    <xf numFmtId="4" fontId="19" fillId="0" borderId="11" xfId="0" applyNumberFormat="1" applyFont="1" applyBorder="1" applyAlignment="1">
      <alignment vertical="center"/>
    </xf>
    <xf numFmtId="164" fontId="19" fillId="0" borderId="11" xfId="0" applyNumberFormat="1" applyFont="1" applyBorder="1" applyAlignment="1">
      <alignment horizontal="right" vertical="center" wrapText="1"/>
    </xf>
    <xf numFmtId="0" fontId="26" fillId="40" borderId="11" xfId="0" applyFont="1" applyFill="1" applyBorder="1" applyAlignment="1">
      <alignment horizontal="center" vertical="center" wrapText="1"/>
    </xf>
    <xf numFmtId="0" fontId="26" fillId="40" borderId="11" xfId="0" applyFont="1" applyFill="1" applyBorder="1" applyAlignment="1">
      <alignment horizontal="justify" vertical="center" wrapText="1"/>
    </xf>
    <xf numFmtId="164" fontId="26" fillId="40" borderId="11" xfId="0" applyNumberFormat="1" applyFont="1" applyFill="1" applyBorder="1" applyAlignment="1">
      <alignment vertical="center"/>
    </xf>
    <xf numFmtId="0" fontId="26" fillId="0" borderId="0" xfId="0" applyFont="1"/>
    <xf numFmtId="164" fontId="19" fillId="0" borderId="11" xfId="51" applyFont="1" applyBorder="1" applyAlignment="1">
      <alignment horizontal="right" vertical="center"/>
    </xf>
    <xf numFmtId="164" fontId="19" fillId="0" borderId="11" xfId="0" applyNumberFormat="1" applyFont="1" applyBorder="1" applyAlignment="1">
      <alignment horizontal="center" vertical="center"/>
    </xf>
    <xf numFmtId="164" fontId="20" fillId="0" borderId="11" xfId="0" applyNumberFormat="1" applyFont="1" applyBorder="1" applyAlignment="1">
      <alignment horizontal="center" vertical="center"/>
    </xf>
    <xf numFmtId="164" fontId="26" fillId="38" borderId="11" xfId="0" applyNumberFormat="1" applyFont="1" applyFill="1" applyBorder="1" applyAlignment="1">
      <alignment vertical="center" wrapText="1"/>
    </xf>
    <xf numFmtId="164" fontId="26" fillId="39" borderId="11" xfId="0" applyNumberFormat="1" applyFont="1" applyFill="1" applyBorder="1" applyAlignment="1">
      <alignment horizontal="center" vertical="center" wrapText="1"/>
    </xf>
    <xf numFmtId="164" fontId="19" fillId="39" borderId="11" xfId="0" applyNumberFormat="1" applyFont="1" applyFill="1" applyBorder="1" applyAlignment="1">
      <alignment vertical="center" wrapText="1"/>
    </xf>
    <xf numFmtId="0" fontId="19" fillId="39" borderId="11" xfId="0" applyFont="1" applyFill="1" applyBorder="1" applyAlignment="1">
      <alignment vertical="center" wrapText="1"/>
    </xf>
    <xf numFmtId="164" fontId="26" fillId="39" borderId="11" xfId="0" applyNumberFormat="1" applyFont="1" applyFill="1" applyBorder="1" applyAlignment="1">
      <alignment vertical="center" wrapText="1"/>
    </xf>
    <xf numFmtId="0" fontId="19" fillId="0" borderId="11" xfId="0" applyFont="1" applyBorder="1" applyAlignment="1" applyProtection="1">
      <alignment horizontal="center" vertical="center"/>
      <protection locked="0"/>
    </xf>
    <xf numFmtId="0" fontId="26" fillId="38" borderId="11" xfId="0" applyFont="1" applyFill="1" applyBorder="1" applyAlignment="1">
      <alignment horizontal="left" vertical="center" wrapText="1"/>
    </xf>
    <xf numFmtId="4" fontId="19" fillId="34" borderId="0" xfId="0" applyNumberFormat="1" applyFont="1" applyFill="1"/>
    <xf numFmtId="41" fontId="33" fillId="0" borderId="0" xfId="55" applyFont="1" applyAlignment="1">
      <alignment vertical="center"/>
    </xf>
    <xf numFmtId="41" fontId="36" fillId="0" borderId="0" xfId="55" applyFont="1"/>
    <xf numFmtId="0" fontId="34" fillId="0" borderId="20" xfId="0" applyFont="1" applyBorder="1" applyAlignment="1">
      <alignment horizontal="justify" vertical="center" wrapText="1"/>
    </xf>
    <xf numFmtId="0" fontId="34" fillId="0" borderId="11" xfId="0" applyFont="1" applyBorder="1" applyAlignment="1">
      <alignment horizontal="justify" vertical="center" wrapText="1"/>
    </xf>
    <xf numFmtId="0" fontId="34" fillId="0" borderId="18" xfId="0" applyFont="1" applyBorder="1" applyAlignment="1">
      <alignment horizontal="justify" vertical="center" wrapText="1"/>
    </xf>
    <xf numFmtId="0" fontId="34" fillId="0" borderId="21" xfId="0" applyFont="1" applyBorder="1" applyAlignment="1">
      <alignment horizontal="justify" vertical="center" wrapText="1"/>
    </xf>
    <xf numFmtId="0" fontId="34" fillId="0" borderId="26" xfId="0" applyFont="1" applyBorder="1" applyAlignment="1">
      <alignment horizontal="justify" vertical="center" wrapText="1"/>
    </xf>
    <xf numFmtId="0" fontId="34" fillId="0" borderId="29" xfId="0" applyFont="1" applyBorder="1" applyAlignment="1">
      <alignment horizontal="justify" vertical="center" wrapText="1"/>
    </xf>
    <xf numFmtId="0" fontId="34" fillId="0" borderId="20" xfId="0" applyFont="1" applyFill="1" applyBorder="1" applyAlignment="1">
      <alignment horizontal="justify" vertical="center" wrapText="1"/>
    </xf>
    <xf numFmtId="0" fontId="34" fillId="0" borderId="18" xfId="0" applyFont="1" applyFill="1" applyBorder="1" applyAlignment="1">
      <alignment horizontal="justify" vertical="center" wrapText="1"/>
    </xf>
    <xf numFmtId="0" fontId="33" fillId="0" borderId="26" xfId="0" applyFont="1" applyBorder="1" applyAlignment="1">
      <alignment horizontal="justify" vertical="center" wrapText="1"/>
    </xf>
    <xf numFmtId="0" fontId="33" fillId="40" borderId="30" xfId="0" applyFont="1" applyFill="1" applyBorder="1" applyAlignment="1">
      <alignment horizontal="center" vertical="center" wrapText="1"/>
    </xf>
    <xf numFmtId="0" fontId="33" fillId="40" borderId="31" xfId="0" applyFont="1" applyFill="1" applyBorder="1" applyAlignment="1">
      <alignment horizontal="center" vertical="center" wrapText="1"/>
    </xf>
    <xf numFmtId="0" fontId="33" fillId="40" borderId="32" xfId="0" applyFont="1" applyFill="1" applyBorder="1" applyAlignment="1">
      <alignment horizontal="center" vertical="center" wrapText="1"/>
    </xf>
    <xf numFmtId="168" fontId="22" fillId="0" borderId="0" xfId="57" applyNumberFormat="1" applyFont="1" applyFill="1" applyBorder="1" applyAlignment="1"/>
    <xf numFmtId="43" fontId="32" fillId="0" borderId="0" xfId="0" applyNumberFormat="1" applyFont="1"/>
    <xf numFmtId="0" fontId="34" fillId="0" borderId="22" xfId="0" applyFont="1" applyBorder="1" applyAlignment="1">
      <alignment horizontal="justify" vertical="center" wrapText="1"/>
    </xf>
    <xf numFmtId="0" fontId="34" fillId="0" borderId="0" xfId="0" applyFont="1" applyBorder="1" applyAlignment="1">
      <alignment horizontal="center" vertical="center" wrapText="1"/>
    </xf>
    <xf numFmtId="0" fontId="34" fillId="0" borderId="21" xfId="0" applyFont="1" applyBorder="1" applyAlignment="1">
      <alignment horizontal="center" vertical="center" wrapText="1"/>
    </xf>
    <xf numFmtId="0" fontId="32" fillId="0" borderId="24" xfId="0" applyFont="1" applyFill="1" applyBorder="1" applyAlignment="1">
      <alignment horizontal="center" vertical="center" wrapText="1"/>
    </xf>
    <xf numFmtId="0" fontId="33" fillId="42" borderId="24" xfId="0" applyFont="1" applyFill="1" applyBorder="1" applyAlignment="1">
      <alignment horizontal="left" vertical="center"/>
    </xf>
    <xf numFmtId="164" fontId="35" fillId="0" borderId="27" xfId="0" applyNumberFormat="1" applyFont="1" applyBorder="1" applyAlignment="1">
      <alignment vertical="center"/>
    </xf>
    <xf numFmtId="164" fontId="34" fillId="0" borderId="27" xfId="0" applyNumberFormat="1" applyFont="1" applyBorder="1" applyAlignment="1">
      <alignment vertical="center"/>
    </xf>
    <xf numFmtId="164" fontId="34" fillId="0" borderId="34" xfId="0" applyNumberFormat="1" applyFont="1" applyFill="1" applyBorder="1" applyAlignment="1">
      <alignment horizontal="left" vertical="center" wrapText="1"/>
    </xf>
    <xf numFmtId="164" fontId="34" fillId="0" borderId="27" xfId="0" applyNumberFormat="1" applyFont="1" applyFill="1" applyBorder="1" applyAlignment="1">
      <alignment horizontal="left" vertical="center" wrapText="1"/>
    </xf>
    <xf numFmtId="164" fontId="34" fillId="0" borderId="41" xfId="0" applyNumberFormat="1" applyFont="1" applyFill="1" applyBorder="1" applyAlignment="1">
      <alignment horizontal="left" vertical="center" wrapText="1"/>
    </xf>
    <xf numFmtId="168" fontId="34" fillId="0" borderId="18" xfId="0" applyNumberFormat="1" applyFont="1" applyBorder="1" applyAlignment="1">
      <alignment horizontal="justify" vertical="center" wrapText="1"/>
    </xf>
    <xf numFmtId="164" fontId="32" fillId="0" borderId="47" xfId="0" applyNumberFormat="1" applyFont="1" applyBorder="1" applyAlignment="1">
      <alignment vertical="center"/>
    </xf>
    <xf numFmtId="3" fontId="34" fillId="0" borderId="20" xfId="0" applyNumberFormat="1" applyFont="1" applyBorder="1" applyAlignment="1">
      <alignment horizontal="justify" vertical="center" wrapText="1"/>
    </xf>
    <xf numFmtId="0" fontId="33" fillId="42" borderId="31" xfId="0" applyFont="1" applyFill="1" applyBorder="1" applyAlignment="1">
      <alignment horizontal="center" vertical="center" wrapText="1"/>
    </xf>
    <xf numFmtId="0" fontId="33" fillId="42" borderId="32" xfId="0" applyFont="1" applyFill="1" applyBorder="1" applyAlignment="1">
      <alignment horizontal="justify" vertical="center" wrapText="1"/>
    </xf>
    <xf numFmtId="164" fontId="33" fillId="42" borderId="33" xfId="41" applyFont="1" applyFill="1" applyBorder="1" applyAlignment="1">
      <alignment horizontal="justify" vertical="center"/>
    </xf>
    <xf numFmtId="164" fontId="33" fillId="41" borderId="36" xfId="0" applyNumberFormat="1" applyFont="1" applyFill="1" applyBorder="1" applyAlignment="1">
      <alignment horizontal="left" vertical="center" wrapText="1"/>
    </xf>
    <xf numFmtId="0" fontId="33" fillId="40" borderId="33" xfId="0" applyFont="1" applyFill="1" applyBorder="1" applyAlignment="1">
      <alignment horizontal="center" vertical="center" wrapText="1"/>
    </xf>
    <xf numFmtId="164" fontId="19" fillId="0" borderId="11" xfId="0" applyNumberFormat="1" applyFont="1" applyFill="1" applyBorder="1" applyAlignment="1">
      <alignment horizontal="right" vertical="center" wrapText="1"/>
    </xf>
    <xf numFmtId="164" fontId="19" fillId="34" borderId="11" xfId="0" applyNumberFormat="1" applyFont="1" applyFill="1" applyBorder="1" applyAlignment="1">
      <alignment vertical="center"/>
    </xf>
    <xf numFmtId="173" fontId="19" fillId="34" borderId="11" xfId="60" applyNumberFormat="1" applyFont="1" applyFill="1" applyBorder="1" applyAlignment="1">
      <alignment horizontal="center" vertical="center"/>
    </xf>
    <xf numFmtId="0" fontId="19" fillId="0" borderId="11" xfId="59" applyFont="1" applyBorder="1" applyAlignment="1">
      <alignment horizontal="center" vertical="center" wrapText="1"/>
    </xf>
    <xf numFmtId="0" fontId="20" fillId="0" borderId="11" xfId="59" applyFont="1" applyBorder="1" applyAlignment="1">
      <alignment horizontal="justify" vertical="center"/>
    </xf>
    <xf numFmtId="0" fontId="19" fillId="0" borderId="11" xfId="59" applyFont="1" applyBorder="1" applyAlignment="1">
      <alignment horizontal="center" vertical="center"/>
    </xf>
    <xf numFmtId="0" fontId="19" fillId="0" borderId="11" xfId="43" applyFont="1" applyFill="1" applyBorder="1">
      <alignment horizontal="center" vertical="center" wrapText="1"/>
    </xf>
    <xf numFmtId="0" fontId="19" fillId="0" borderId="11" xfId="43" applyFont="1" applyFill="1" applyBorder="1" applyAlignment="1">
      <alignment horizontal="justify" vertical="center" wrapText="1"/>
    </xf>
    <xf numFmtId="0" fontId="19" fillId="0" borderId="11" xfId="59" applyFont="1" applyFill="1" applyBorder="1" applyAlignment="1">
      <alignment horizontal="center" vertical="center" wrapText="1"/>
    </xf>
    <xf numFmtId="0" fontId="19" fillId="0" borderId="11" xfId="59" applyFont="1" applyBorder="1" applyAlignment="1">
      <alignment horizontal="justify" vertical="center" wrapText="1"/>
    </xf>
    <xf numFmtId="0" fontId="20" fillId="0" borderId="11" xfId="59" applyFont="1" applyBorder="1" applyAlignment="1">
      <alignment horizontal="center" vertical="center" wrapText="1"/>
    </xf>
    <xf numFmtId="0" fontId="20" fillId="0" borderId="11" xfId="59" applyFont="1" applyBorder="1" applyAlignment="1">
      <alignment horizontal="justify" vertical="center" wrapText="1"/>
    </xf>
    <xf numFmtId="2" fontId="19" fillId="0" borderId="11" xfId="42" applyNumberFormat="1" applyFont="1" applyFill="1" applyBorder="1" applyAlignment="1">
      <alignment horizontal="center" vertical="center" wrapText="1"/>
    </xf>
    <xf numFmtId="0" fontId="19" fillId="0" borderId="11" xfId="59" applyFont="1" applyFill="1" applyBorder="1" applyAlignment="1">
      <alignment horizontal="justify" vertical="center" wrapText="1"/>
    </xf>
    <xf numFmtId="0" fontId="20" fillId="0" borderId="11" xfId="59" applyFont="1" applyBorder="1" applyAlignment="1">
      <alignment horizontal="center" vertical="center"/>
    </xf>
    <xf numFmtId="0" fontId="20" fillId="0" borderId="11" xfId="59" applyFont="1" applyFill="1" applyBorder="1" applyAlignment="1">
      <alignment horizontal="center" vertical="center"/>
    </xf>
    <xf numFmtId="0" fontId="19" fillId="0" borderId="11" xfId="42" applyNumberFormat="1" applyFont="1" applyFill="1" applyBorder="1" applyAlignment="1">
      <alignment horizontal="center" vertical="center" wrapText="1"/>
    </xf>
    <xf numFmtId="49" fontId="20" fillId="0" borderId="11" xfId="59" applyNumberFormat="1" applyFont="1" applyBorder="1" applyAlignment="1">
      <alignment horizontal="justify" vertical="center" wrapText="1"/>
    </xf>
    <xf numFmtId="0" fontId="20" fillId="0" borderId="11" xfId="55" applyNumberFormat="1" applyFont="1" applyFill="1" applyBorder="1" applyAlignment="1">
      <alignment horizontal="center" vertical="center"/>
    </xf>
    <xf numFmtId="2" fontId="19" fillId="0" borderId="11" xfId="43" applyNumberFormat="1" applyFont="1" applyFill="1" applyBorder="1">
      <alignment horizontal="center" vertical="center" wrapText="1"/>
    </xf>
    <xf numFmtId="172" fontId="19" fillId="0" borderId="11" xfId="43" applyNumberFormat="1" applyFont="1" applyFill="1" applyBorder="1">
      <alignment horizontal="center" vertical="center" wrapText="1"/>
    </xf>
    <xf numFmtId="0" fontId="20" fillId="0" borderId="11" xfId="59" applyFont="1" applyFill="1" applyBorder="1" applyAlignment="1">
      <alignment horizontal="justify" vertical="center" wrapText="1"/>
    </xf>
    <xf numFmtId="172" fontId="19" fillId="0" borderId="11" xfId="59" applyNumberFormat="1" applyFont="1" applyBorder="1" applyAlignment="1">
      <alignment horizontal="center" vertical="center" wrapText="1"/>
    </xf>
    <xf numFmtId="0" fontId="37" fillId="0" borderId="11" xfId="59" applyFont="1" applyBorder="1" applyAlignment="1">
      <alignment horizontal="center" vertical="center" wrapText="1"/>
    </xf>
    <xf numFmtId="4" fontId="19" fillId="34" borderId="11" xfId="41" applyNumberFormat="1" applyFont="1" applyFill="1" applyBorder="1" applyAlignment="1">
      <alignment horizontal="center" vertical="center" wrapText="1"/>
    </xf>
    <xf numFmtId="4" fontId="19" fillId="34" borderId="11" xfId="42" applyNumberFormat="1" applyFont="1" applyFill="1" applyBorder="1" applyAlignment="1">
      <alignment horizontal="center" vertical="center"/>
    </xf>
    <xf numFmtId="0" fontId="19" fillId="43" borderId="11" xfId="0" applyFont="1" applyFill="1" applyBorder="1" applyAlignment="1">
      <alignment horizontal="justify" vertical="center" wrapText="1"/>
    </xf>
    <xf numFmtId="4" fontId="19" fillId="34" borderId="11" xfId="0" applyNumberFormat="1" applyFont="1" applyFill="1" applyBorder="1" applyAlignment="1">
      <alignment horizontal="center" vertical="center"/>
    </xf>
    <xf numFmtId="4" fontId="19" fillId="34" borderId="11" xfId="41" applyNumberFormat="1" applyFont="1" applyFill="1" applyBorder="1" applyAlignment="1">
      <alignment horizontal="center" vertical="center"/>
    </xf>
    <xf numFmtId="4" fontId="19" fillId="0" borderId="11" xfId="42" applyNumberFormat="1" applyFont="1" applyFill="1" applyBorder="1" applyAlignment="1">
      <alignment horizontal="center" vertical="center"/>
    </xf>
    <xf numFmtId="0" fontId="26" fillId="0" borderId="11" xfId="0" applyFont="1" applyBorder="1" applyAlignment="1">
      <alignment horizontal="right"/>
    </xf>
    <xf numFmtId="170" fontId="26" fillId="0" borderId="11" xfId="0" applyNumberFormat="1" applyFont="1" applyBorder="1" applyAlignment="1">
      <alignment horizontal="right"/>
    </xf>
    <xf numFmtId="17" fontId="26" fillId="0" borderId="11" xfId="0" applyNumberFormat="1" applyFont="1" applyBorder="1" applyAlignment="1">
      <alignment horizontal="right"/>
    </xf>
    <xf numFmtId="3" fontId="26" fillId="35" borderId="11" xfId="0" applyNumberFormat="1" applyFont="1" applyFill="1" applyBorder="1" applyAlignment="1">
      <alignment horizontal="right" wrapText="1"/>
    </xf>
    <xf numFmtId="0" fontId="20" fillId="34" borderId="11" xfId="0" applyFont="1" applyFill="1" applyBorder="1" applyAlignment="1" applyProtection="1">
      <alignment horizontal="center" vertical="center" wrapText="1"/>
      <protection locked="0"/>
    </xf>
    <xf numFmtId="0" fontId="19" fillId="34" borderId="11" xfId="59" applyFont="1" applyFill="1" applyBorder="1" applyAlignment="1">
      <alignment horizontal="center" vertical="center"/>
    </xf>
    <xf numFmtId="0" fontId="19" fillId="34" borderId="11" xfId="49" applyNumberFormat="1" applyFont="1" applyFill="1" applyBorder="1">
      <alignment horizontal="center" vertical="center" wrapText="1"/>
    </xf>
    <xf numFmtId="0" fontId="19" fillId="34" borderId="11" xfId="59" applyFont="1" applyFill="1" applyBorder="1" applyAlignment="1">
      <alignment horizontal="center" vertical="center" wrapText="1"/>
    </xf>
    <xf numFmtId="0" fontId="20" fillId="34" borderId="11" xfId="59" applyFont="1" applyFill="1" applyBorder="1" applyAlignment="1">
      <alignment horizontal="center" vertical="center"/>
    </xf>
    <xf numFmtId="0" fontId="20" fillId="34" borderId="11" xfId="0" applyFont="1" applyFill="1" applyBorder="1" applyAlignment="1">
      <alignment horizontal="center" vertical="center"/>
    </xf>
    <xf numFmtId="0" fontId="20" fillId="34" borderId="11" xfId="0" applyFont="1" applyFill="1" applyBorder="1" applyAlignment="1">
      <alignment horizontal="justify" vertical="center" wrapText="1"/>
    </xf>
    <xf numFmtId="0" fontId="20" fillId="34" borderId="11" xfId="0" applyFont="1" applyFill="1" applyBorder="1" applyAlignment="1">
      <alignment horizontal="center" vertical="center" wrapText="1"/>
    </xf>
    <xf numFmtId="3" fontId="19" fillId="34" borderId="11" xfId="0" applyNumberFormat="1" applyFont="1" applyFill="1" applyBorder="1" applyAlignment="1">
      <alignment horizontal="center" vertical="center" wrapText="1"/>
    </xf>
    <xf numFmtId="0" fontId="31" fillId="34" borderId="11" xfId="0" applyFont="1" applyFill="1" applyBorder="1" applyAlignment="1">
      <alignment horizontal="center" vertical="center" wrapText="1"/>
    </xf>
    <xf numFmtId="0" fontId="31" fillId="34" borderId="11" xfId="0" applyFont="1" applyFill="1" applyBorder="1" applyAlignment="1">
      <alignment horizontal="justify" vertical="center" wrapText="1"/>
    </xf>
    <xf numFmtId="0" fontId="19" fillId="34" borderId="11" xfId="0" applyFont="1" applyFill="1" applyBorder="1" applyAlignment="1">
      <alignment horizontal="center" vertical="center"/>
    </xf>
    <xf numFmtId="0" fontId="19" fillId="34" borderId="11" xfId="43" applyFont="1" applyFill="1" applyBorder="1">
      <alignment horizontal="center" vertical="center" wrapText="1"/>
    </xf>
    <xf numFmtId="0" fontId="19" fillId="34" borderId="11" xfId="59" applyFont="1" applyFill="1" applyBorder="1" applyAlignment="1">
      <alignment horizontal="justify" vertical="center" wrapText="1"/>
    </xf>
    <xf numFmtId="43" fontId="26" fillId="39" borderId="11" xfId="0" applyNumberFormat="1" applyFont="1" applyFill="1" applyBorder="1" applyAlignment="1">
      <alignment vertical="center"/>
    </xf>
    <xf numFmtId="164" fontId="19" fillId="34" borderId="11" xfId="41" applyFont="1" applyFill="1" applyBorder="1" applyAlignment="1">
      <alignment horizontal="justify" vertical="center"/>
    </xf>
    <xf numFmtId="172" fontId="19" fillId="34" borderId="11" xfId="43" applyNumberFormat="1" applyFont="1" applyFill="1" applyBorder="1">
      <alignment horizontal="center" vertical="center" wrapText="1"/>
    </xf>
    <xf numFmtId="4" fontId="19" fillId="34" borderId="11" xfId="0" applyNumberFormat="1" applyFont="1" applyFill="1" applyBorder="1" applyAlignment="1">
      <alignment vertical="center"/>
    </xf>
    <xf numFmtId="2" fontId="19" fillId="34" borderId="11" xfId="59" applyNumberFormat="1" applyFont="1" applyFill="1" applyBorder="1" applyAlignment="1">
      <alignment horizontal="center" vertical="center" wrapText="1"/>
    </xf>
    <xf numFmtId="164" fontId="19" fillId="34" borderId="11" xfId="41" applyFont="1" applyFill="1" applyBorder="1" applyAlignment="1">
      <alignment horizontal="right" vertical="center"/>
    </xf>
    <xf numFmtId="2" fontId="19" fillId="34" borderId="11" xfId="43" applyNumberFormat="1" applyFont="1" applyFill="1" applyBorder="1">
      <alignment horizontal="center" vertical="center" wrapText="1"/>
    </xf>
    <xf numFmtId="172" fontId="19" fillId="34" borderId="11" xfId="59" applyNumberFormat="1" applyFont="1" applyFill="1" applyBorder="1" applyAlignment="1">
      <alignment horizontal="center" vertical="center" wrapText="1"/>
    </xf>
    <xf numFmtId="0" fontId="20" fillId="34" borderId="11" xfId="59" applyFont="1" applyFill="1" applyBorder="1" applyAlignment="1">
      <alignment horizontal="center" vertical="center" wrapText="1"/>
    </xf>
    <xf numFmtId="43" fontId="31" fillId="0" borderId="11" xfId="0" applyNumberFormat="1" applyFont="1" applyFill="1" applyBorder="1" applyAlignment="1">
      <alignment horizontal="center" vertical="center"/>
    </xf>
    <xf numFmtId="0" fontId="26" fillId="0" borderId="11"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1" xfId="0" applyFont="1" applyBorder="1" applyAlignment="1">
      <alignment horizontal="justify" vertical="center" wrapText="1"/>
    </xf>
    <xf numFmtId="0" fontId="20" fillId="0" borderId="11" xfId="0" applyFont="1" applyBorder="1" applyAlignment="1">
      <alignment horizontal="justify" vertical="center" wrapText="1"/>
    </xf>
    <xf numFmtId="0" fontId="26" fillId="39" borderId="11" xfId="0" applyFont="1" applyFill="1" applyBorder="1" applyAlignment="1">
      <alignment horizontal="left" vertical="center"/>
    </xf>
    <xf numFmtId="3" fontId="19" fillId="0" borderId="11" xfId="0" applyNumberFormat="1" applyFont="1" applyBorder="1" applyAlignment="1">
      <alignment horizontal="center" vertical="center" wrapText="1"/>
    </xf>
    <xf numFmtId="2" fontId="19" fillId="0" borderId="11" xfId="59" applyNumberFormat="1" applyFont="1" applyBorder="1" applyAlignment="1">
      <alignment horizontal="center" vertical="center" wrapText="1"/>
    </xf>
    <xf numFmtId="164" fontId="19" fillId="0" borderId="11" xfId="5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justify" vertical="center" wrapText="1"/>
    </xf>
    <xf numFmtId="0" fontId="20" fillId="0" borderId="11" xfId="0" applyFont="1" applyBorder="1" applyAlignment="1">
      <alignment horizontal="center" vertical="center" wrapText="1"/>
    </xf>
    <xf numFmtId="0" fontId="19" fillId="0" borderId="11" xfId="0" applyFont="1" applyBorder="1" applyAlignment="1">
      <alignment horizontal="center" vertical="center"/>
    </xf>
    <xf numFmtId="164" fontId="19" fillId="34" borderId="11" xfId="51" applyFont="1" applyFill="1" applyBorder="1" applyAlignment="1">
      <alignment horizontal="right" vertical="center" wrapText="1"/>
    </xf>
    <xf numFmtId="43" fontId="31" fillId="34" borderId="11" xfId="0" applyNumberFormat="1" applyFont="1" applyFill="1" applyBorder="1" applyAlignment="1">
      <alignment horizontal="center" vertical="center"/>
    </xf>
    <xf numFmtId="0" fontId="19" fillId="34" borderId="11" xfId="0" applyFont="1" applyFill="1" applyBorder="1" applyAlignment="1" applyProtection="1">
      <alignment horizontal="center" vertical="center" wrapText="1"/>
      <protection locked="0"/>
    </xf>
    <xf numFmtId="0" fontId="19" fillId="34" borderId="11" xfId="0" applyFont="1" applyFill="1" applyBorder="1" applyAlignment="1" applyProtection="1">
      <alignment horizontal="justify" vertical="center" wrapText="1"/>
      <protection locked="0"/>
    </xf>
    <xf numFmtId="0" fontId="19" fillId="34" borderId="11" xfId="42" applyNumberFormat="1" applyFont="1" applyFill="1" applyBorder="1" applyAlignment="1">
      <alignment horizontal="center" vertical="center" wrapText="1"/>
    </xf>
    <xf numFmtId="164" fontId="20" fillId="34" borderId="11" xfId="41" applyFont="1" applyFill="1" applyBorder="1" applyAlignment="1">
      <alignment horizontal="justify" vertical="center"/>
    </xf>
    <xf numFmtId="0" fontId="27" fillId="36" borderId="18" xfId="48" applyNumberFormat="1" applyFont="1" applyFill="1" applyBorder="1" applyAlignment="1">
      <alignment horizontal="center" vertical="center" wrapText="1"/>
    </xf>
    <xf numFmtId="168" fontId="27" fillId="36" borderId="18" xfId="41" applyNumberFormat="1" applyFont="1" applyFill="1" applyBorder="1" applyAlignment="1">
      <alignment horizontal="center" vertical="center" wrapText="1"/>
    </xf>
    <xf numFmtId="0" fontId="26" fillId="0" borderId="11" xfId="0" applyFont="1" applyBorder="1" applyAlignment="1">
      <alignment horizontal="left" vertical="center" wrapText="1"/>
    </xf>
    <xf numFmtId="0" fontId="26" fillId="0" borderId="11" xfId="0" applyFont="1" applyBorder="1" applyAlignment="1">
      <alignment horizontal="center" vertical="center" wrapText="1"/>
    </xf>
    <xf numFmtId="0" fontId="19" fillId="0" borderId="11" xfId="0" applyFont="1" applyBorder="1" applyAlignment="1">
      <alignment horizontal="left" vertical="center" wrapText="1"/>
    </xf>
    <xf numFmtId="168" fontId="20" fillId="0" borderId="11" xfId="41" applyNumberFormat="1" applyFont="1" applyFill="1" applyBorder="1" applyAlignment="1">
      <alignment horizontal="center" vertical="center" wrapText="1"/>
    </xf>
    <xf numFmtId="0" fontId="20" fillId="0" borderId="11" xfId="41" applyNumberFormat="1" applyFont="1" applyFill="1" applyBorder="1" applyAlignment="1">
      <alignment horizontal="center" vertical="center" wrapText="1"/>
    </xf>
    <xf numFmtId="164" fontId="20" fillId="0" borderId="11" xfId="41" applyFont="1" applyFill="1" applyBorder="1" applyAlignment="1">
      <alignment horizontal="justify" vertical="center"/>
    </xf>
    <xf numFmtId="164" fontId="20" fillId="0" borderId="11" xfId="51" applyFont="1" applyFill="1" applyBorder="1" applyAlignment="1">
      <alignment horizontal="right" vertical="center" wrapText="1"/>
    </xf>
    <xf numFmtId="2" fontId="19" fillId="0" borderId="11" xfId="59" applyNumberFormat="1" applyFont="1" applyBorder="1" applyAlignment="1">
      <alignment horizontal="center" vertical="center"/>
    </xf>
    <xf numFmtId="0" fontId="19" fillId="0" borderId="11" xfId="0" applyFont="1" applyBorder="1" applyAlignment="1">
      <alignment horizontal="left" vertical="center"/>
    </xf>
    <xf numFmtId="0" fontId="26" fillId="0" borderId="11" xfId="0" applyFont="1" applyFill="1" applyBorder="1" applyAlignment="1">
      <alignment horizontal="left" vertical="center" wrapText="1"/>
    </xf>
    <xf numFmtId="167" fontId="19" fillId="0" borderId="11" xfId="49" applyFont="1" applyFill="1" applyBorder="1">
      <alignment horizontal="center" vertical="center" wrapText="1"/>
    </xf>
    <xf numFmtId="164" fontId="26" fillId="39" borderId="11" xfId="0" applyNumberFormat="1" applyFont="1" applyFill="1" applyBorder="1" applyAlignment="1">
      <alignment horizontal="left" vertical="center"/>
    </xf>
    <xf numFmtId="164" fontId="19" fillId="0" borderId="11" xfId="41" applyFont="1" applyFill="1" applyBorder="1" applyAlignment="1">
      <alignment vertical="center"/>
    </xf>
    <xf numFmtId="0" fontId="26" fillId="34" borderId="11" xfId="0" applyFont="1" applyFill="1" applyBorder="1" applyAlignment="1">
      <alignment horizontal="center" vertical="center" wrapText="1"/>
    </xf>
    <xf numFmtId="164" fontId="19" fillId="0" borderId="11" xfId="51" applyFont="1" applyFill="1" applyBorder="1" applyAlignment="1">
      <alignment horizontal="right" vertical="center"/>
    </xf>
    <xf numFmtId="0" fontId="26" fillId="38" borderId="11" xfId="0" applyFont="1" applyFill="1" applyBorder="1" applyAlignment="1">
      <alignment vertical="center"/>
    </xf>
    <xf numFmtId="0" fontId="19" fillId="34" borderId="11" xfId="0" applyFont="1" applyFill="1" applyBorder="1" applyAlignment="1">
      <alignment horizontal="center" vertical="center" wrapText="1"/>
    </xf>
    <xf numFmtId="0" fontId="26" fillId="34" borderId="11" xfId="0" applyFont="1" applyFill="1" applyBorder="1" applyAlignment="1">
      <alignment horizontal="left" vertical="center" wrapText="1"/>
    </xf>
    <xf numFmtId="0" fontId="19" fillId="0" borderId="11" xfId="0" applyFont="1" applyFill="1" applyBorder="1" applyAlignment="1">
      <alignment horizontal="left" vertical="center"/>
    </xf>
    <xf numFmtId="0" fontId="26" fillId="0" borderId="11" xfId="0" applyFont="1" applyBorder="1" applyAlignment="1">
      <alignment horizontal="center" vertical="center"/>
    </xf>
    <xf numFmtId="164" fontId="19" fillId="34" borderId="11" xfId="51" applyFont="1" applyFill="1" applyBorder="1" applyAlignment="1">
      <alignment horizontal="center" vertical="center"/>
    </xf>
    <xf numFmtId="4" fontId="19" fillId="0" borderId="11" xfId="0" applyNumberFormat="1" applyFont="1" applyBorder="1" applyAlignment="1">
      <alignment horizontal="center" vertical="center"/>
    </xf>
    <xf numFmtId="164" fontId="19" fillId="34" borderId="11" xfId="51" applyFont="1" applyFill="1" applyBorder="1" applyAlignment="1">
      <alignment vertical="center"/>
    </xf>
    <xf numFmtId="0" fontId="26" fillId="39" borderId="11" xfId="59" applyFont="1" applyFill="1" applyBorder="1" applyAlignment="1">
      <alignment horizontal="left" vertical="center"/>
    </xf>
    <xf numFmtId="0" fontId="19" fillId="39" borderId="11" xfId="0" applyFont="1" applyFill="1" applyBorder="1" applyAlignment="1">
      <alignment horizontal="right" vertical="center"/>
    </xf>
    <xf numFmtId="0" fontId="19" fillId="0" borderId="11" xfId="0" applyFont="1" applyFill="1" applyBorder="1" applyAlignment="1">
      <alignment horizontal="left" vertical="center" wrapText="1"/>
    </xf>
    <xf numFmtId="164" fontId="19" fillId="39" borderId="11" xfId="51" applyFont="1" applyFill="1" applyBorder="1" applyAlignment="1">
      <alignment horizontal="center" vertical="center"/>
    </xf>
    <xf numFmtId="0" fontId="19" fillId="39" borderId="11" xfId="51" applyNumberFormat="1" applyFont="1" applyFill="1" applyBorder="1" applyAlignment="1">
      <alignment horizontal="center" vertical="center"/>
    </xf>
    <xf numFmtId="0" fontId="19" fillId="39" borderId="11" xfId="0" applyFont="1" applyFill="1" applyBorder="1" applyAlignment="1">
      <alignment horizontal="justify" vertical="center"/>
    </xf>
    <xf numFmtId="0" fontId="20" fillId="0" borderId="11" xfId="0" applyFont="1" applyBorder="1" applyAlignment="1">
      <alignment vertical="center" wrapText="1"/>
    </xf>
    <xf numFmtId="43" fontId="26" fillId="38" borderId="11" xfId="0" applyNumberFormat="1" applyFont="1" applyFill="1" applyBorder="1" applyAlignment="1">
      <alignment vertical="center"/>
    </xf>
    <xf numFmtId="0" fontId="19" fillId="0" borderId="11" xfId="0" applyFont="1" applyFill="1" applyBorder="1" applyAlignment="1">
      <alignment vertical="center" wrapText="1"/>
    </xf>
    <xf numFmtId="0" fontId="26" fillId="40" borderId="11" xfId="0" applyFont="1" applyFill="1" applyBorder="1" applyAlignment="1">
      <alignment vertical="center"/>
    </xf>
    <xf numFmtId="0" fontId="26" fillId="40" borderId="11" xfId="0" applyFont="1" applyFill="1" applyBorder="1" applyAlignment="1">
      <alignment vertical="center" wrapText="1"/>
    </xf>
    <xf numFmtId="3" fontId="19" fillId="0" borderId="11" xfId="0" applyNumberFormat="1" applyFont="1" applyBorder="1" applyAlignment="1">
      <alignment horizontal="justify" vertical="center" wrapText="1"/>
    </xf>
    <xf numFmtId="3" fontId="19" fillId="0" borderId="11" xfId="0" applyNumberFormat="1" applyFont="1" applyBorder="1" applyAlignment="1">
      <alignment horizontal="justify" vertical="center"/>
    </xf>
    <xf numFmtId="164" fontId="20" fillId="34" borderId="11" xfId="0" applyNumberFormat="1" applyFont="1" applyFill="1" applyBorder="1" applyAlignment="1">
      <alignment horizontal="center" vertical="center" wrapText="1"/>
    </xf>
    <xf numFmtId="0" fontId="19" fillId="38" borderId="11" xfId="0" applyFont="1" applyFill="1" applyBorder="1" applyAlignment="1">
      <alignment horizontal="center" vertical="center" wrapText="1"/>
    </xf>
    <xf numFmtId="0" fontId="19" fillId="38" borderId="11" xfId="0" applyFont="1" applyFill="1" applyBorder="1" applyAlignment="1">
      <alignment vertical="center" wrapText="1"/>
    </xf>
    <xf numFmtId="168" fontId="19" fillId="0" borderId="11" xfId="0" applyNumberFormat="1" applyFont="1" applyBorder="1" applyAlignment="1">
      <alignment horizontal="justify" vertical="center" wrapText="1"/>
    </xf>
    <xf numFmtId="164" fontId="20" fillId="0" borderId="11" xfId="51" applyFont="1" applyFill="1" applyBorder="1" applyAlignment="1">
      <alignment horizontal="center" vertical="center" wrapText="1"/>
    </xf>
    <xf numFmtId="164" fontId="19" fillId="0" borderId="11" xfId="51" applyFont="1" applyBorder="1" applyAlignment="1">
      <alignment horizontal="center" vertical="center"/>
    </xf>
    <xf numFmtId="0" fontId="20" fillId="0" borderId="11" xfId="44" applyFont="1" applyFill="1" applyBorder="1" applyAlignment="1">
      <alignment horizontal="justify" vertical="center" wrapText="1"/>
    </xf>
    <xf numFmtId="0" fontId="19" fillId="34" borderId="11" xfId="59" applyFont="1" applyFill="1" applyBorder="1" applyAlignment="1">
      <alignment horizontal="center" vertical="center" wrapText="1"/>
    </xf>
    <xf numFmtId="2" fontId="20" fillId="0" borderId="11" xfId="0" applyNumberFormat="1" applyFont="1" applyBorder="1" applyAlignment="1">
      <alignment horizontal="center" vertical="center" wrapText="1"/>
    </xf>
    <xf numFmtId="0" fontId="29" fillId="34" borderId="11" xfId="0" applyFont="1" applyFill="1" applyBorder="1" applyAlignment="1">
      <alignment horizontal="center" vertical="center" wrapText="1"/>
    </xf>
    <xf numFmtId="167" fontId="19" fillId="34" borderId="11" xfId="49" applyFont="1" applyFill="1" applyBorder="1">
      <alignment horizontal="center" vertical="center" wrapText="1"/>
    </xf>
    <xf numFmtId="4" fontId="19" fillId="34" borderId="11" xfId="42" applyNumberFormat="1" applyFont="1" applyFill="1" applyBorder="1" applyAlignment="1" applyProtection="1">
      <alignment vertical="center"/>
      <protection locked="0"/>
    </xf>
    <xf numFmtId="0" fontId="19" fillId="0" borderId="11" xfId="0" applyFont="1" applyBorder="1" applyAlignment="1">
      <alignment horizontal="justify" vertical="center" wrapText="1"/>
    </xf>
    <xf numFmtId="0" fontId="19" fillId="0" borderId="11" xfId="0" applyFont="1" applyFill="1" applyBorder="1" applyAlignment="1">
      <alignment horizontal="justify" vertical="center" wrapText="1"/>
    </xf>
    <xf numFmtId="0" fontId="20" fillId="0" borderId="11" xfId="0" applyFont="1" applyBorder="1" applyAlignment="1">
      <alignment horizontal="justify" vertical="center" wrapText="1"/>
    </xf>
    <xf numFmtId="0" fontId="26" fillId="39" borderId="11" xfId="0" applyFont="1" applyFill="1" applyBorder="1" applyAlignment="1">
      <alignment horizontal="justify" vertical="center"/>
    </xf>
    <xf numFmtId="0" fontId="21" fillId="37" borderId="11" xfId="0" applyFont="1" applyFill="1" applyBorder="1" applyAlignment="1">
      <alignment horizontal="justify" vertical="center"/>
    </xf>
    <xf numFmtId="0" fontId="26" fillId="38" borderId="11" xfId="0" applyFont="1" applyFill="1" applyBorder="1" applyAlignment="1">
      <alignment horizontal="justify" vertical="center"/>
    </xf>
    <xf numFmtId="0" fontId="19" fillId="0" borderId="11" xfId="0" applyFont="1" applyBorder="1" applyAlignment="1">
      <alignment horizontal="justify" vertical="center"/>
    </xf>
    <xf numFmtId="9" fontId="19" fillId="0" borderId="11" xfId="0" applyNumberFormat="1" applyFont="1" applyBorder="1" applyAlignment="1">
      <alignment horizontal="justify" vertical="center" wrapText="1"/>
    </xf>
    <xf numFmtId="0" fontId="19" fillId="34" borderId="11" xfId="0" applyFont="1" applyFill="1" applyBorder="1" applyAlignment="1">
      <alignment horizontal="justify" vertical="center" wrapText="1"/>
    </xf>
    <xf numFmtId="2" fontId="19" fillId="0" borderId="11" xfId="61" applyNumberFormat="1" applyFont="1" applyBorder="1" applyAlignment="1" applyProtection="1">
      <alignment horizontal="justify" vertical="center" wrapText="1"/>
      <protection locked="0"/>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0" fontId="33" fillId="0" borderId="26" xfId="0" applyFont="1" applyBorder="1" applyAlignment="1">
      <alignment horizontal="justify" vertical="center" wrapText="1"/>
    </xf>
    <xf numFmtId="0" fontId="29" fillId="34" borderId="11" xfId="0" applyFont="1" applyFill="1" applyBorder="1" applyAlignment="1">
      <alignment horizontal="justify" vertical="center" wrapText="1"/>
    </xf>
    <xf numFmtId="4" fontId="31" fillId="34" borderId="11" xfId="0" applyNumberFormat="1" applyFont="1" applyFill="1" applyBorder="1" applyAlignment="1">
      <alignment horizontal="center" vertical="center" readingOrder="1"/>
    </xf>
    <xf numFmtId="164" fontId="19" fillId="34" borderId="11" xfId="0" applyNumberFormat="1" applyFont="1" applyFill="1" applyBorder="1" applyAlignment="1">
      <alignment vertical="center" wrapText="1"/>
    </xf>
    <xf numFmtId="0" fontId="26" fillId="0" borderId="18" xfId="0" applyFont="1" applyBorder="1" applyAlignment="1">
      <alignment vertical="center"/>
    </xf>
    <xf numFmtId="0" fontId="19" fillId="0" borderId="21" xfId="0" applyFont="1" applyBorder="1"/>
    <xf numFmtId="0" fontId="19" fillId="0" borderId="20" xfId="0" applyFont="1" applyBorder="1"/>
    <xf numFmtId="0" fontId="26" fillId="0" borderId="18" xfId="0" applyFont="1" applyBorder="1" applyAlignment="1">
      <alignment horizontal="left" vertical="center" wrapText="1"/>
    </xf>
    <xf numFmtId="0" fontId="26" fillId="0" borderId="21" xfId="0" applyFont="1" applyBorder="1" applyAlignment="1">
      <alignment horizontal="left" vertical="center" wrapText="1"/>
    </xf>
    <xf numFmtId="0" fontId="26" fillId="0" borderId="20" xfId="0" applyFont="1" applyBorder="1" applyAlignment="1">
      <alignment horizontal="left" vertical="center" wrapText="1"/>
    </xf>
    <xf numFmtId="0" fontId="19" fillId="0" borderId="14" xfId="0" applyFont="1" applyBorder="1"/>
    <xf numFmtId="0" fontId="26" fillId="0" borderId="19" xfId="0" applyFont="1" applyBorder="1" applyAlignment="1">
      <alignment horizontal="left" vertical="center" wrapText="1"/>
    </xf>
    <xf numFmtId="0" fontId="26" fillId="0" borderId="19" xfId="0" applyFont="1" applyBorder="1" applyAlignment="1">
      <alignment horizontal="center" vertical="center" wrapText="1"/>
    </xf>
    <xf numFmtId="0" fontId="19" fillId="0" borderId="19" xfId="0" applyFont="1" applyBorder="1" applyAlignment="1">
      <alignment horizontal="justify" vertical="center" wrapText="1"/>
    </xf>
    <xf numFmtId="0" fontId="19" fillId="0" borderId="19" xfId="0" applyFont="1" applyBorder="1" applyAlignment="1">
      <alignment horizontal="center" vertical="center" wrapText="1"/>
    </xf>
    <xf numFmtId="0" fontId="20" fillId="0" borderId="19" xfId="0" applyFont="1" applyBorder="1" applyAlignment="1">
      <alignment horizontal="justify" vertical="center" wrapText="1"/>
    </xf>
    <xf numFmtId="0" fontId="20" fillId="0" borderId="19" xfId="0" applyFont="1" applyBorder="1" applyAlignment="1">
      <alignment horizontal="center" vertical="center" wrapText="1"/>
    </xf>
    <xf numFmtId="164" fontId="19" fillId="0" borderId="19" xfId="41" applyFont="1" applyFill="1" applyBorder="1" applyAlignment="1">
      <alignment horizontal="justify" vertical="center"/>
    </xf>
    <xf numFmtId="167" fontId="20" fillId="0" borderId="19" xfId="0" applyNumberFormat="1" applyFont="1" applyBorder="1" applyAlignment="1">
      <alignment vertical="center"/>
    </xf>
    <xf numFmtId="0" fontId="19" fillId="0" borderId="18" xfId="0" applyFont="1" applyBorder="1"/>
    <xf numFmtId="0" fontId="20" fillId="0" borderId="21" xfId="0" applyFont="1" applyBorder="1"/>
    <xf numFmtId="0" fontId="20" fillId="0" borderId="21" xfId="0" applyFont="1" applyBorder="1" applyAlignment="1">
      <alignment horizontal="left" vertical="center" wrapText="1"/>
    </xf>
    <xf numFmtId="0" fontId="19" fillId="0" borderId="20" xfId="0" applyFont="1" applyBorder="1" applyAlignment="1">
      <alignment horizontal="left" vertical="center"/>
    </xf>
    <xf numFmtId="0" fontId="19" fillId="0" borderId="21" xfId="0" applyFont="1" applyFill="1" applyBorder="1"/>
    <xf numFmtId="0" fontId="26" fillId="0" borderId="21" xfId="0"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21" xfId="0" applyFont="1" applyBorder="1" applyAlignment="1">
      <alignment vertical="center"/>
    </xf>
    <xf numFmtId="0" fontId="19" fillId="34" borderId="21" xfId="0" applyFont="1" applyFill="1" applyBorder="1"/>
    <xf numFmtId="0" fontId="26" fillId="0" borderId="21" xfId="0" applyFont="1" applyBorder="1" applyAlignment="1">
      <alignment vertical="center"/>
    </xf>
    <xf numFmtId="0" fontId="26" fillId="34" borderId="21" xfId="0" applyFont="1" applyFill="1" applyBorder="1" applyAlignment="1">
      <alignment horizontal="left" vertical="center" wrapText="1"/>
    </xf>
    <xf numFmtId="0" fontId="19" fillId="0" borderId="21" xfId="0" applyFont="1" applyBorder="1" applyAlignment="1">
      <alignment horizontal="left" vertical="center"/>
    </xf>
    <xf numFmtId="0" fontId="19" fillId="0" borderId="21" xfId="0" applyFont="1" applyFill="1" applyBorder="1" applyAlignment="1">
      <alignment horizontal="left" vertical="center"/>
    </xf>
    <xf numFmtId="0" fontId="19" fillId="34" borderId="20" xfId="0" applyFont="1" applyFill="1" applyBorder="1"/>
    <xf numFmtId="0" fontId="26" fillId="34" borderId="20" xfId="0" applyFont="1" applyFill="1" applyBorder="1" applyAlignment="1">
      <alignment horizontal="left" vertical="center" wrapText="1"/>
    </xf>
    <xf numFmtId="0" fontId="20" fillId="0" borderId="18" xfId="0" applyFont="1" applyBorder="1"/>
    <xf numFmtId="0" fontId="20" fillId="0" borderId="21" xfId="0" applyFont="1" applyFill="1" applyBorder="1"/>
    <xf numFmtId="0" fontId="20" fillId="0" borderId="20" xfId="0" applyFont="1" applyBorder="1"/>
    <xf numFmtId="0" fontId="19" fillId="0" borderId="20" xfId="0" applyFont="1" applyFill="1" applyBorder="1"/>
    <xf numFmtId="0" fontId="26" fillId="0" borderId="20" xfId="0" applyFont="1" applyFill="1" applyBorder="1" applyAlignment="1">
      <alignment horizontal="left" vertical="center" wrapText="1"/>
    </xf>
    <xf numFmtId="0" fontId="26" fillId="0" borderId="21" xfId="0" applyFont="1" applyBorder="1" applyAlignment="1">
      <alignment horizontal="left" vertical="center"/>
    </xf>
    <xf numFmtId="0" fontId="26" fillId="0" borderId="18" xfId="0" applyFont="1" applyBorder="1" applyAlignment="1">
      <alignment horizontal="left" vertical="center"/>
    </xf>
    <xf numFmtId="0" fontId="26" fillId="0" borderId="11" xfId="0" applyFont="1" applyFill="1" applyBorder="1" applyAlignment="1">
      <alignment horizontal="left" vertical="center"/>
    </xf>
    <xf numFmtId="0" fontId="26" fillId="0" borderId="11" xfId="0" applyFont="1" applyFill="1" applyBorder="1" applyAlignment="1">
      <alignment horizontal="center" vertical="center"/>
    </xf>
    <xf numFmtId="0" fontId="26" fillId="0" borderId="11" xfId="0" applyFont="1" applyFill="1" applyBorder="1" applyAlignment="1">
      <alignment horizontal="center"/>
    </xf>
    <xf numFmtId="0" fontId="26" fillId="0" borderId="11" xfId="0" applyFont="1" applyFill="1" applyBorder="1" applyAlignment="1">
      <alignment horizontal="justify" vertical="center" wrapText="1"/>
    </xf>
    <xf numFmtId="0" fontId="26" fillId="0" borderId="11" xfId="0" applyFont="1" applyFill="1" applyBorder="1" applyAlignment="1">
      <alignment horizontal="center" wrapText="1"/>
    </xf>
    <xf numFmtId="0" fontId="26" fillId="0" borderId="0" xfId="0" applyFont="1" applyFill="1"/>
    <xf numFmtId="0" fontId="19" fillId="0" borderId="11" xfId="0" applyFont="1" applyFill="1" applyBorder="1" applyAlignment="1">
      <alignment horizontal="center"/>
    </xf>
    <xf numFmtId="0" fontId="19" fillId="0" borderId="11" xfId="0" applyFont="1" applyFill="1" applyBorder="1" applyAlignment="1">
      <alignment horizontal="center" wrapText="1"/>
    </xf>
    <xf numFmtId="43" fontId="26" fillId="40" borderId="11" xfId="0" applyNumberFormat="1" applyFont="1" applyFill="1" applyBorder="1"/>
    <xf numFmtId="43" fontId="26" fillId="44" borderId="11" xfId="0" applyNumberFormat="1" applyFont="1" applyFill="1" applyBorder="1"/>
    <xf numFmtId="164" fontId="19" fillId="34" borderId="0" xfId="0" applyNumberFormat="1" applyFont="1" applyFill="1"/>
    <xf numFmtId="164" fontId="26" fillId="0" borderId="0" xfId="0" applyNumberFormat="1" applyFont="1" applyAlignment="1">
      <alignment vertical="center"/>
    </xf>
    <xf numFmtId="164" fontId="32" fillId="34" borderId="0" xfId="0" applyNumberFormat="1" applyFont="1" applyFill="1" applyAlignment="1">
      <alignment vertical="center"/>
    </xf>
    <xf numFmtId="164" fontId="22" fillId="0" borderId="0" xfId="57" applyNumberFormat="1" applyFont="1" applyFill="1" applyBorder="1"/>
    <xf numFmtId="164" fontId="24" fillId="0" borderId="0" xfId="57" applyNumberFormat="1" applyFont="1"/>
    <xf numFmtId="0" fontId="26" fillId="0" borderId="21"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164" fontId="26" fillId="0" borderId="11" xfId="41" applyFont="1" applyFill="1" applyBorder="1" applyAlignment="1">
      <alignment horizontal="justify" vertical="center"/>
    </xf>
    <xf numFmtId="2" fontId="19" fillId="0" borderId="11" xfId="59"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xf>
    <xf numFmtId="0" fontId="26" fillId="0" borderId="21" xfId="0" applyFont="1" applyFill="1" applyBorder="1" applyAlignment="1">
      <alignment horizontal="left" vertical="center" wrapText="1"/>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169" fontId="34" fillId="34" borderId="0" xfId="55" applyNumberFormat="1" applyFont="1" applyFill="1"/>
    <xf numFmtId="169" fontId="32" fillId="34" borderId="0" xfId="55" applyNumberFormat="1" applyFont="1" applyFill="1" applyAlignment="1">
      <alignment vertical="center"/>
    </xf>
    <xf numFmtId="169" fontId="32" fillId="34" borderId="0" xfId="55" applyNumberFormat="1" applyFont="1" applyFill="1"/>
    <xf numFmtId="0" fontId="26" fillId="0" borderId="0" xfId="0" applyFont="1" applyBorder="1" applyAlignment="1">
      <alignment horizontal="center" vertical="center" wrapText="1"/>
    </xf>
    <xf numFmtId="0" fontId="26" fillId="0" borderId="49" xfId="0" applyFont="1" applyBorder="1" applyAlignment="1">
      <alignment horizontal="center" vertical="center" wrapText="1"/>
    </xf>
    <xf numFmtId="0" fontId="27" fillId="36" borderId="11" xfId="48" applyNumberFormat="1" applyFont="1" applyFill="1" applyBorder="1" applyAlignment="1">
      <alignment horizontal="center" vertical="center" wrapText="1"/>
    </xf>
    <xf numFmtId="167" fontId="27" fillId="36" borderId="11" xfId="48" applyFont="1" applyFill="1" applyBorder="1" applyAlignment="1">
      <alignment horizontal="center" vertical="center" wrapText="1"/>
    </xf>
    <xf numFmtId="167" fontId="27" fillId="36" borderId="11" xfId="48" applyFont="1" applyFill="1" applyBorder="1" applyAlignment="1">
      <alignment horizontal="center" vertical="center"/>
    </xf>
    <xf numFmtId="168" fontId="27" fillId="36" borderId="12" xfId="41" applyNumberFormat="1" applyFont="1" applyFill="1" applyBorder="1" applyAlignment="1">
      <alignment horizontal="center" vertical="center" wrapText="1"/>
    </xf>
    <xf numFmtId="168" fontId="27" fillId="36" borderId="13" xfId="41" applyNumberFormat="1" applyFont="1" applyFill="1" applyBorder="1" applyAlignment="1">
      <alignment horizontal="center" vertical="center" wrapText="1"/>
    </xf>
    <xf numFmtId="168" fontId="27" fillId="36" borderId="17" xfId="41" applyNumberFormat="1" applyFont="1" applyFill="1" applyBorder="1" applyAlignment="1">
      <alignment horizontal="center" vertical="center" wrapText="1"/>
    </xf>
    <xf numFmtId="168" fontId="27" fillId="36" borderId="19" xfId="41" applyNumberFormat="1" applyFont="1" applyFill="1" applyBorder="1" applyAlignment="1">
      <alignment horizontal="center" vertical="center" wrapText="1"/>
    </xf>
    <xf numFmtId="168" fontId="27" fillId="36" borderId="16" xfId="41" applyNumberFormat="1" applyFont="1" applyFill="1" applyBorder="1" applyAlignment="1">
      <alignment horizontal="center" vertical="center" wrapText="1"/>
    </xf>
    <xf numFmtId="168" fontId="27" fillId="36" borderId="14" xfId="41" applyNumberFormat="1" applyFont="1" applyFill="1" applyBorder="1" applyAlignment="1">
      <alignment horizontal="center" vertical="center" wrapText="1"/>
    </xf>
    <xf numFmtId="168" fontId="19" fillId="0" borderId="11" xfId="0" applyNumberFormat="1" applyFont="1" applyBorder="1" applyAlignment="1">
      <alignment horizontal="justify" vertical="center" wrapText="1"/>
    </xf>
    <xf numFmtId="0" fontId="19" fillId="0" borderId="11" xfId="0" applyFont="1" applyBorder="1" applyAlignment="1">
      <alignment horizontal="justify" vertical="center"/>
    </xf>
    <xf numFmtId="0" fontId="19" fillId="0" borderId="11" xfId="0" applyFont="1" applyBorder="1" applyAlignment="1">
      <alignment horizontal="center" vertical="center" wrapText="1"/>
    </xf>
    <xf numFmtId="0" fontId="19" fillId="0" borderId="11" xfId="0" applyFont="1" applyBorder="1" applyAlignment="1">
      <alignment horizontal="justify" vertical="center" wrapText="1"/>
    </xf>
    <xf numFmtId="0" fontId="26" fillId="0" borderId="18" xfId="0" applyFont="1" applyBorder="1" applyAlignment="1">
      <alignment horizontal="left" vertical="center"/>
    </xf>
    <xf numFmtId="0" fontId="26" fillId="0" borderId="21" xfId="0" applyFont="1" applyBorder="1" applyAlignment="1">
      <alignment horizontal="left" vertical="center"/>
    </xf>
    <xf numFmtId="0" fontId="26" fillId="0" borderId="21" xfId="0" applyFont="1" applyBorder="1" applyAlignment="1">
      <alignment horizontal="left" vertical="center" wrapText="1"/>
    </xf>
    <xf numFmtId="0" fontId="26" fillId="0" borderId="20" xfId="0" applyFont="1" applyBorder="1" applyAlignment="1">
      <alignment horizontal="left" vertical="center" wrapText="1"/>
    </xf>
    <xf numFmtId="0" fontId="26" fillId="0" borderId="11" xfId="0" applyFont="1" applyBorder="1" applyAlignment="1">
      <alignment horizontal="left" vertical="center" wrapText="1"/>
    </xf>
    <xf numFmtId="0" fontId="20" fillId="0" borderId="11" xfId="0" applyFont="1" applyBorder="1" applyAlignment="1">
      <alignment horizontal="justify" vertical="center" wrapText="1"/>
    </xf>
    <xf numFmtId="0" fontId="20" fillId="0" borderId="11" xfId="0" applyFont="1" applyBorder="1" applyAlignment="1">
      <alignment horizontal="center" vertical="center" wrapText="1"/>
    </xf>
    <xf numFmtId="0" fontId="19" fillId="34" borderId="11" xfId="0" applyFont="1" applyFill="1" applyBorder="1" applyAlignment="1">
      <alignment horizontal="center" vertical="center" wrapText="1"/>
    </xf>
    <xf numFmtId="0" fontId="19" fillId="34" borderId="11" xfId="0" applyFont="1" applyFill="1" applyBorder="1" applyAlignment="1">
      <alignment horizontal="justify" vertical="center" wrapText="1"/>
    </xf>
    <xf numFmtId="0" fontId="26" fillId="0" borderId="21"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19" fillId="0" borderId="11" xfId="0" applyFont="1" applyFill="1" applyBorder="1" applyAlignment="1">
      <alignment horizontal="justify" vertical="center" wrapText="1"/>
    </xf>
    <xf numFmtId="0" fontId="19" fillId="0" borderId="11" xfId="0" applyFont="1" applyFill="1" applyBorder="1" applyAlignment="1">
      <alignment horizontal="center" vertical="center" wrapText="1"/>
    </xf>
    <xf numFmtId="0" fontId="26" fillId="0" borderId="18" xfId="0" applyFont="1" applyBorder="1" applyAlignment="1">
      <alignment horizontal="left" vertical="center" wrapText="1"/>
    </xf>
    <xf numFmtId="0" fontId="19" fillId="34" borderId="11" xfId="59" applyFont="1" applyFill="1" applyBorder="1" applyAlignment="1">
      <alignment horizontal="center" vertical="center" wrapText="1"/>
    </xf>
    <xf numFmtId="0" fontId="19" fillId="0" borderId="11" xfId="0" applyFont="1" applyBorder="1" applyAlignment="1">
      <alignment horizontal="left" vertical="center" wrapText="1"/>
    </xf>
    <xf numFmtId="3" fontId="19" fillId="0" borderId="11" xfId="0" applyNumberFormat="1" applyFont="1" applyBorder="1" applyAlignment="1">
      <alignment horizontal="justify" vertical="center" wrapText="1"/>
    </xf>
    <xf numFmtId="44" fontId="19" fillId="0" borderId="11" xfId="58" applyFont="1" applyFill="1" applyBorder="1" applyAlignment="1">
      <alignment horizontal="justify" vertical="center" wrapText="1"/>
    </xf>
    <xf numFmtId="3" fontId="19" fillId="0" borderId="11" xfId="0" applyNumberFormat="1" applyFont="1" applyBorder="1" applyAlignment="1">
      <alignment horizontal="justify" vertical="center"/>
    </xf>
    <xf numFmtId="0" fontId="26" fillId="39" borderId="11" xfId="0" applyFont="1" applyFill="1" applyBorder="1" applyAlignment="1">
      <alignment horizontal="left" vertical="center"/>
    </xf>
    <xf numFmtId="0" fontId="26" fillId="0" borderId="11" xfId="0" applyFont="1" applyBorder="1" applyAlignment="1">
      <alignment horizontal="center" vertical="center" wrapText="1"/>
    </xf>
    <xf numFmtId="0" fontId="20" fillId="34" borderId="11" xfId="0" applyFont="1" applyFill="1" applyBorder="1" applyAlignment="1">
      <alignment horizontal="justify" vertical="center" wrapText="1"/>
    </xf>
    <xf numFmtId="167" fontId="27" fillId="36" borderId="18" xfId="48" applyFont="1" applyFill="1" applyBorder="1" applyAlignment="1">
      <alignment horizontal="center" vertical="center" wrapText="1"/>
    </xf>
    <xf numFmtId="167" fontId="27" fillId="36" borderId="21" xfId="48" applyFont="1" applyFill="1" applyBorder="1" applyAlignment="1">
      <alignment horizontal="center" vertical="center" wrapText="1"/>
    </xf>
    <xf numFmtId="0" fontId="26" fillId="0" borderId="11" xfId="0" applyFont="1" applyFill="1" applyBorder="1" applyAlignment="1">
      <alignment horizontal="left" vertical="center"/>
    </xf>
    <xf numFmtId="0" fontId="27" fillId="36" borderId="18" xfId="48" applyNumberFormat="1" applyFont="1" applyFill="1" applyBorder="1" applyAlignment="1">
      <alignment horizontal="center" vertical="center" wrapText="1"/>
    </xf>
    <xf numFmtId="2" fontId="19" fillId="0" borderId="11" xfId="59" applyNumberFormat="1" applyFont="1" applyBorder="1" applyAlignment="1">
      <alignment horizontal="center" vertical="center" wrapText="1"/>
    </xf>
    <xf numFmtId="164" fontId="19" fillId="0" borderId="11" xfId="51" applyFont="1" applyFill="1" applyBorder="1" applyAlignment="1">
      <alignment horizontal="center" vertical="center" wrapText="1"/>
    </xf>
    <xf numFmtId="0" fontId="33" fillId="41" borderId="30" xfId="0" applyFont="1" applyFill="1" applyBorder="1" applyAlignment="1">
      <alignment horizontal="left" vertical="center" wrapText="1"/>
    </xf>
    <xf numFmtId="0" fontId="33" fillId="41" borderId="31" xfId="0" applyFont="1" applyFill="1" applyBorder="1" applyAlignment="1">
      <alignment horizontal="left" vertical="center" wrapText="1"/>
    </xf>
    <xf numFmtId="0" fontId="34" fillId="0" borderId="40" xfId="0" applyFont="1" applyBorder="1" applyAlignment="1">
      <alignment horizontal="justify" vertical="center" wrapText="1"/>
    </xf>
    <xf numFmtId="0" fontId="34" fillId="0" borderId="28" xfId="0" applyFont="1" applyBorder="1" applyAlignment="1">
      <alignment horizontal="justify" vertical="center" wrapText="1"/>
    </xf>
    <xf numFmtId="0" fontId="34" fillId="0" borderId="26" xfId="0" applyFont="1" applyBorder="1" applyAlignment="1">
      <alignment horizontal="justify" vertical="center" wrapText="1"/>
    </xf>
    <xf numFmtId="0" fontId="34" fillId="0" borderId="21" xfId="0" applyFont="1" applyBorder="1" applyAlignment="1">
      <alignment horizontal="justify" vertical="center" wrapText="1"/>
    </xf>
    <xf numFmtId="0" fontId="34" fillId="0" borderId="20" xfId="0" applyFont="1" applyBorder="1" applyAlignment="1">
      <alignment horizontal="justify" vertical="center"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3" xfId="0" applyFont="1" applyBorder="1" applyAlignment="1">
      <alignment horizontal="center" vertical="center" wrapText="1"/>
    </xf>
    <xf numFmtId="0" fontId="33" fillId="40" borderId="30" xfId="0" applyFont="1" applyFill="1" applyBorder="1" applyAlignment="1">
      <alignment horizontal="center" vertical="center" wrapText="1"/>
    </xf>
    <xf numFmtId="0" fontId="33" fillId="40" borderId="31" xfId="0" applyFont="1" applyFill="1" applyBorder="1" applyAlignment="1">
      <alignment horizontal="center" vertical="center" wrapText="1"/>
    </xf>
    <xf numFmtId="0" fontId="33" fillId="40" borderId="32" xfId="0" applyFont="1" applyFill="1" applyBorder="1" applyAlignment="1">
      <alignment horizontal="center" vertical="center" wrapText="1"/>
    </xf>
    <xf numFmtId="0" fontId="34" fillId="0" borderId="18" xfId="0" applyFont="1" applyBorder="1" applyAlignment="1">
      <alignment horizontal="justify" vertical="center" wrapText="1"/>
    </xf>
    <xf numFmtId="0" fontId="33" fillId="41" borderId="32" xfId="0" applyFont="1" applyFill="1" applyBorder="1" applyAlignment="1">
      <alignment horizontal="left" vertical="center" wrapText="1"/>
    </xf>
    <xf numFmtId="0" fontId="33" fillId="0" borderId="40" xfId="0" applyFont="1" applyBorder="1" applyAlignment="1">
      <alignment horizontal="justify" vertical="center" wrapText="1"/>
    </xf>
    <xf numFmtId="0" fontId="33" fillId="0" borderId="26" xfId="0" applyFont="1" applyBorder="1" applyAlignment="1">
      <alignment horizontal="justify" vertical="center" wrapText="1"/>
    </xf>
    <xf numFmtId="0" fontId="32" fillId="0" borderId="22" xfId="0" applyFont="1" applyBorder="1" applyAlignment="1">
      <alignment horizontal="center" vertical="center"/>
    </xf>
    <xf numFmtId="0" fontId="34" fillId="0" borderId="28" xfId="41" applyNumberFormat="1" applyFont="1" applyFill="1" applyBorder="1" applyAlignment="1">
      <alignment horizontal="justify" vertical="center" wrapText="1"/>
    </xf>
    <xf numFmtId="0" fontId="34" fillId="0" borderId="11" xfId="0" applyFont="1" applyBorder="1" applyAlignment="1">
      <alignment horizontal="justify" vertical="center" wrapText="1"/>
    </xf>
    <xf numFmtId="0" fontId="34" fillId="0" borderId="29" xfId="0" applyFont="1" applyFill="1" applyBorder="1" applyAlignment="1">
      <alignment horizontal="justify" vertical="center" wrapText="1"/>
    </xf>
    <xf numFmtId="0" fontId="33" fillId="0" borderId="29" xfId="0" applyFont="1" applyBorder="1" applyAlignment="1">
      <alignment horizontal="justify" vertical="center" wrapText="1"/>
    </xf>
    <xf numFmtId="0" fontId="34" fillId="0" borderId="26" xfId="41" applyNumberFormat="1" applyFont="1" applyFill="1" applyBorder="1" applyAlignment="1">
      <alignment horizontal="justify" vertical="center" wrapText="1"/>
    </xf>
    <xf numFmtId="0" fontId="33" fillId="0" borderId="28" xfId="0" applyFont="1" applyBorder="1" applyAlignment="1">
      <alignment horizontal="justify" vertical="center" wrapText="1"/>
    </xf>
    <xf numFmtId="0" fontId="33" fillId="0" borderId="37" xfId="0" applyFont="1" applyBorder="1" applyAlignment="1">
      <alignment horizontal="justify" vertical="center" wrapText="1"/>
    </xf>
    <xf numFmtId="0" fontId="34" fillId="0" borderId="21" xfId="0" applyFont="1" applyFill="1" applyBorder="1" applyAlignment="1">
      <alignment horizontal="justify" vertical="center" wrapText="1"/>
    </xf>
    <xf numFmtId="0" fontId="34" fillId="0" borderId="20" xfId="0" applyFont="1" applyFill="1" applyBorder="1" applyAlignment="1">
      <alignment horizontal="justify" vertical="center" wrapText="1"/>
    </xf>
    <xf numFmtId="0" fontId="34" fillId="0" borderId="18" xfId="0" applyFont="1" applyFill="1" applyBorder="1" applyAlignment="1">
      <alignment horizontal="justify" vertical="center" wrapText="1"/>
    </xf>
    <xf numFmtId="0" fontId="34" fillId="0" borderId="29" xfId="0" applyFont="1" applyBorder="1" applyAlignment="1">
      <alignment horizontal="justify" vertical="center" wrapText="1"/>
    </xf>
    <xf numFmtId="0" fontId="33" fillId="42" borderId="30" xfId="0" applyFont="1" applyFill="1" applyBorder="1" applyAlignment="1">
      <alignment horizontal="justify" vertical="center" wrapText="1"/>
    </xf>
    <xf numFmtId="0" fontId="33" fillId="42" borderId="31" xfId="0" applyFont="1" applyFill="1" applyBorder="1" applyAlignment="1">
      <alignment horizontal="justify" vertical="center" wrapText="1"/>
    </xf>
    <xf numFmtId="0" fontId="33" fillId="0" borderId="29" xfId="0" applyFont="1" applyBorder="1" applyAlignment="1">
      <alignment horizontal="left" vertical="center" wrapText="1"/>
    </xf>
    <xf numFmtId="0" fontId="33" fillId="0" borderId="21" xfId="0" applyFont="1" applyBorder="1" applyAlignment="1">
      <alignment horizontal="left" vertical="center" wrapText="1"/>
    </xf>
    <xf numFmtId="0" fontId="33" fillId="0" borderId="48" xfId="0" applyFont="1" applyBorder="1" applyAlignment="1">
      <alignment horizontal="left" vertical="center" wrapText="1"/>
    </xf>
    <xf numFmtId="0" fontId="33" fillId="34" borderId="0" xfId="0" applyFont="1" applyFill="1" applyAlignment="1">
      <alignment horizontal="center"/>
    </xf>
    <xf numFmtId="0" fontId="32" fillId="34" borderId="0" xfId="0" applyFont="1" applyFill="1" applyAlignment="1">
      <alignment horizontal="center"/>
    </xf>
    <xf numFmtId="0" fontId="34" fillId="34" borderId="0" xfId="0" applyFont="1" applyFill="1" applyAlignment="1">
      <alignment horizontal="left" vertical="center"/>
    </xf>
    <xf numFmtId="0" fontId="34" fillId="34" borderId="0" xfId="0" applyFont="1" applyFill="1" applyAlignment="1">
      <alignment horizontal="left" vertical="center" wrapText="1"/>
    </xf>
    <xf numFmtId="0" fontId="33" fillId="40" borderId="30" xfId="0" applyFont="1" applyFill="1" applyBorder="1" applyAlignment="1">
      <alignment horizontal="justify" vertical="center" wrapText="1"/>
    </xf>
    <xf numFmtId="0" fontId="33" fillId="40" borderId="31" xfId="0" applyFont="1" applyFill="1" applyBorder="1" applyAlignment="1">
      <alignment horizontal="justify"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168" fontId="25" fillId="34" borderId="0" xfId="57" applyNumberFormat="1" applyFont="1" applyFill="1" applyAlignment="1">
      <alignment horizontal="center" vertical="center"/>
    </xf>
  </cellXfs>
  <cellStyles count="6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1" xfId="2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KPT04" xfId="49" xr:uid="{00000000-0005-0000-0000-00001F000000}"/>
    <cellStyle name="KPT04 2" xfId="43" xr:uid="{00000000-0005-0000-0000-000020000000}"/>
    <cellStyle name="Millares [0]" xfId="55" builtinId="6"/>
    <cellStyle name="Millares [0] 2" xfId="46" xr:uid="{00000000-0005-0000-0000-000022000000}"/>
    <cellStyle name="Millares 2" xfId="41" xr:uid="{00000000-0005-0000-0000-000023000000}"/>
    <cellStyle name="Millares 2 2" xfId="51" xr:uid="{00000000-0005-0000-0000-000024000000}"/>
    <cellStyle name="Millares 2 2 2 2" xfId="42" xr:uid="{00000000-0005-0000-0000-000025000000}"/>
    <cellStyle name="Millares 2 4" xfId="57" xr:uid="{00000000-0005-0000-0000-000026000000}"/>
    <cellStyle name="Moneda [0] 2" xfId="52" xr:uid="{00000000-0005-0000-0000-000027000000}"/>
    <cellStyle name="Moneda [0] 2 2" xfId="60" xr:uid="{00000000-0005-0000-0000-000028000000}"/>
    <cellStyle name="Moneda 2" xfId="50" xr:uid="{00000000-0005-0000-0000-000029000000}"/>
    <cellStyle name="Moneda 2 2" xfId="54" xr:uid="{00000000-0005-0000-0000-00002A000000}"/>
    <cellStyle name="Moneda 2 4" xfId="58" xr:uid="{00000000-0005-0000-0000-00002B000000}"/>
    <cellStyle name="Neutral" xfId="32" builtinId="28" customBuiltin="1"/>
    <cellStyle name="Normal" xfId="0" builtinId="0"/>
    <cellStyle name="Normal 2" xfId="44" xr:uid="{00000000-0005-0000-0000-00002E000000}"/>
    <cellStyle name="Normal 2 2" xfId="53" xr:uid="{00000000-0005-0000-0000-00002F000000}"/>
    <cellStyle name="Normal 2 2 2" xfId="61" xr:uid="{00000000-0005-0000-0000-000030000000}"/>
    <cellStyle name="Normal 2 3" xfId="59" xr:uid="{00000000-0005-0000-0000-000031000000}"/>
    <cellStyle name="Normal 3" xfId="48" xr:uid="{00000000-0005-0000-0000-000032000000}"/>
    <cellStyle name="Notas" xfId="33" builtinId="10" customBuiltin="1"/>
    <cellStyle name="Porcentaje" xfId="56" builtinId="5"/>
    <cellStyle name="Porcentaje 2 2" xfId="45" xr:uid="{00000000-0005-0000-0000-000035000000}"/>
    <cellStyle name="Porcentaje 2 2 2" xfId="47" xr:uid="{00000000-0005-0000-0000-000036000000}"/>
    <cellStyle name="Salida" xfId="34" builtinId="21" customBuiltin="1"/>
    <cellStyle name="Texto de advertencia" xfId="35" builtinId="11" customBuiltin="1"/>
    <cellStyle name="Texto explicativo" xfId="36" builtinId="53" customBuiltin="1"/>
    <cellStyle name="Título" xfId="37" builtinId="15" customBuiltin="1"/>
    <cellStyle name="Título 2" xfId="38" builtinId="17" customBuiltin="1"/>
    <cellStyle name="Título 3" xfId="39" builtinId="18" customBuiltin="1"/>
    <cellStyle name="Total" xfId="40" builtinId="25" customBuiltin="1"/>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s-CO" sz="1000" b="1"/>
              <a:t>Departamento del Quindío</a:t>
            </a:r>
          </a:p>
          <a:p>
            <a:pPr>
              <a:defRPr sz="1000" b="1" i="0" u="none" strike="noStrike" kern="1200" spc="0" baseline="0">
                <a:solidFill>
                  <a:schemeClr val="tx1">
                    <a:lumMod val="65000"/>
                    <a:lumOff val="35000"/>
                  </a:schemeClr>
                </a:solidFill>
                <a:latin typeface="+mn-lt"/>
                <a:ea typeface="+mn-ea"/>
                <a:cs typeface="+mn-cs"/>
              </a:defRPr>
            </a:pPr>
            <a:r>
              <a:rPr lang="es-CO" sz="1000" b="1"/>
              <a:t>Estado de ejecución gastos de inversión</a:t>
            </a:r>
          </a:p>
          <a:p>
            <a:pPr>
              <a:defRPr sz="1000" b="1" i="0" u="none" strike="noStrike" kern="1200" spc="0" baseline="0">
                <a:solidFill>
                  <a:schemeClr val="tx1">
                    <a:lumMod val="65000"/>
                    <a:lumOff val="35000"/>
                  </a:schemeClr>
                </a:solidFill>
                <a:latin typeface="+mn-lt"/>
                <a:ea typeface="+mn-ea"/>
                <a:cs typeface="+mn-cs"/>
              </a:defRPr>
            </a:pPr>
            <a:r>
              <a:rPr lang="es-CO" sz="1000" b="1" baseline="0"/>
              <a:t> a septiembre 30  de 2020</a:t>
            </a:r>
            <a:r>
              <a:rPr lang="es-CO" sz="1000" b="1"/>
              <a:t> </a:t>
            </a:r>
          </a:p>
        </c:rich>
      </c:tx>
      <c:overlay val="0"/>
      <c:spPr>
        <a:noFill/>
        <a:ln w="25400">
          <a:noFill/>
        </a:ln>
      </c:spPr>
    </c:title>
    <c:autoTitleDeleted val="0"/>
    <c:plotArea>
      <c:layout/>
      <c:barChart>
        <c:barDir val="col"/>
        <c:grouping val="clustered"/>
        <c:varyColors val="0"/>
        <c:ser>
          <c:idx val="0"/>
          <c:order val="0"/>
          <c:tx>
            <c:strRef>
              <c:f>UNIDADES!$N$29</c:f>
              <c:strCache>
                <c:ptCount val="1"/>
                <c:pt idx="0">
                  <c:v>Valor</c:v>
                </c:pt>
              </c:strCache>
            </c:strRef>
          </c:tx>
          <c:spPr>
            <a:solidFill>
              <a:srgbClr val="5B9BD5"/>
            </a:solidFill>
            <a:ln w="25400">
              <a:noFill/>
            </a:ln>
          </c:spPr>
          <c:invertIfNegative val="0"/>
          <c:dPt>
            <c:idx val="0"/>
            <c:invertIfNegative val="0"/>
            <c:bubble3D val="0"/>
            <c:spPr>
              <a:solidFill>
                <a:schemeClr val="accent5">
                  <a:lumMod val="50000"/>
                </a:schemeClr>
              </a:solidFill>
              <a:ln>
                <a:noFill/>
              </a:ln>
              <a:effectLst/>
            </c:spPr>
            <c:extLst>
              <c:ext xmlns:c16="http://schemas.microsoft.com/office/drawing/2014/chart" uri="{C3380CC4-5D6E-409C-BE32-E72D297353CC}">
                <c16:uniqueId val="{00000001-6E13-4DDA-BFC6-1A55103DB8FA}"/>
              </c:ext>
            </c:extLst>
          </c:dPt>
          <c:dPt>
            <c:idx val="1"/>
            <c:invertIfNegative val="0"/>
            <c:bubble3D val="0"/>
            <c:spPr>
              <a:solidFill>
                <a:srgbClr val="92D050"/>
              </a:solidFill>
              <a:ln w="25400">
                <a:noFill/>
              </a:ln>
            </c:spPr>
            <c:extLst>
              <c:ext xmlns:c16="http://schemas.microsoft.com/office/drawing/2014/chart" uri="{C3380CC4-5D6E-409C-BE32-E72D297353CC}">
                <c16:uniqueId val="{00000003-6E13-4DDA-BFC6-1A55103DB8FA}"/>
              </c:ext>
            </c:extLst>
          </c:dPt>
          <c:dPt>
            <c:idx val="2"/>
            <c:invertIfNegative val="0"/>
            <c:bubble3D val="0"/>
            <c:spPr>
              <a:solidFill>
                <a:srgbClr val="0070C0"/>
              </a:solidFill>
              <a:ln w="25400">
                <a:noFill/>
              </a:ln>
            </c:spPr>
            <c:extLst>
              <c:ext xmlns:c16="http://schemas.microsoft.com/office/drawing/2014/chart" uri="{C3380CC4-5D6E-409C-BE32-E72D297353CC}">
                <c16:uniqueId val="{00000005-6E13-4DDA-BFC6-1A55103DB8FA}"/>
              </c:ext>
            </c:extLst>
          </c:dPt>
          <c:dPt>
            <c:idx val="3"/>
            <c:invertIfNegative val="0"/>
            <c:bubble3D val="0"/>
            <c:spPr>
              <a:solidFill>
                <a:srgbClr val="FFC000"/>
              </a:solidFill>
              <a:ln w="25400">
                <a:noFill/>
              </a:ln>
            </c:spPr>
            <c:extLst>
              <c:ext xmlns:c16="http://schemas.microsoft.com/office/drawing/2014/chart" uri="{C3380CC4-5D6E-409C-BE32-E72D297353CC}">
                <c16:uniqueId val="{00000007-6E13-4DDA-BFC6-1A55103DB8FA}"/>
              </c:ext>
            </c:extLst>
          </c:dPt>
          <c:cat>
            <c:strRef>
              <c:f>UNIDADES!$M$30:$M$35</c:f>
              <c:strCache>
                <c:ptCount val="6"/>
                <c:pt idx="0">
                  <c:v>Definitivo</c:v>
                </c:pt>
                <c:pt idx="1">
                  <c:v>Certificados</c:v>
                </c:pt>
                <c:pt idx="2">
                  <c:v>Compromisos</c:v>
                </c:pt>
                <c:pt idx="3">
                  <c:v>Obligaciones</c:v>
                </c:pt>
                <c:pt idx="4">
                  <c:v>Pagos</c:v>
                </c:pt>
                <c:pt idx="5">
                  <c:v> Disponible </c:v>
                </c:pt>
              </c:strCache>
            </c:strRef>
          </c:cat>
          <c:val>
            <c:numRef>
              <c:f>UNIDADES!$N$30:$N$35</c:f>
              <c:numCache>
                <c:formatCode>_(* #,##0_);_(* \(#,##0\);_(* "-"??_);_(@_)</c:formatCode>
                <c:ptCount val="6"/>
                <c:pt idx="0">
                  <c:v>253814181153.08005</c:v>
                </c:pt>
                <c:pt idx="1">
                  <c:v>172286108441.48999</c:v>
                </c:pt>
                <c:pt idx="2">
                  <c:v>166597404958.89999</c:v>
                </c:pt>
                <c:pt idx="3">
                  <c:v>140603579492.12003</c:v>
                </c:pt>
                <c:pt idx="4">
                  <c:v>140577467492.12003</c:v>
                </c:pt>
                <c:pt idx="5">
                  <c:v>81528072711.590012</c:v>
                </c:pt>
              </c:numCache>
            </c:numRef>
          </c:val>
          <c:extLst>
            <c:ext xmlns:c16="http://schemas.microsoft.com/office/drawing/2014/chart" uri="{C3380CC4-5D6E-409C-BE32-E72D297353CC}">
              <c16:uniqueId val="{00000008-6E13-4DDA-BFC6-1A55103DB8FA}"/>
            </c:ext>
          </c:extLst>
        </c:ser>
        <c:ser>
          <c:idx val="1"/>
          <c:order val="1"/>
          <c:tx>
            <c:strRef>
              <c:f>UNIDADES!$O$29</c:f>
              <c:strCache>
                <c:ptCount val="1"/>
                <c:pt idx="0">
                  <c:v>%</c:v>
                </c:pt>
              </c:strCache>
            </c:strRef>
          </c:tx>
          <c:spPr>
            <a:solidFill>
              <a:srgbClr val="ED7D31"/>
            </a:solidFill>
            <a:ln w="25400">
              <a:noFill/>
            </a:ln>
          </c:spPr>
          <c:invertIfNegative val="0"/>
          <c:cat>
            <c:strRef>
              <c:f>UNIDADES!$M$30:$M$35</c:f>
              <c:strCache>
                <c:ptCount val="6"/>
                <c:pt idx="0">
                  <c:v>Definitivo</c:v>
                </c:pt>
                <c:pt idx="1">
                  <c:v>Certificados</c:v>
                </c:pt>
                <c:pt idx="2">
                  <c:v>Compromisos</c:v>
                </c:pt>
                <c:pt idx="3">
                  <c:v>Obligaciones</c:v>
                </c:pt>
                <c:pt idx="4">
                  <c:v>Pagos</c:v>
                </c:pt>
                <c:pt idx="5">
                  <c:v> Disponible </c:v>
                </c:pt>
              </c:strCache>
            </c:strRef>
          </c:cat>
          <c:val>
            <c:numRef>
              <c:f>UNIDADES!$O$30:$O$35</c:f>
              <c:numCache>
                <c:formatCode>0.00%</c:formatCode>
                <c:ptCount val="6"/>
                <c:pt idx="0" formatCode="0%">
                  <c:v>1</c:v>
                </c:pt>
                <c:pt idx="1">
                  <c:v>0.67878834688744616</c:v>
                </c:pt>
                <c:pt idx="2">
                  <c:v>0.65637547989653899</c:v>
                </c:pt>
                <c:pt idx="3">
                  <c:v>0.84397220669077821</c:v>
                </c:pt>
                <c:pt idx="4">
                  <c:v>0.84381546955548825</c:v>
                </c:pt>
                <c:pt idx="5">
                  <c:v>0.32121165311255367</c:v>
                </c:pt>
              </c:numCache>
            </c:numRef>
          </c:val>
          <c:extLst>
            <c:ext xmlns:c16="http://schemas.microsoft.com/office/drawing/2014/chart" uri="{C3380CC4-5D6E-409C-BE32-E72D297353CC}">
              <c16:uniqueId val="{00000009-6E13-4DDA-BFC6-1A55103DB8FA}"/>
            </c:ext>
          </c:extLst>
        </c:ser>
        <c:dLbls>
          <c:showLegendKey val="0"/>
          <c:showVal val="0"/>
          <c:showCatName val="0"/>
          <c:showSerName val="0"/>
          <c:showPercent val="0"/>
          <c:showBubbleSize val="0"/>
        </c:dLbls>
        <c:gapWidth val="219"/>
        <c:overlap val="-27"/>
        <c:axId val="726297120"/>
        <c:axId val="726297904"/>
      </c:barChart>
      <c:catAx>
        <c:axId val="72629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6297904"/>
        <c:crosses val="autoZero"/>
        <c:auto val="1"/>
        <c:lblAlgn val="ctr"/>
        <c:lblOffset val="100"/>
        <c:noMultiLvlLbl val="0"/>
      </c:catAx>
      <c:valAx>
        <c:axId val="726297904"/>
        <c:scaling>
          <c:orientation val="minMax"/>
        </c:scaling>
        <c:delete val="0"/>
        <c:axPos val="l"/>
        <c:numFmt formatCode="_(* #,##0_);_(* \(#,##0\);_(* &quot;-&quot;??_);_(@_)"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62971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w="25400">
          <a:noFill/>
        </a:ln>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s-CO"/>
              <a:t>Departamento Quindío</a:t>
            </a:r>
          </a:p>
          <a:p>
            <a:pPr>
              <a:defRPr/>
            </a:pPr>
            <a:r>
              <a:rPr lang="es-CO"/>
              <a:t>avance porcentaje de ejecución gastos de inversión por unidad ejecutora</a:t>
            </a:r>
          </a:p>
          <a:p>
            <a:pPr>
              <a:defRPr/>
            </a:pPr>
            <a:r>
              <a:rPr lang="es-CO"/>
              <a:t>a septiembre 30</a:t>
            </a:r>
            <a:r>
              <a:rPr lang="es-CO" baseline="0"/>
              <a:t>de 2020</a:t>
            </a:r>
            <a:r>
              <a:rPr lang="es-CO"/>
              <a:t> </a:t>
            </a:r>
          </a:p>
        </c:rich>
      </c:tx>
      <c:layout>
        <c:manualLayout>
          <c:xMode val="edge"/>
          <c:yMode val="edge"/>
          <c:x val="0.24296631419714565"/>
          <c:y val="0"/>
        </c:manualLayout>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UNIDADES!$D$2</c:f>
              <c:strCache>
                <c:ptCount val="1"/>
                <c:pt idx="0">
                  <c:v> % PD </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UNIDADES!$D$3:$D$22</c15:sqref>
                  </c15:fullRef>
                </c:ext>
              </c:extLst>
              <c:f>(UNIDADES!$D$3:$D$15,UNIDADES!$D$17:$D$19,UNIDADES!$D$22)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47E1-4C68-AFB7-BEDE79BC0B55}"/>
            </c:ext>
          </c:extLst>
        </c:ser>
        <c:ser>
          <c:idx val="1"/>
          <c:order val="1"/>
          <c:tx>
            <c:strRef>
              <c:f>UNIDADES!$F$2</c:f>
              <c:strCache>
                <c:ptCount val="1"/>
                <c:pt idx="0">
                  <c:v> % CDP </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UNIDADES!$F$3:$F$22</c15:sqref>
                  </c15:fullRef>
                </c:ext>
              </c:extLst>
              <c:f>(UNIDADES!$F$3:$F$15,UNIDADES!$F$17:$F$19,UNIDADES!$F$22)</c:f>
              <c:numCache>
                <c:formatCode>0%</c:formatCode>
                <c:ptCount val="17"/>
                <c:pt idx="0">
                  <c:v>0.26551429061318477</c:v>
                </c:pt>
                <c:pt idx="1">
                  <c:v>0.68093110680816671</c:v>
                </c:pt>
                <c:pt idx="2">
                  <c:v>0.64224838162804476</c:v>
                </c:pt>
                <c:pt idx="3">
                  <c:v>0.20768324738595764</c:v>
                </c:pt>
                <c:pt idx="4">
                  <c:v>0.28258512332368257</c:v>
                </c:pt>
                <c:pt idx="5">
                  <c:v>0.47644563438109228</c:v>
                </c:pt>
                <c:pt idx="6">
                  <c:v>0.78861706660490449</c:v>
                </c:pt>
                <c:pt idx="7">
                  <c:v>0.43721349210538007</c:v>
                </c:pt>
                <c:pt idx="8">
                  <c:v>0.61064993170365178</c:v>
                </c:pt>
                <c:pt idx="9">
                  <c:v>0.72088029053873226</c:v>
                </c:pt>
                <c:pt idx="10">
                  <c:v>0.62263611151170573</c:v>
                </c:pt>
                <c:pt idx="11">
                  <c:v>0.7311343590242172</c:v>
                </c:pt>
                <c:pt idx="12">
                  <c:v>0.55807620025755078</c:v>
                </c:pt>
                <c:pt idx="13">
                  <c:v>0</c:v>
                </c:pt>
                <c:pt idx="14">
                  <c:v>0</c:v>
                </c:pt>
                <c:pt idx="15">
                  <c:v>0</c:v>
                </c:pt>
                <c:pt idx="16" formatCode="0.00%">
                  <c:v>0.67878834688744616</c:v>
                </c:pt>
              </c:numCache>
            </c:numRef>
          </c:val>
          <c:extLst>
            <c:ext xmlns:c16="http://schemas.microsoft.com/office/drawing/2014/chart" uri="{C3380CC4-5D6E-409C-BE32-E72D297353CC}">
              <c16:uniqueId val="{00000001-47E1-4C68-AFB7-BEDE79BC0B55}"/>
            </c:ext>
          </c:extLst>
        </c:ser>
        <c:ser>
          <c:idx val="2"/>
          <c:order val="2"/>
          <c:tx>
            <c:strRef>
              <c:f>UNIDADES!$H$2</c:f>
              <c:strCache>
                <c:ptCount val="1"/>
                <c:pt idx="0">
                  <c:v> % RP </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UNIDADES!$H$3:$H$22</c15:sqref>
                  </c15:fullRef>
                </c:ext>
              </c:extLst>
              <c:f>(UNIDADES!$H$3:$H$15,UNIDADES!$H$17:$H$19,UNIDADES!$H$22)</c:f>
              <c:numCache>
                <c:formatCode>0.00%</c:formatCode>
                <c:ptCount val="17"/>
                <c:pt idx="0">
                  <c:v>0.25838107086536788</c:v>
                </c:pt>
                <c:pt idx="1">
                  <c:v>0.64108626621821707</c:v>
                </c:pt>
                <c:pt idx="2">
                  <c:v>0.44548583388361257</c:v>
                </c:pt>
                <c:pt idx="3">
                  <c:v>0.16830877910854186</c:v>
                </c:pt>
                <c:pt idx="4">
                  <c:v>0.16553708210485474</c:v>
                </c:pt>
                <c:pt idx="5">
                  <c:v>0.19335691814949871</c:v>
                </c:pt>
                <c:pt idx="6">
                  <c:v>0.59582971890493264</c:v>
                </c:pt>
                <c:pt idx="7">
                  <c:v>0.42498041994859037</c:v>
                </c:pt>
                <c:pt idx="8">
                  <c:v>0.3783442951924717</c:v>
                </c:pt>
                <c:pt idx="9">
                  <c:v>0.71108327417135109</c:v>
                </c:pt>
                <c:pt idx="10">
                  <c:v>0.30181821219708188</c:v>
                </c:pt>
                <c:pt idx="11">
                  <c:v>0.68561576972064542</c:v>
                </c:pt>
                <c:pt idx="12">
                  <c:v>0.40268494750231082</c:v>
                </c:pt>
                <c:pt idx="13">
                  <c:v>0.36429582270832528</c:v>
                </c:pt>
                <c:pt idx="14">
                  <c:v>0.58768315711800556</c:v>
                </c:pt>
                <c:pt idx="15">
                  <c:v>0.46734579439252338</c:v>
                </c:pt>
                <c:pt idx="16">
                  <c:v>0.65637547989653899</c:v>
                </c:pt>
              </c:numCache>
            </c:numRef>
          </c:val>
          <c:extLst>
            <c:ext xmlns:c16="http://schemas.microsoft.com/office/drawing/2014/chart" uri="{C3380CC4-5D6E-409C-BE32-E72D297353CC}">
              <c16:uniqueId val="{00000002-47E1-4C68-AFB7-BEDE79BC0B55}"/>
            </c:ext>
          </c:extLst>
        </c:ser>
        <c:ser>
          <c:idx val="3"/>
          <c:order val="3"/>
          <c:tx>
            <c:strRef>
              <c:f>UNIDADES!$N$2</c:f>
              <c:strCache>
                <c:ptCount val="1"/>
                <c:pt idx="0">
                  <c:v> % SALDO DISP. </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UNIDADES!$B$3:$B$22</c15:sqref>
                  </c15:fullRef>
                </c:ext>
              </c:extLst>
              <c:f>(UNIDADES!$B$3:$B$15,UNIDADES!$B$17:$B$19,UNIDADES!$B$22)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Oficina Privada</c:v>
                </c:pt>
                <c:pt idx="9">
                  <c:v>Educación</c:v>
                </c:pt>
                <c:pt idx="10">
                  <c:v>Familia</c:v>
                </c:pt>
                <c:pt idx="11">
                  <c:v>Salud</c:v>
                </c:pt>
                <c:pt idx="12">
                  <c:v>Tecnología de la Información y las Comunicaciones</c:v>
                </c:pt>
                <c:pt idx="13">
                  <c:v>Indeportes</c:v>
                </c:pt>
                <c:pt idx="14">
                  <c:v>Promotora</c:v>
                </c:pt>
                <c:pt idx="15">
                  <c:v>IDTQ</c:v>
                </c:pt>
                <c:pt idx="16">
                  <c:v>TOTAL INVERSION</c:v>
                </c:pt>
              </c:strCache>
            </c:strRef>
          </c:cat>
          <c:val>
            <c:numRef>
              <c:extLst>
                <c:ext xmlns:c15="http://schemas.microsoft.com/office/drawing/2012/chart" uri="{02D57815-91ED-43cb-92C2-25804820EDAC}">
                  <c15:fullRef>
                    <c15:sqref>UNIDADES!$N$3:$N$22</c15:sqref>
                  </c15:fullRef>
                </c:ext>
              </c:extLst>
              <c:f>(UNIDADES!$N$3:$N$15,UNIDADES!$N$17:$N$19,UNIDADES!$N$22)</c:f>
              <c:numCache>
                <c:formatCode>0.00%</c:formatCode>
                <c:ptCount val="17"/>
                <c:pt idx="0">
                  <c:v>0.73448570938681523</c:v>
                </c:pt>
                <c:pt idx="1">
                  <c:v>0.31906889319183324</c:v>
                </c:pt>
                <c:pt idx="2">
                  <c:v>0.35775161837195518</c:v>
                </c:pt>
                <c:pt idx="3">
                  <c:v>0.79231675261404233</c:v>
                </c:pt>
                <c:pt idx="4">
                  <c:v>0.71741487667631743</c:v>
                </c:pt>
                <c:pt idx="5">
                  <c:v>0.52355436561890767</c:v>
                </c:pt>
                <c:pt idx="6">
                  <c:v>0.21138293339509548</c:v>
                </c:pt>
                <c:pt idx="7">
                  <c:v>0.56278650789461993</c:v>
                </c:pt>
                <c:pt idx="8">
                  <c:v>0.38935006829634822</c:v>
                </c:pt>
                <c:pt idx="9">
                  <c:v>0.27911970946126774</c:v>
                </c:pt>
                <c:pt idx="10">
                  <c:v>0.37736388848829433</c:v>
                </c:pt>
                <c:pt idx="11">
                  <c:v>0.26886564097578275</c:v>
                </c:pt>
                <c:pt idx="12">
                  <c:v>0.44192379974244927</c:v>
                </c:pt>
                <c:pt idx="13">
                  <c:v>1</c:v>
                </c:pt>
                <c:pt idx="14">
                  <c:v>1</c:v>
                </c:pt>
                <c:pt idx="15">
                  <c:v>1</c:v>
                </c:pt>
                <c:pt idx="16">
                  <c:v>0.32121165311255367</c:v>
                </c:pt>
              </c:numCache>
            </c:numRef>
          </c:val>
          <c:extLst>
            <c:ext xmlns:c16="http://schemas.microsoft.com/office/drawing/2014/chart" uri="{C3380CC4-5D6E-409C-BE32-E72D297353CC}">
              <c16:uniqueId val="{00000003-47E1-4C68-AFB7-BEDE79BC0B55}"/>
            </c:ext>
          </c:extLst>
        </c:ser>
        <c:dLbls>
          <c:dLblPos val="outEnd"/>
          <c:showLegendKey val="0"/>
          <c:showVal val="1"/>
          <c:showCatName val="0"/>
          <c:showSerName val="0"/>
          <c:showPercent val="0"/>
          <c:showBubbleSize val="0"/>
        </c:dLbls>
        <c:gapWidth val="444"/>
        <c:overlap val="-90"/>
        <c:axId val="726455808"/>
        <c:axId val="726456200"/>
      </c:barChart>
      <c:catAx>
        <c:axId val="72645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726456200"/>
        <c:crosses val="autoZero"/>
        <c:auto val="1"/>
        <c:lblAlgn val="ctr"/>
        <c:lblOffset val="100"/>
        <c:noMultiLvlLbl val="0"/>
      </c:catAx>
      <c:valAx>
        <c:axId val="726456200"/>
        <c:scaling>
          <c:orientation val="minMax"/>
        </c:scaling>
        <c:delete val="1"/>
        <c:axPos val="l"/>
        <c:numFmt formatCode="0%" sourceLinked="1"/>
        <c:majorTickMark val="none"/>
        <c:minorTickMark val="none"/>
        <c:tickLblPos val="nextTo"/>
        <c:crossAx val="726455808"/>
        <c:crosses val="autoZero"/>
        <c:crossBetween val="between"/>
      </c:valAx>
      <c:spPr>
        <a:noFill/>
        <a:ln>
          <a:noFill/>
        </a:ln>
        <a:effectLst/>
      </c:spPr>
    </c:plotArea>
    <c:legend>
      <c:legendPos val="t"/>
      <c:layout>
        <c:manualLayout>
          <c:xMode val="edge"/>
          <c:yMode val="edge"/>
          <c:x val="0.37767004375353003"/>
          <c:y val="0.89841192665647163"/>
          <c:w val="0.14951344741371725"/>
          <c:h val="4.61474062459222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s-CO" sz="1100"/>
              <a:t>Departamento</a:t>
            </a:r>
            <a:r>
              <a:rPr lang="es-CO" sz="1100" baseline="0"/>
              <a:t> Quindío</a:t>
            </a:r>
          </a:p>
          <a:p>
            <a:pPr>
              <a:defRPr sz="1100"/>
            </a:pPr>
            <a:r>
              <a:rPr lang="es-CO" sz="1100" baseline="0"/>
              <a:t>Avance Ejecución Gastos Inversión</a:t>
            </a:r>
          </a:p>
          <a:p>
            <a:pPr>
              <a:defRPr sz="1100"/>
            </a:pPr>
            <a:r>
              <a:rPr lang="es-CO" sz="1100" baseline="0"/>
              <a:t>Sector Central a septiembre 30 2020</a:t>
            </a:r>
            <a:endParaRPr lang="es-CO" sz="1100"/>
          </a:p>
        </c:rich>
      </c:tx>
      <c:layout>
        <c:manualLayout>
          <c:xMode val="edge"/>
          <c:yMode val="edge"/>
          <c:x val="0.38225537996805209"/>
          <c:y val="8.6644376548000709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UNIDADES!$C$29</c:f>
              <c:strCache>
                <c:ptCount val="1"/>
                <c:pt idx="0">
                  <c:v>Valor</c:v>
                </c:pt>
              </c:strCache>
            </c:strRef>
          </c:tx>
          <c:spPr>
            <a:solidFill>
              <a:srgbClr val="002060"/>
            </a:solidFill>
            <a:ln>
              <a:noFill/>
            </a:ln>
            <a:effectLst/>
          </c:spPr>
          <c:invertIfNegative val="0"/>
          <c:dPt>
            <c:idx val="1"/>
            <c:invertIfNegative val="0"/>
            <c:bubble3D val="0"/>
            <c:spPr>
              <a:solidFill>
                <a:schemeClr val="accent2">
                  <a:lumMod val="50000"/>
                </a:schemeClr>
              </a:solidFill>
              <a:ln>
                <a:noFill/>
              </a:ln>
              <a:effectLst/>
            </c:spPr>
            <c:extLst>
              <c:ext xmlns:c16="http://schemas.microsoft.com/office/drawing/2014/chart" uri="{C3380CC4-5D6E-409C-BE32-E72D297353CC}">
                <c16:uniqueId val="{00000003-3960-46AD-8AEB-A9264092E8AD}"/>
              </c:ext>
            </c:extLst>
          </c:dPt>
          <c:dPt>
            <c:idx val="2"/>
            <c:invertIfNegative val="0"/>
            <c:bubble3D val="0"/>
            <c:spPr>
              <a:solidFill>
                <a:schemeClr val="accent4">
                  <a:lumMod val="50000"/>
                </a:schemeClr>
              </a:solidFill>
              <a:ln>
                <a:noFill/>
              </a:ln>
              <a:effectLst/>
            </c:spPr>
            <c:extLst>
              <c:ext xmlns:c16="http://schemas.microsoft.com/office/drawing/2014/chart" uri="{C3380CC4-5D6E-409C-BE32-E72D297353CC}">
                <c16:uniqueId val="{00000006-3960-46AD-8AEB-A9264092E8AD}"/>
              </c:ext>
            </c:extLst>
          </c:dPt>
          <c:dPt>
            <c:idx val="3"/>
            <c:invertIfNegative val="0"/>
            <c:bubble3D val="0"/>
            <c:spPr>
              <a:solidFill>
                <a:schemeClr val="accent6">
                  <a:lumMod val="50000"/>
                </a:schemeClr>
              </a:solidFill>
              <a:ln>
                <a:noFill/>
              </a:ln>
              <a:effectLst/>
            </c:spPr>
            <c:extLst>
              <c:ext xmlns:c16="http://schemas.microsoft.com/office/drawing/2014/chart" uri="{C3380CC4-5D6E-409C-BE32-E72D297353CC}">
                <c16:uniqueId val="{00000009-3960-46AD-8AEB-A9264092E8AD}"/>
              </c:ext>
            </c:extLst>
          </c:dPt>
          <c:dPt>
            <c:idx val="4"/>
            <c:invertIfNegative val="0"/>
            <c:bubble3D val="0"/>
            <c:spPr>
              <a:solidFill>
                <a:schemeClr val="bg2">
                  <a:lumMod val="50000"/>
                </a:schemeClr>
              </a:solidFill>
              <a:ln>
                <a:noFill/>
              </a:ln>
              <a:effectLst/>
            </c:spPr>
            <c:extLst>
              <c:ext xmlns:c16="http://schemas.microsoft.com/office/drawing/2014/chart" uri="{C3380CC4-5D6E-409C-BE32-E72D297353CC}">
                <c16:uniqueId val="{0000000E-3960-46AD-8AEB-A9264092E8AD}"/>
              </c:ext>
            </c:extLst>
          </c:dPt>
          <c:dPt>
            <c:idx val="5"/>
            <c:invertIfNegative val="0"/>
            <c:bubble3D val="0"/>
            <c:spPr>
              <a:solidFill>
                <a:srgbClr val="C00000"/>
              </a:solidFill>
              <a:ln>
                <a:noFill/>
              </a:ln>
              <a:effectLst/>
            </c:spPr>
            <c:extLst>
              <c:ext xmlns:c16="http://schemas.microsoft.com/office/drawing/2014/chart" uri="{C3380CC4-5D6E-409C-BE32-E72D297353CC}">
                <c16:uniqueId val="{00000012-3960-46AD-8AEB-A9264092E8AD}"/>
              </c:ext>
            </c:extLst>
          </c:dPt>
          <c:cat>
            <c:strRef>
              <c:f>UNIDADES!$B$30:$B$35</c:f>
              <c:strCache>
                <c:ptCount val="6"/>
                <c:pt idx="0">
                  <c:v>Definitivo</c:v>
                </c:pt>
                <c:pt idx="1">
                  <c:v>Certificados</c:v>
                </c:pt>
                <c:pt idx="2">
                  <c:v>Compromisos</c:v>
                </c:pt>
                <c:pt idx="3">
                  <c:v>Obligaciones</c:v>
                </c:pt>
                <c:pt idx="4">
                  <c:v>Pagos</c:v>
                </c:pt>
                <c:pt idx="5">
                  <c:v> Disponible </c:v>
                </c:pt>
              </c:strCache>
            </c:strRef>
          </c:cat>
          <c:val>
            <c:numRef>
              <c:f>UNIDADES!$C$30:$C$35</c:f>
              <c:numCache>
                <c:formatCode>_(* #,##0_);_(* \(#,##0\);_(* "-"??_);_(@_)</c:formatCode>
                <c:ptCount val="6"/>
                <c:pt idx="0">
                  <c:v>247462173738.30005</c:v>
                </c:pt>
                <c:pt idx="1">
                  <c:v>172286108441.48999</c:v>
                </c:pt>
                <c:pt idx="2">
                  <c:v>163847147009.66</c:v>
                </c:pt>
                <c:pt idx="3">
                  <c:v>138660460653.83002</c:v>
                </c:pt>
                <c:pt idx="4">
                  <c:v>138660460653.83002</c:v>
                </c:pt>
                <c:pt idx="5">
                  <c:v>75176065296.810013</c:v>
                </c:pt>
              </c:numCache>
            </c:numRef>
          </c:val>
          <c:extLst>
            <c:ext xmlns:c16="http://schemas.microsoft.com/office/drawing/2014/chart" uri="{C3380CC4-5D6E-409C-BE32-E72D297353CC}">
              <c16:uniqueId val="{00000000-3960-46AD-8AEB-A9264092E8AD}"/>
            </c:ext>
          </c:extLst>
        </c:ser>
        <c:ser>
          <c:idx val="1"/>
          <c:order val="1"/>
          <c:tx>
            <c:strRef>
              <c:f>UNIDADES!$D$29</c:f>
              <c:strCache>
                <c:ptCount val="1"/>
                <c:pt idx="0">
                  <c:v>%</c:v>
                </c:pt>
              </c:strCache>
            </c:strRef>
          </c:tx>
          <c:spPr>
            <a:solidFill>
              <a:schemeClr val="accent2"/>
            </a:solidFill>
            <a:ln>
              <a:noFill/>
            </a:ln>
            <a:effectLst/>
          </c:spPr>
          <c:invertIfNegative val="0"/>
          <c:cat>
            <c:strRef>
              <c:f>UNIDADES!$B$30:$B$35</c:f>
              <c:strCache>
                <c:ptCount val="6"/>
                <c:pt idx="0">
                  <c:v>Definitivo</c:v>
                </c:pt>
                <c:pt idx="1">
                  <c:v>Certificados</c:v>
                </c:pt>
                <c:pt idx="2">
                  <c:v>Compromisos</c:v>
                </c:pt>
                <c:pt idx="3">
                  <c:v>Obligaciones</c:v>
                </c:pt>
                <c:pt idx="4">
                  <c:v>Pagos</c:v>
                </c:pt>
                <c:pt idx="5">
                  <c:v> Disponible </c:v>
                </c:pt>
              </c:strCache>
            </c:strRef>
          </c:cat>
          <c:val>
            <c:numRef>
              <c:f>UNIDADES!$D$30:$D$35</c:f>
              <c:numCache>
                <c:formatCode>0.00%</c:formatCode>
                <c:ptCount val="6"/>
                <c:pt idx="0" formatCode="0%">
                  <c:v>1</c:v>
                </c:pt>
                <c:pt idx="1">
                  <c:v>0.69621189306972064</c:v>
                </c:pt>
                <c:pt idx="2">
                  <c:v>0.6621098672758533</c:v>
                </c:pt>
                <c:pt idx="3">
                  <c:v>0.84627937186880009</c:v>
                </c:pt>
                <c:pt idx="4">
                  <c:v>0.84627937186880009</c:v>
                </c:pt>
                <c:pt idx="5">
                  <c:v>0.30378810693027913</c:v>
                </c:pt>
              </c:numCache>
            </c:numRef>
          </c:val>
          <c:extLst>
            <c:ext xmlns:c16="http://schemas.microsoft.com/office/drawing/2014/chart" uri="{C3380CC4-5D6E-409C-BE32-E72D297353CC}">
              <c16:uniqueId val="{00000001-3960-46AD-8AEB-A9264092E8AD}"/>
            </c:ext>
          </c:extLst>
        </c:ser>
        <c:dLbls>
          <c:showLegendKey val="0"/>
          <c:showVal val="0"/>
          <c:showCatName val="0"/>
          <c:showSerName val="0"/>
          <c:showPercent val="0"/>
          <c:showBubbleSize val="0"/>
        </c:dLbls>
        <c:gapWidth val="219"/>
        <c:overlap val="-27"/>
        <c:axId val="726456984"/>
        <c:axId val="348020184"/>
      </c:barChart>
      <c:catAx>
        <c:axId val="726456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8020184"/>
        <c:crosses val="autoZero"/>
        <c:auto val="1"/>
        <c:lblAlgn val="ctr"/>
        <c:lblOffset val="100"/>
        <c:noMultiLvlLbl val="0"/>
      </c:catAx>
      <c:valAx>
        <c:axId val="348020184"/>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2645698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730250</xdr:colOff>
      <xdr:row>0</xdr:row>
      <xdr:rowOff>0</xdr:rowOff>
    </xdr:from>
    <xdr:to>
      <xdr:col>5</xdr:col>
      <xdr:colOff>238125</xdr:colOff>
      <xdr:row>3</xdr:row>
      <xdr:rowOff>301624</xdr:rowOff>
    </xdr:to>
    <xdr:pic>
      <xdr:nvPicPr>
        <xdr:cNvPr id="2" name="Imagen 1">
          <a:extLst>
            <a:ext uri="{FF2B5EF4-FFF2-40B4-BE49-F238E27FC236}">
              <a16:creationId xmlns:a16="http://schemas.microsoft.com/office/drawing/2014/main" id="{D3A3E867-7E82-46EF-A99C-64353A5E8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996" t="12991" r="67844" b="74319"/>
        <a:stretch>
          <a:fillRect/>
        </a:stretch>
      </xdr:blipFill>
      <xdr:spPr bwMode="auto">
        <a:xfrm>
          <a:off x="2092325" y="0"/>
          <a:ext cx="1317625" cy="121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689881</xdr:colOff>
      <xdr:row>22</xdr:row>
      <xdr:rowOff>133349</xdr:rowOff>
    </xdr:from>
    <xdr:to>
      <xdr:col>27</xdr:col>
      <xdr:colOff>191860</xdr:colOff>
      <xdr:row>43</xdr:row>
      <xdr:rowOff>55788</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54428</xdr:colOff>
      <xdr:row>48</xdr:row>
      <xdr:rowOff>50346</xdr:rowOff>
    </xdr:from>
    <xdr:to>
      <xdr:col>22</xdr:col>
      <xdr:colOff>598714</xdr:colOff>
      <xdr:row>76</xdr:row>
      <xdr:rowOff>122464</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952499</xdr:colOff>
      <xdr:row>27</xdr:row>
      <xdr:rowOff>77560</xdr:rowOff>
    </xdr:from>
    <xdr:to>
      <xdr:col>11</xdr:col>
      <xdr:colOff>163286</xdr:colOff>
      <xdr:row>46</xdr:row>
      <xdr:rowOff>136071</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11"/>
  <sheetViews>
    <sheetView showGridLines="0" tabSelected="1" zoomScale="60" zoomScaleNormal="60" workbookViewId="0">
      <selection sqref="A1:BG4"/>
    </sheetView>
  </sheetViews>
  <sheetFormatPr baseColWidth="10" defaultColWidth="11.42578125" defaultRowHeight="15" x14ac:dyDescent="0.2"/>
  <cols>
    <col min="1" max="1" width="17.42578125" style="151" customWidth="1"/>
    <col min="2" max="2" width="19" style="182" customWidth="1"/>
    <col min="3" max="3" width="20.140625" style="182" customWidth="1"/>
    <col min="4" max="4" width="16.140625" style="183" customWidth="1"/>
    <col min="5" max="5" width="18.7109375" style="184" customWidth="1"/>
    <col min="6" max="6" width="49.7109375" style="185" customWidth="1"/>
    <col min="7" max="7" width="18.5703125" style="186" customWidth="1"/>
    <col min="8" max="8" width="23.140625" style="184" customWidth="1"/>
    <col min="9" max="9" width="63.42578125" style="185" customWidth="1"/>
    <col min="10" max="10" width="24.140625" style="186" customWidth="1"/>
    <col min="11" max="11" width="23.85546875" style="186" customWidth="1"/>
    <col min="12" max="12" width="33" style="185" customWidth="1"/>
    <col min="13" max="13" width="11.42578125" style="184" customWidth="1"/>
    <col min="14" max="14" width="16.7109375" style="184" customWidth="1"/>
    <col min="15" max="15" width="13.5703125" style="186" customWidth="1"/>
    <col min="16" max="16" width="13.85546875" style="186" customWidth="1"/>
    <col min="17" max="17" width="26.140625" style="184" bestFit="1" customWidth="1"/>
    <col min="18" max="18" width="21.5703125" style="187" bestFit="1" customWidth="1"/>
    <col min="19" max="19" width="64.7109375" style="185" bestFit="1" customWidth="1"/>
    <col min="20" max="37" width="33" style="151" customWidth="1"/>
    <col min="38" max="43" width="33" style="153" customWidth="1"/>
    <col min="44" max="49" width="33" style="151" customWidth="1"/>
    <col min="50" max="52" width="33" style="51" customWidth="1"/>
    <col min="53" max="58" width="33" style="151" customWidth="1"/>
    <col min="59" max="61" width="33" style="153" customWidth="1"/>
    <col min="62" max="62" width="28.42578125" style="151" customWidth="1"/>
    <col min="63" max="63" width="31.28515625" style="151" customWidth="1"/>
    <col min="64" max="64" width="26.5703125" style="151" customWidth="1"/>
    <col min="65" max="65" width="34.85546875" style="151" customWidth="1"/>
    <col min="66" max="66" width="28.5703125" style="151" customWidth="1"/>
    <col min="67" max="67" width="30.42578125" style="151" customWidth="1"/>
    <col min="68" max="16384" width="11.42578125" style="151"/>
  </cols>
  <sheetData>
    <row r="1" spans="1:67" ht="24.75" customHeight="1" x14ac:dyDescent="0.25">
      <c r="A1" s="504" t="s">
        <v>1521</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C1" s="504"/>
      <c r="AD1" s="504"/>
      <c r="AE1" s="504"/>
      <c r="AF1" s="504"/>
      <c r="AG1" s="504"/>
      <c r="AH1" s="504"/>
      <c r="AI1" s="504"/>
      <c r="AJ1" s="504"/>
      <c r="AK1" s="504"/>
      <c r="AL1" s="504"/>
      <c r="AM1" s="504"/>
      <c r="AN1" s="504"/>
      <c r="AO1" s="504"/>
      <c r="AP1" s="504"/>
      <c r="AQ1" s="504"/>
      <c r="AR1" s="504"/>
      <c r="AS1" s="504"/>
      <c r="AT1" s="504"/>
      <c r="AU1" s="504"/>
      <c r="AV1" s="504"/>
      <c r="AW1" s="504"/>
      <c r="AX1" s="504"/>
      <c r="AY1" s="504"/>
      <c r="AZ1" s="504"/>
      <c r="BA1" s="504"/>
      <c r="BB1" s="504"/>
      <c r="BC1" s="504"/>
      <c r="BD1" s="504"/>
      <c r="BE1" s="504"/>
      <c r="BF1" s="504"/>
      <c r="BG1" s="505"/>
      <c r="BH1" s="152" t="s">
        <v>55</v>
      </c>
      <c r="BI1" s="325" t="s">
        <v>1476</v>
      </c>
    </row>
    <row r="2" spans="1:67" ht="24.75" customHeight="1" x14ac:dyDescent="0.25">
      <c r="A2" s="504"/>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c r="AK2" s="504"/>
      <c r="AL2" s="504"/>
      <c r="AM2" s="504"/>
      <c r="AN2" s="504"/>
      <c r="AO2" s="504"/>
      <c r="AP2" s="504"/>
      <c r="AQ2" s="504"/>
      <c r="AR2" s="504"/>
      <c r="AS2" s="504"/>
      <c r="AT2" s="504"/>
      <c r="AU2" s="504"/>
      <c r="AV2" s="504"/>
      <c r="AW2" s="504"/>
      <c r="AX2" s="504"/>
      <c r="AY2" s="504"/>
      <c r="AZ2" s="504"/>
      <c r="BA2" s="504"/>
      <c r="BB2" s="504"/>
      <c r="BC2" s="504"/>
      <c r="BD2" s="504"/>
      <c r="BE2" s="504"/>
      <c r="BF2" s="504"/>
      <c r="BG2" s="505"/>
      <c r="BH2" s="154" t="s">
        <v>56</v>
      </c>
      <c r="BI2" s="326">
        <v>3</v>
      </c>
    </row>
    <row r="3" spans="1:67" ht="22.5" customHeight="1" x14ac:dyDescent="0.25">
      <c r="A3" s="504"/>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5"/>
      <c r="BH3" s="152" t="s">
        <v>57</v>
      </c>
      <c r="BI3" s="327" t="s">
        <v>1477</v>
      </c>
    </row>
    <row r="4" spans="1:67" ht="33.75" customHeight="1" x14ac:dyDescent="0.25">
      <c r="A4" s="504"/>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5"/>
      <c r="BH4" s="152" t="s">
        <v>58</v>
      </c>
      <c r="BI4" s="328" t="s">
        <v>59</v>
      </c>
    </row>
    <row r="5" spans="1:67" s="155" customFormat="1" ht="75.75" customHeight="1" x14ac:dyDescent="0.25">
      <c r="A5" s="506" t="s">
        <v>12</v>
      </c>
      <c r="B5" s="506" t="s">
        <v>60</v>
      </c>
      <c r="C5" s="506" t="s">
        <v>61</v>
      </c>
      <c r="D5" s="506" t="s">
        <v>62</v>
      </c>
      <c r="E5" s="507" t="s">
        <v>63</v>
      </c>
      <c r="F5" s="507" t="s">
        <v>64</v>
      </c>
      <c r="G5" s="507" t="s">
        <v>65</v>
      </c>
      <c r="H5" s="507" t="s">
        <v>66</v>
      </c>
      <c r="I5" s="508" t="s">
        <v>67</v>
      </c>
      <c r="J5" s="507" t="s">
        <v>68</v>
      </c>
      <c r="K5" s="507" t="s">
        <v>69</v>
      </c>
      <c r="L5" s="507" t="s">
        <v>70</v>
      </c>
      <c r="M5" s="507" t="s">
        <v>71</v>
      </c>
      <c r="N5" s="506" t="s">
        <v>72</v>
      </c>
      <c r="O5" s="506" t="s">
        <v>73</v>
      </c>
      <c r="P5" s="506"/>
      <c r="Q5" s="507" t="s">
        <v>74</v>
      </c>
      <c r="R5" s="542" t="s">
        <v>75</v>
      </c>
      <c r="S5" s="542" t="s">
        <v>76</v>
      </c>
      <c r="T5" s="514" t="s">
        <v>77</v>
      </c>
      <c r="U5" s="512"/>
      <c r="V5" s="513"/>
      <c r="W5" s="514" t="s">
        <v>78</v>
      </c>
      <c r="X5" s="512"/>
      <c r="Y5" s="513"/>
      <c r="Z5" s="514" t="s">
        <v>79</v>
      </c>
      <c r="AA5" s="512"/>
      <c r="AB5" s="513"/>
      <c r="AC5" s="514" t="s">
        <v>80</v>
      </c>
      <c r="AD5" s="512"/>
      <c r="AE5" s="513"/>
      <c r="AF5" s="514" t="s">
        <v>1385</v>
      </c>
      <c r="AG5" s="512"/>
      <c r="AH5" s="513"/>
      <c r="AI5" s="514" t="s">
        <v>1495</v>
      </c>
      <c r="AJ5" s="512"/>
      <c r="AK5" s="513"/>
      <c r="AL5" s="514" t="s">
        <v>81</v>
      </c>
      <c r="AM5" s="512"/>
      <c r="AN5" s="513"/>
      <c r="AO5" s="514" t="s">
        <v>82</v>
      </c>
      <c r="AP5" s="512"/>
      <c r="AQ5" s="513"/>
      <c r="AR5" s="514" t="s">
        <v>83</v>
      </c>
      <c r="AS5" s="512"/>
      <c r="AT5" s="513"/>
      <c r="AU5" s="514" t="s">
        <v>84</v>
      </c>
      <c r="AV5" s="512"/>
      <c r="AW5" s="513"/>
      <c r="AX5" s="514" t="s">
        <v>85</v>
      </c>
      <c r="AY5" s="512"/>
      <c r="AZ5" s="513"/>
      <c r="BA5" s="514" t="s">
        <v>1386</v>
      </c>
      <c r="BB5" s="512"/>
      <c r="BC5" s="513"/>
      <c r="BD5" s="509" t="s">
        <v>1387</v>
      </c>
      <c r="BE5" s="510"/>
      <c r="BF5" s="511"/>
      <c r="BG5" s="509" t="s">
        <v>86</v>
      </c>
      <c r="BH5" s="512"/>
      <c r="BI5" s="513"/>
    </row>
    <row r="6" spans="1:67" s="155" customFormat="1" ht="25.5" customHeight="1" x14ac:dyDescent="0.25">
      <c r="A6" s="506"/>
      <c r="B6" s="506"/>
      <c r="C6" s="506"/>
      <c r="D6" s="506"/>
      <c r="E6" s="507"/>
      <c r="F6" s="507"/>
      <c r="G6" s="507"/>
      <c r="H6" s="507"/>
      <c r="I6" s="508"/>
      <c r="J6" s="542"/>
      <c r="K6" s="542"/>
      <c r="L6" s="542"/>
      <c r="M6" s="542"/>
      <c r="N6" s="545"/>
      <c r="O6" s="371" t="s">
        <v>87</v>
      </c>
      <c r="P6" s="371" t="s">
        <v>88</v>
      </c>
      <c r="Q6" s="542"/>
      <c r="R6" s="543"/>
      <c r="S6" s="543"/>
      <c r="T6" s="372" t="s">
        <v>1388</v>
      </c>
      <c r="U6" s="372" t="s">
        <v>89</v>
      </c>
      <c r="V6" s="372" t="s">
        <v>1382</v>
      </c>
      <c r="W6" s="372" t="s">
        <v>1388</v>
      </c>
      <c r="X6" s="372" t="s">
        <v>89</v>
      </c>
      <c r="Y6" s="372" t="s">
        <v>1382</v>
      </c>
      <c r="Z6" s="372" t="s">
        <v>1388</v>
      </c>
      <c r="AA6" s="372" t="s">
        <v>89</v>
      </c>
      <c r="AB6" s="372" t="s">
        <v>1382</v>
      </c>
      <c r="AC6" s="372" t="s">
        <v>1388</v>
      </c>
      <c r="AD6" s="372" t="s">
        <v>89</v>
      </c>
      <c r="AE6" s="372" t="s">
        <v>1382</v>
      </c>
      <c r="AF6" s="372" t="s">
        <v>1388</v>
      </c>
      <c r="AG6" s="372" t="s">
        <v>89</v>
      </c>
      <c r="AH6" s="372" t="s">
        <v>1382</v>
      </c>
      <c r="AI6" s="372" t="s">
        <v>1388</v>
      </c>
      <c r="AJ6" s="372" t="s">
        <v>89</v>
      </c>
      <c r="AK6" s="372" t="s">
        <v>1382</v>
      </c>
      <c r="AL6" s="372" t="s">
        <v>1388</v>
      </c>
      <c r="AM6" s="372" t="s">
        <v>89</v>
      </c>
      <c r="AN6" s="372" t="s">
        <v>1382</v>
      </c>
      <c r="AO6" s="372" t="s">
        <v>1388</v>
      </c>
      <c r="AP6" s="372" t="s">
        <v>89</v>
      </c>
      <c r="AQ6" s="372" t="s">
        <v>1382</v>
      </c>
      <c r="AR6" s="372" t="s">
        <v>1388</v>
      </c>
      <c r="AS6" s="372" t="s">
        <v>89</v>
      </c>
      <c r="AT6" s="372" t="s">
        <v>1382</v>
      </c>
      <c r="AU6" s="372" t="s">
        <v>1388</v>
      </c>
      <c r="AV6" s="372" t="s">
        <v>89</v>
      </c>
      <c r="AW6" s="372" t="s">
        <v>1382</v>
      </c>
      <c r="AX6" s="372" t="s">
        <v>1388</v>
      </c>
      <c r="AY6" s="372" t="s">
        <v>89</v>
      </c>
      <c r="AZ6" s="372" t="s">
        <v>1382</v>
      </c>
      <c r="BA6" s="372" t="s">
        <v>1388</v>
      </c>
      <c r="BB6" s="372" t="s">
        <v>89</v>
      </c>
      <c r="BC6" s="372" t="s">
        <v>1382</v>
      </c>
      <c r="BD6" s="372" t="s">
        <v>1388</v>
      </c>
      <c r="BE6" s="372" t="s">
        <v>89</v>
      </c>
      <c r="BF6" s="372" t="s">
        <v>1382</v>
      </c>
      <c r="BG6" s="372" t="s">
        <v>1388</v>
      </c>
      <c r="BH6" s="372" t="s">
        <v>89</v>
      </c>
      <c r="BI6" s="372" t="s">
        <v>1382</v>
      </c>
    </row>
    <row r="7" spans="1:67" s="242" customFormat="1" ht="15.75" x14ac:dyDescent="0.2">
      <c r="A7" s="443"/>
      <c r="B7" s="444"/>
      <c r="C7" s="444"/>
      <c r="D7" s="445"/>
      <c r="E7" s="446"/>
      <c r="F7" s="446"/>
      <c r="G7" s="447"/>
      <c r="H7" s="447"/>
      <c r="I7" s="448"/>
      <c r="J7" s="449"/>
      <c r="K7" s="449"/>
      <c r="L7" s="448"/>
      <c r="M7" s="447"/>
      <c r="N7" s="447"/>
      <c r="O7" s="449"/>
      <c r="P7" s="449"/>
      <c r="Q7" s="447"/>
      <c r="R7" s="447"/>
      <c r="S7" s="448"/>
      <c r="T7" s="450"/>
      <c r="U7" s="450"/>
      <c r="V7" s="450"/>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1"/>
      <c r="AY7" s="451"/>
      <c r="AZ7" s="451"/>
      <c r="BA7" s="450"/>
      <c r="BB7" s="450"/>
      <c r="BC7" s="450"/>
      <c r="BD7" s="450"/>
      <c r="BE7" s="450"/>
      <c r="BF7" s="450"/>
      <c r="BG7" s="451"/>
      <c r="BH7" s="451"/>
      <c r="BI7" s="451"/>
    </row>
    <row r="8" spans="1:67" s="158" customFormat="1" ht="15.75" x14ac:dyDescent="0.25">
      <c r="A8" s="211" t="s">
        <v>90</v>
      </c>
      <c r="B8" s="211"/>
      <c r="C8" s="211"/>
      <c r="D8" s="212"/>
      <c r="E8" s="212"/>
      <c r="F8" s="213"/>
      <c r="G8" s="214"/>
      <c r="H8" s="156"/>
      <c r="I8" s="213"/>
      <c r="J8" s="214"/>
      <c r="K8" s="214"/>
      <c r="L8" s="213"/>
      <c r="M8" s="156"/>
      <c r="N8" s="156"/>
      <c r="O8" s="214"/>
      <c r="P8" s="214"/>
      <c r="Q8" s="212"/>
      <c r="R8" s="214"/>
      <c r="S8" s="213"/>
      <c r="T8" s="157">
        <f t="shared" ref="T8:BI8" si="0">T9</f>
        <v>0</v>
      </c>
      <c r="U8" s="157"/>
      <c r="V8" s="157"/>
      <c r="W8" s="157">
        <f t="shared" si="0"/>
        <v>0</v>
      </c>
      <c r="X8" s="157"/>
      <c r="Y8" s="157"/>
      <c r="Z8" s="157">
        <f t="shared" si="0"/>
        <v>0</v>
      </c>
      <c r="AA8" s="157"/>
      <c r="AB8" s="157"/>
      <c r="AC8" s="157">
        <f t="shared" si="0"/>
        <v>0</v>
      </c>
      <c r="AD8" s="157"/>
      <c r="AE8" s="157"/>
      <c r="AF8" s="157">
        <f t="shared" si="0"/>
        <v>0</v>
      </c>
      <c r="AG8" s="157"/>
      <c r="AH8" s="157"/>
      <c r="AI8" s="157">
        <f t="shared" si="0"/>
        <v>0</v>
      </c>
      <c r="AJ8" s="157"/>
      <c r="AK8" s="157"/>
      <c r="AL8" s="157">
        <f t="shared" si="0"/>
        <v>0</v>
      </c>
      <c r="AM8" s="157"/>
      <c r="AN8" s="157"/>
      <c r="AO8" s="157">
        <f t="shared" si="0"/>
        <v>0</v>
      </c>
      <c r="AP8" s="157"/>
      <c r="AQ8" s="157"/>
      <c r="AR8" s="157">
        <f t="shared" si="0"/>
        <v>0</v>
      </c>
      <c r="AS8" s="157"/>
      <c r="AT8" s="157"/>
      <c r="AU8" s="157">
        <f t="shared" si="0"/>
        <v>0</v>
      </c>
      <c r="AV8" s="157"/>
      <c r="AW8" s="157"/>
      <c r="AX8" s="157">
        <f t="shared" si="0"/>
        <v>75702140</v>
      </c>
      <c r="AY8" s="157">
        <f t="shared" si="0"/>
        <v>19560000</v>
      </c>
      <c r="AZ8" s="157">
        <f t="shared" si="0"/>
        <v>0</v>
      </c>
      <c r="BA8" s="157">
        <f t="shared" si="0"/>
        <v>0</v>
      </c>
      <c r="BB8" s="157"/>
      <c r="BC8" s="157"/>
      <c r="BD8" s="157">
        <f t="shared" si="0"/>
        <v>0</v>
      </c>
      <c r="BE8" s="157"/>
      <c r="BF8" s="157"/>
      <c r="BG8" s="157">
        <f t="shared" si="0"/>
        <v>75702140</v>
      </c>
      <c r="BH8" s="157">
        <f t="shared" si="0"/>
        <v>19560000</v>
      </c>
      <c r="BI8" s="157">
        <f t="shared" si="0"/>
        <v>0</v>
      </c>
      <c r="BJ8" s="487"/>
      <c r="BK8" s="487"/>
      <c r="BL8" s="487"/>
      <c r="BM8" s="487"/>
      <c r="BN8" s="487"/>
      <c r="BO8" s="487"/>
    </row>
    <row r="9" spans="1:67" s="158" customFormat="1" ht="15.75" x14ac:dyDescent="0.25">
      <c r="A9" s="437"/>
      <c r="B9" s="259">
        <v>4</v>
      </c>
      <c r="C9" s="159" t="s">
        <v>91</v>
      </c>
      <c r="D9" s="160"/>
      <c r="E9" s="160"/>
      <c r="F9" s="161"/>
      <c r="G9" s="162"/>
      <c r="H9" s="163"/>
      <c r="I9" s="161"/>
      <c r="J9" s="162"/>
      <c r="K9" s="162"/>
      <c r="L9" s="161"/>
      <c r="M9" s="164"/>
      <c r="N9" s="164"/>
      <c r="O9" s="162"/>
      <c r="P9" s="162"/>
      <c r="Q9" s="160"/>
      <c r="R9" s="162"/>
      <c r="S9" s="161"/>
      <c r="T9" s="165">
        <f>T10+T13</f>
        <v>0</v>
      </c>
      <c r="U9" s="165"/>
      <c r="V9" s="165"/>
      <c r="W9" s="165">
        <f t="shared" ref="W9:BI9" si="1">W10+W13</f>
        <v>0</v>
      </c>
      <c r="X9" s="165"/>
      <c r="Y9" s="165"/>
      <c r="Z9" s="165">
        <f t="shared" si="1"/>
        <v>0</v>
      </c>
      <c r="AA9" s="165"/>
      <c r="AB9" s="165"/>
      <c r="AC9" s="165">
        <f t="shared" si="1"/>
        <v>0</v>
      </c>
      <c r="AD9" s="165"/>
      <c r="AE9" s="165"/>
      <c r="AF9" s="165">
        <f t="shared" si="1"/>
        <v>0</v>
      </c>
      <c r="AG9" s="165"/>
      <c r="AH9" s="165"/>
      <c r="AI9" s="165">
        <f t="shared" si="1"/>
        <v>0</v>
      </c>
      <c r="AJ9" s="165"/>
      <c r="AK9" s="165"/>
      <c r="AL9" s="165">
        <f t="shared" si="1"/>
        <v>0</v>
      </c>
      <c r="AM9" s="165"/>
      <c r="AN9" s="165"/>
      <c r="AO9" s="165">
        <f t="shared" si="1"/>
        <v>0</v>
      </c>
      <c r="AP9" s="165"/>
      <c r="AQ9" s="165"/>
      <c r="AR9" s="165">
        <f t="shared" si="1"/>
        <v>0</v>
      </c>
      <c r="AS9" s="165"/>
      <c r="AT9" s="165"/>
      <c r="AU9" s="165">
        <f t="shared" si="1"/>
        <v>0</v>
      </c>
      <c r="AV9" s="165"/>
      <c r="AW9" s="165"/>
      <c r="AX9" s="165">
        <f t="shared" si="1"/>
        <v>75702140</v>
      </c>
      <c r="AY9" s="165">
        <f t="shared" si="1"/>
        <v>19560000</v>
      </c>
      <c r="AZ9" s="165">
        <f t="shared" si="1"/>
        <v>0</v>
      </c>
      <c r="BA9" s="165">
        <f t="shared" si="1"/>
        <v>0</v>
      </c>
      <c r="BB9" s="165"/>
      <c r="BC9" s="165"/>
      <c r="BD9" s="165">
        <f t="shared" si="1"/>
        <v>0</v>
      </c>
      <c r="BE9" s="165"/>
      <c r="BF9" s="165"/>
      <c r="BG9" s="165">
        <f t="shared" si="1"/>
        <v>75702140</v>
      </c>
      <c r="BH9" s="165">
        <f t="shared" si="1"/>
        <v>19560000</v>
      </c>
      <c r="BI9" s="165">
        <f t="shared" si="1"/>
        <v>0</v>
      </c>
    </row>
    <row r="10" spans="1:67" ht="15.75" x14ac:dyDescent="0.2">
      <c r="A10" s="438"/>
      <c r="B10" s="440"/>
      <c r="C10" s="357">
        <v>45</v>
      </c>
      <c r="D10" s="170" t="s">
        <v>92</v>
      </c>
      <c r="E10" s="357" t="s">
        <v>93</v>
      </c>
      <c r="F10" s="166"/>
      <c r="G10" s="167"/>
      <c r="H10" s="168"/>
      <c r="I10" s="166"/>
      <c r="J10" s="167"/>
      <c r="K10" s="167"/>
      <c r="L10" s="166"/>
      <c r="M10" s="169"/>
      <c r="N10" s="169"/>
      <c r="O10" s="167"/>
      <c r="P10" s="167"/>
      <c r="Q10" s="170"/>
      <c r="R10" s="167"/>
      <c r="S10" s="166"/>
      <c r="T10" s="171">
        <f>SUM(T11:T12)</f>
        <v>0</v>
      </c>
      <c r="U10" s="171"/>
      <c r="V10" s="171"/>
      <c r="W10" s="171">
        <f t="shared" ref="W10:BG10" si="2">SUM(W11:W12)</f>
        <v>0</v>
      </c>
      <c r="X10" s="171"/>
      <c r="Y10" s="171"/>
      <c r="Z10" s="171">
        <f t="shared" si="2"/>
        <v>0</v>
      </c>
      <c r="AA10" s="171"/>
      <c r="AB10" s="171"/>
      <c r="AC10" s="171">
        <f t="shared" si="2"/>
        <v>0</v>
      </c>
      <c r="AD10" s="171"/>
      <c r="AE10" s="171"/>
      <c r="AF10" s="171">
        <f t="shared" si="2"/>
        <v>0</v>
      </c>
      <c r="AG10" s="171"/>
      <c r="AH10" s="171"/>
      <c r="AI10" s="171">
        <f t="shared" si="2"/>
        <v>0</v>
      </c>
      <c r="AJ10" s="171"/>
      <c r="AK10" s="171"/>
      <c r="AL10" s="171">
        <f t="shared" si="2"/>
        <v>0</v>
      </c>
      <c r="AM10" s="171"/>
      <c r="AN10" s="171"/>
      <c r="AO10" s="171">
        <f t="shared" si="2"/>
        <v>0</v>
      </c>
      <c r="AP10" s="171"/>
      <c r="AQ10" s="171"/>
      <c r="AR10" s="171">
        <f t="shared" si="2"/>
        <v>0</v>
      </c>
      <c r="AS10" s="171"/>
      <c r="AT10" s="171"/>
      <c r="AU10" s="171">
        <f t="shared" si="2"/>
        <v>0</v>
      </c>
      <c r="AV10" s="171"/>
      <c r="AW10" s="171"/>
      <c r="AX10" s="171">
        <f t="shared" si="2"/>
        <v>45702140</v>
      </c>
      <c r="AY10" s="171">
        <f t="shared" si="2"/>
        <v>19560000</v>
      </c>
      <c r="AZ10" s="171">
        <f t="shared" si="2"/>
        <v>0</v>
      </c>
      <c r="BA10" s="171">
        <f t="shared" si="2"/>
        <v>0</v>
      </c>
      <c r="BB10" s="171"/>
      <c r="BC10" s="171"/>
      <c r="BD10" s="171">
        <f t="shared" si="2"/>
        <v>0</v>
      </c>
      <c r="BE10" s="171"/>
      <c r="BF10" s="171"/>
      <c r="BG10" s="171">
        <f t="shared" si="2"/>
        <v>45702140</v>
      </c>
      <c r="BH10" s="171">
        <f t="shared" ref="BH10:BI10" si="3">SUM(BH11:BH12)</f>
        <v>19560000</v>
      </c>
      <c r="BI10" s="171">
        <f t="shared" si="3"/>
        <v>0</v>
      </c>
    </row>
    <row r="11" spans="1:67" ht="111.75" customHeight="1" x14ac:dyDescent="0.2">
      <c r="A11" s="438"/>
      <c r="B11" s="441"/>
      <c r="C11" s="373"/>
      <c r="D11" s="374"/>
      <c r="E11" s="354" t="s">
        <v>92</v>
      </c>
      <c r="F11" s="423" t="s">
        <v>94</v>
      </c>
      <c r="G11" s="363" t="s">
        <v>95</v>
      </c>
      <c r="H11" s="354" t="s">
        <v>92</v>
      </c>
      <c r="I11" s="423" t="s">
        <v>1426</v>
      </c>
      <c r="J11" s="363" t="s">
        <v>96</v>
      </c>
      <c r="K11" s="363" t="s">
        <v>92</v>
      </c>
      <c r="L11" s="356" t="s">
        <v>97</v>
      </c>
      <c r="M11" s="354" t="s">
        <v>98</v>
      </c>
      <c r="N11" s="331">
        <v>5</v>
      </c>
      <c r="O11" s="331">
        <v>5</v>
      </c>
      <c r="P11" s="331">
        <v>4</v>
      </c>
      <c r="Q11" s="421" t="s">
        <v>99</v>
      </c>
      <c r="R11" s="354" t="s">
        <v>100</v>
      </c>
      <c r="S11" s="356" t="s">
        <v>101</v>
      </c>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172">
        <f>60000000-30000000</f>
        <v>30000000</v>
      </c>
      <c r="AY11" s="172">
        <v>11160000</v>
      </c>
      <c r="AZ11" s="172">
        <v>0</v>
      </c>
      <c r="BA11" s="43"/>
      <c r="BB11" s="43"/>
      <c r="BC11" s="43"/>
      <c r="BD11" s="43"/>
      <c r="BE11" s="43"/>
      <c r="BF11" s="43"/>
      <c r="BG11" s="173">
        <f>+T11+W11+Z11+AC11+AF11+AI11+AL11+AO11+AR11+AU11+AX11+BA11+BD11</f>
        <v>30000000</v>
      </c>
      <c r="BH11" s="173">
        <f t="shared" ref="BH11:BI12" si="4">+U11+X11+AA11+AD11+AG11+AJ11+AM11+AP11+AS11+AV11+AY11+BB11+BE11</f>
        <v>11160000</v>
      </c>
      <c r="BI11" s="173">
        <f t="shared" si="4"/>
        <v>0</v>
      </c>
    </row>
    <row r="12" spans="1:67" ht="142.5" customHeight="1" x14ac:dyDescent="0.2">
      <c r="A12" s="438"/>
      <c r="B12" s="441"/>
      <c r="C12" s="373"/>
      <c r="D12" s="374"/>
      <c r="E12" s="354" t="s">
        <v>92</v>
      </c>
      <c r="F12" s="423" t="s">
        <v>94</v>
      </c>
      <c r="G12" s="363" t="s">
        <v>102</v>
      </c>
      <c r="H12" s="354" t="s">
        <v>92</v>
      </c>
      <c r="I12" s="423" t="s">
        <v>103</v>
      </c>
      <c r="J12" s="363" t="s">
        <v>104</v>
      </c>
      <c r="K12" s="363" t="s">
        <v>92</v>
      </c>
      <c r="L12" s="356" t="s">
        <v>105</v>
      </c>
      <c r="M12" s="354" t="s">
        <v>98</v>
      </c>
      <c r="N12" s="331">
        <v>4</v>
      </c>
      <c r="O12" s="331">
        <v>4</v>
      </c>
      <c r="P12" s="331">
        <v>4</v>
      </c>
      <c r="Q12" s="421" t="s">
        <v>99</v>
      </c>
      <c r="R12" s="354" t="s">
        <v>106</v>
      </c>
      <c r="S12" s="356" t="s">
        <v>107</v>
      </c>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174">
        <f>31000000-15297860</f>
        <v>15702140</v>
      </c>
      <c r="AY12" s="174">
        <v>8400000</v>
      </c>
      <c r="AZ12" s="174"/>
      <c r="BA12" s="43"/>
      <c r="BB12" s="43"/>
      <c r="BC12" s="43"/>
      <c r="BD12" s="43"/>
      <c r="BE12" s="43"/>
      <c r="BF12" s="43"/>
      <c r="BG12" s="173">
        <f>+T12+W12+Z12+AC12+AF12+AI12+AL12+AO12+AR12+AU12+AX12+BA12+BD12</f>
        <v>15702140</v>
      </c>
      <c r="BH12" s="173">
        <f t="shared" si="4"/>
        <v>8400000</v>
      </c>
      <c r="BI12" s="173">
        <f t="shared" si="4"/>
        <v>0</v>
      </c>
    </row>
    <row r="13" spans="1:67" ht="15.75" x14ac:dyDescent="0.2">
      <c r="A13" s="438"/>
      <c r="B13" s="441"/>
      <c r="C13" s="357">
        <v>42</v>
      </c>
      <c r="D13" s="170">
        <v>4502</v>
      </c>
      <c r="E13" s="224" t="s">
        <v>108</v>
      </c>
      <c r="F13" s="166"/>
      <c r="G13" s="167"/>
      <c r="H13" s="168"/>
      <c r="I13" s="166"/>
      <c r="J13" s="167"/>
      <c r="K13" s="167"/>
      <c r="L13" s="166"/>
      <c r="M13" s="169"/>
      <c r="N13" s="169"/>
      <c r="O13" s="167"/>
      <c r="P13" s="167"/>
      <c r="Q13" s="424"/>
      <c r="R13" s="167"/>
      <c r="S13" s="166"/>
      <c r="T13" s="171">
        <f>SUM(T14)</f>
        <v>0</v>
      </c>
      <c r="U13" s="171"/>
      <c r="V13" s="171"/>
      <c r="W13" s="171">
        <f t="shared" ref="W13:BI13" si="5">SUM(W14)</f>
        <v>0</v>
      </c>
      <c r="X13" s="171"/>
      <c r="Y13" s="171"/>
      <c r="Z13" s="171">
        <f t="shared" si="5"/>
        <v>0</v>
      </c>
      <c r="AA13" s="171"/>
      <c r="AB13" s="171"/>
      <c r="AC13" s="171">
        <f t="shared" si="5"/>
        <v>0</v>
      </c>
      <c r="AD13" s="171"/>
      <c r="AE13" s="171"/>
      <c r="AF13" s="171">
        <f t="shared" si="5"/>
        <v>0</v>
      </c>
      <c r="AG13" s="171"/>
      <c r="AH13" s="171"/>
      <c r="AI13" s="171">
        <f t="shared" si="5"/>
        <v>0</v>
      </c>
      <c r="AJ13" s="171"/>
      <c r="AK13" s="171"/>
      <c r="AL13" s="171">
        <f t="shared" si="5"/>
        <v>0</v>
      </c>
      <c r="AM13" s="171"/>
      <c r="AN13" s="171"/>
      <c r="AO13" s="171">
        <f t="shared" si="5"/>
        <v>0</v>
      </c>
      <c r="AP13" s="171"/>
      <c r="AQ13" s="171"/>
      <c r="AR13" s="171">
        <f t="shared" si="5"/>
        <v>0</v>
      </c>
      <c r="AS13" s="171"/>
      <c r="AT13" s="171"/>
      <c r="AU13" s="171">
        <f t="shared" si="5"/>
        <v>0</v>
      </c>
      <c r="AV13" s="171"/>
      <c r="AW13" s="171"/>
      <c r="AX13" s="171">
        <f t="shared" si="5"/>
        <v>30000000</v>
      </c>
      <c r="AY13" s="171">
        <f t="shared" si="5"/>
        <v>0</v>
      </c>
      <c r="AZ13" s="171">
        <f t="shared" si="5"/>
        <v>0</v>
      </c>
      <c r="BA13" s="171">
        <f t="shared" si="5"/>
        <v>0</v>
      </c>
      <c r="BB13" s="171"/>
      <c r="BC13" s="171"/>
      <c r="BD13" s="171">
        <f t="shared" si="5"/>
        <v>0</v>
      </c>
      <c r="BE13" s="171"/>
      <c r="BF13" s="171"/>
      <c r="BG13" s="171">
        <f t="shared" si="5"/>
        <v>30000000</v>
      </c>
      <c r="BH13" s="171">
        <f t="shared" si="5"/>
        <v>0</v>
      </c>
      <c r="BI13" s="171">
        <f t="shared" si="5"/>
        <v>0</v>
      </c>
    </row>
    <row r="14" spans="1:67" ht="106.5" customHeight="1" x14ac:dyDescent="0.2">
      <c r="A14" s="439"/>
      <c r="B14" s="442"/>
      <c r="C14" s="373"/>
      <c r="D14" s="374"/>
      <c r="E14" s="354" t="s">
        <v>92</v>
      </c>
      <c r="F14" s="421" t="s">
        <v>109</v>
      </c>
      <c r="G14" s="354" t="s">
        <v>110</v>
      </c>
      <c r="H14" s="354" t="s">
        <v>92</v>
      </c>
      <c r="I14" s="423" t="s">
        <v>111</v>
      </c>
      <c r="J14" s="298" t="s">
        <v>112</v>
      </c>
      <c r="K14" s="298" t="s">
        <v>92</v>
      </c>
      <c r="L14" s="299" t="s">
        <v>113</v>
      </c>
      <c r="M14" s="354" t="s">
        <v>98</v>
      </c>
      <c r="N14" s="354">
        <v>1</v>
      </c>
      <c r="O14" s="199">
        <v>1</v>
      </c>
      <c r="P14" s="331">
        <v>0</v>
      </c>
      <c r="Q14" s="423" t="s">
        <v>114</v>
      </c>
      <c r="R14" s="354" t="s">
        <v>115</v>
      </c>
      <c r="S14" s="356" t="s">
        <v>0</v>
      </c>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175">
        <f>55122927.21+0.39-25122927.6</f>
        <v>30000000</v>
      </c>
      <c r="AY14" s="175"/>
      <c r="AZ14" s="175"/>
      <c r="BA14" s="43"/>
      <c r="BB14" s="43"/>
      <c r="BC14" s="43"/>
      <c r="BD14" s="43"/>
      <c r="BE14" s="43"/>
      <c r="BF14" s="43"/>
      <c r="BG14" s="173">
        <f>+T14+W14+Z14+AC14+AF14+AI14+AL14+AO14+AR14+AU14+AX14+BA14+BD14</f>
        <v>30000000</v>
      </c>
      <c r="BH14" s="173">
        <f t="shared" ref="BH14:BI14" si="6">+U14+X14+AA14+AD14+AG14+AJ14+AM14+AP14+AS14+AV14+AY14+BB14+BE14</f>
        <v>0</v>
      </c>
      <c r="BI14" s="173">
        <f t="shared" si="6"/>
        <v>0</v>
      </c>
    </row>
    <row r="15" spans="1:67" s="242" customFormat="1" ht="15.75" x14ac:dyDescent="0.2">
      <c r="A15" s="443"/>
      <c r="B15" s="444"/>
      <c r="C15" s="444"/>
      <c r="D15" s="445"/>
      <c r="E15" s="446"/>
      <c r="F15" s="446"/>
      <c r="G15" s="447"/>
      <c r="H15" s="447"/>
      <c r="I15" s="448"/>
      <c r="J15" s="449"/>
      <c r="K15" s="449"/>
      <c r="L15" s="448"/>
      <c r="M15" s="447"/>
      <c r="N15" s="447"/>
      <c r="O15" s="449"/>
      <c r="P15" s="449"/>
      <c r="Q15" s="447"/>
      <c r="R15" s="447"/>
      <c r="S15" s="448"/>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1"/>
      <c r="AY15" s="451"/>
      <c r="AZ15" s="451"/>
      <c r="BA15" s="450"/>
      <c r="BB15" s="450"/>
      <c r="BC15" s="450"/>
      <c r="BD15" s="450"/>
      <c r="BE15" s="450"/>
      <c r="BF15" s="450"/>
      <c r="BG15" s="451"/>
      <c r="BH15" s="451"/>
      <c r="BI15" s="451"/>
    </row>
    <row r="16" spans="1:67" s="158" customFormat="1" ht="15.75" x14ac:dyDescent="0.25">
      <c r="A16" s="211" t="s">
        <v>116</v>
      </c>
      <c r="B16" s="211"/>
      <c r="C16" s="211"/>
      <c r="D16" s="212"/>
      <c r="E16" s="212"/>
      <c r="F16" s="213"/>
      <c r="G16" s="214"/>
      <c r="H16" s="156"/>
      <c r="I16" s="213"/>
      <c r="J16" s="214"/>
      <c r="K16" s="214"/>
      <c r="L16" s="213"/>
      <c r="M16" s="156"/>
      <c r="N16" s="156"/>
      <c r="O16" s="214"/>
      <c r="P16" s="214"/>
      <c r="Q16" s="425"/>
      <c r="R16" s="214"/>
      <c r="S16" s="213"/>
      <c r="T16" s="176">
        <f t="shared" ref="T16:BI16" si="7">T17</f>
        <v>0</v>
      </c>
      <c r="U16" s="176"/>
      <c r="V16" s="176"/>
      <c r="W16" s="176">
        <f t="shared" si="7"/>
        <v>0</v>
      </c>
      <c r="X16" s="176"/>
      <c r="Y16" s="176"/>
      <c r="Z16" s="176">
        <f t="shared" si="7"/>
        <v>0</v>
      </c>
      <c r="AA16" s="176"/>
      <c r="AB16" s="176"/>
      <c r="AC16" s="176">
        <f t="shared" si="7"/>
        <v>0</v>
      </c>
      <c r="AD16" s="176"/>
      <c r="AE16" s="176"/>
      <c r="AF16" s="176">
        <f t="shared" si="7"/>
        <v>0</v>
      </c>
      <c r="AG16" s="176"/>
      <c r="AH16" s="176"/>
      <c r="AI16" s="176">
        <f t="shared" si="7"/>
        <v>0</v>
      </c>
      <c r="AJ16" s="176"/>
      <c r="AK16" s="176"/>
      <c r="AL16" s="176">
        <f t="shared" si="7"/>
        <v>0</v>
      </c>
      <c r="AM16" s="176"/>
      <c r="AN16" s="176"/>
      <c r="AO16" s="176">
        <f t="shared" si="7"/>
        <v>0</v>
      </c>
      <c r="AP16" s="176"/>
      <c r="AQ16" s="176"/>
      <c r="AR16" s="176">
        <f t="shared" si="7"/>
        <v>0</v>
      </c>
      <c r="AS16" s="176"/>
      <c r="AT16" s="176"/>
      <c r="AU16" s="176">
        <f t="shared" si="7"/>
        <v>0</v>
      </c>
      <c r="AV16" s="176"/>
      <c r="AW16" s="176"/>
      <c r="AX16" s="176">
        <f t="shared" si="7"/>
        <v>677628511</v>
      </c>
      <c r="AY16" s="176">
        <f t="shared" si="7"/>
        <v>434418332</v>
      </c>
      <c r="AZ16" s="176">
        <f t="shared" si="7"/>
        <v>250818332</v>
      </c>
      <c r="BA16" s="176">
        <f t="shared" si="7"/>
        <v>0</v>
      </c>
      <c r="BB16" s="176"/>
      <c r="BC16" s="176"/>
      <c r="BD16" s="176">
        <f t="shared" si="7"/>
        <v>0</v>
      </c>
      <c r="BE16" s="176"/>
      <c r="BF16" s="176"/>
      <c r="BG16" s="176">
        <f t="shared" si="7"/>
        <v>677628511</v>
      </c>
      <c r="BH16" s="176">
        <f t="shared" si="7"/>
        <v>434418332</v>
      </c>
      <c r="BI16" s="176">
        <f t="shared" si="7"/>
        <v>250818332</v>
      </c>
      <c r="BJ16" s="487"/>
      <c r="BK16" s="487"/>
      <c r="BL16" s="487"/>
      <c r="BM16" s="487"/>
      <c r="BN16" s="487"/>
      <c r="BO16" s="487"/>
    </row>
    <row r="17" spans="1:61" ht="15.75" x14ac:dyDescent="0.2">
      <c r="A17" s="452"/>
      <c r="B17" s="259">
        <v>4</v>
      </c>
      <c r="C17" s="159" t="s">
        <v>117</v>
      </c>
      <c r="D17" s="160"/>
      <c r="E17" s="160"/>
      <c r="F17" s="161"/>
      <c r="G17" s="162"/>
      <c r="H17" s="163"/>
      <c r="I17" s="161"/>
      <c r="J17" s="162"/>
      <c r="K17" s="162"/>
      <c r="L17" s="161"/>
      <c r="M17" s="164"/>
      <c r="N17" s="164"/>
      <c r="O17" s="162"/>
      <c r="P17" s="162"/>
      <c r="Q17" s="426"/>
      <c r="R17" s="162"/>
      <c r="S17" s="161"/>
      <c r="T17" s="177">
        <f>T18+T20</f>
        <v>0</v>
      </c>
      <c r="U17" s="177"/>
      <c r="V17" s="177"/>
      <c r="W17" s="177">
        <f t="shared" ref="W17:BI17" si="8">W18+W20</f>
        <v>0</v>
      </c>
      <c r="X17" s="177"/>
      <c r="Y17" s="177"/>
      <c r="Z17" s="177">
        <f t="shared" si="8"/>
        <v>0</v>
      </c>
      <c r="AA17" s="177"/>
      <c r="AB17" s="177"/>
      <c r="AC17" s="177">
        <f t="shared" si="8"/>
        <v>0</v>
      </c>
      <c r="AD17" s="177"/>
      <c r="AE17" s="177"/>
      <c r="AF17" s="177">
        <f t="shared" si="8"/>
        <v>0</v>
      </c>
      <c r="AG17" s="177"/>
      <c r="AH17" s="177"/>
      <c r="AI17" s="177">
        <f t="shared" si="8"/>
        <v>0</v>
      </c>
      <c r="AJ17" s="177"/>
      <c r="AK17" s="177"/>
      <c r="AL17" s="177">
        <f t="shared" si="8"/>
        <v>0</v>
      </c>
      <c r="AM17" s="177"/>
      <c r="AN17" s="177"/>
      <c r="AO17" s="177">
        <f t="shared" si="8"/>
        <v>0</v>
      </c>
      <c r="AP17" s="177"/>
      <c r="AQ17" s="177"/>
      <c r="AR17" s="177">
        <f t="shared" si="8"/>
        <v>0</v>
      </c>
      <c r="AS17" s="177"/>
      <c r="AT17" s="177"/>
      <c r="AU17" s="177">
        <f t="shared" si="8"/>
        <v>0</v>
      </c>
      <c r="AV17" s="177"/>
      <c r="AW17" s="177"/>
      <c r="AX17" s="177">
        <f t="shared" si="8"/>
        <v>677628511</v>
      </c>
      <c r="AY17" s="177">
        <f t="shared" si="8"/>
        <v>434418332</v>
      </c>
      <c r="AZ17" s="177">
        <f t="shared" si="8"/>
        <v>250818332</v>
      </c>
      <c r="BA17" s="177">
        <f t="shared" si="8"/>
        <v>0</v>
      </c>
      <c r="BB17" s="177"/>
      <c r="BC17" s="177"/>
      <c r="BD17" s="177">
        <f t="shared" si="8"/>
        <v>0</v>
      </c>
      <c r="BE17" s="177"/>
      <c r="BF17" s="177"/>
      <c r="BG17" s="177">
        <f t="shared" si="8"/>
        <v>677628511</v>
      </c>
      <c r="BH17" s="177">
        <f t="shared" si="8"/>
        <v>434418332</v>
      </c>
      <c r="BI17" s="177">
        <f t="shared" si="8"/>
        <v>250818332</v>
      </c>
    </row>
    <row r="18" spans="1:61" ht="15.75" x14ac:dyDescent="0.2">
      <c r="A18" s="438"/>
      <c r="B18" s="440"/>
      <c r="C18" s="357">
        <v>42</v>
      </c>
      <c r="D18" s="170">
        <v>4502</v>
      </c>
      <c r="E18" s="357" t="s">
        <v>108</v>
      </c>
      <c r="F18" s="166"/>
      <c r="G18" s="167"/>
      <c r="H18" s="168"/>
      <c r="I18" s="166"/>
      <c r="J18" s="167"/>
      <c r="K18" s="167"/>
      <c r="L18" s="166"/>
      <c r="M18" s="169"/>
      <c r="N18" s="169"/>
      <c r="O18" s="167"/>
      <c r="P18" s="167"/>
      <c r="Q18" s="424"/>
      <c r="R18" s="167"/>
      <c r="S18" s="166"/>
      <c r="T18" s="63">
        <f t="shared" ref="T18:BI18" si="9">T19</f>
        <v>0</v>
      </c>
      <c r="U18" s="63"/>
      <c r="V18" s="63"/>
      <c r="W18" s="63">
        <f t="shared" si="9"/>
        <v>0</v>
      </c>
      <c r="X18" s="63"/>
      <c r="Y18" s="63"/>
      <c r="Z18" s="63">
        <f t="shared" si="9"/>
        <v>0</v>
      </c>
      <c r="AA18" s="63"/>
      <c r="AB18" s="63"/>
      <c r="AC18" s="63">
        <f t="shared" si="9"/>
        <v>0</v>
      </c>
      <c r="AD18" s="63"/>
      <c r="AE18" s="63"/>
      <c r="AF18" s="63">
        <f t="shared" si="9"/>
        <v>0</v>
      </c>
      <c r="AG18" s="63"/>
      <c r="AH18" s="63"/>
      <c r="AI18" s="63">
        <f t="shared" si="9"/>
        <v>0</v>
      </c>
      <c r="AJ18" s="63"/>
      <c r="AK18" s="63"/>
      <c r="AL18" s="63">
        <f t="shared" si="9"/>
        <v>0</v>
      </c>
      <c r="AM18" s="63"/>
      <c r="AN18" s="63"/>
      <c r="AO18" s="63">
        <f t="shared" si="9"/>
        <v>0</v>
      </c>
      <c r="AP18" s="63"/>
      <c r="AQ18" s="63"/>
      <c r="AR18" s="63">
        <f t="shared" si="9"/>
        <v>0</v>
      </c>
      <c r="AS18" s="63"/>
      <c r="AT18" s="63"/>
      <c r="AU18" s="63">
        <f t="shared" si="9"/>
        <v>0</v>
      </c>
      <c r="AV18" s="63"/>
      <c r="AW18" s="63"/>
      <c r="AX18" s="63">
        <f t="shared" si="9"/>
        <v>102285179</v>
      </c>
      <c r="AY18" s="63">
        <f t="shared" si="9"/>
        <v>14825000</v>
      </c>
      <c r="AZ18" s="63">
        <f t="shared" si="9"/>
        <v>6425000</v>
      </c>
      <c r="BA18" s="63">
        <f t="shared" si="9"/>
        <v>0</v>
      </c>
      <c r="BB18" s="63"/>
      <c r="BC18" s="63"/>
      <c r="BD18" s="63">
        <f t="shared" si="9"/>
        <v>0</v>
      </c>
      <c r="BE18" s="63"/>
      <c r="BF18" s="63"/>
      <c r="BG18" s="63">
        <f t="shared" si="9"/>
        <v>102285179</v>
      </c>
      <c r="BH18" s="63">
        <f t="shared" si="9"/>
        <v>14825000</v>
      </c>
      <c r="BI18" s="63">
        <f t="shared" si="9"/>
        <v>6425000</v>
      </c>
    </row>
    <row r="19" spans="1:61" ht="93.75" customHeight="1" x14ac:dyDescent="0.2">
      <c r="A19" s="438"/>
      <c r="B19" s="441"/>
      <c r="C19" s="375"/>
      <c r="D19" s="354"/>
      <c r="E19" s="354" t="s">
        <v>92</v>
      </c>
      <c r="F19" s="355" t="s">
        <v>118</v>
      </c>
      <c r="G19" s="354" t="s">
        <v>119</v>
      </c>
      <c r="H19" s="354" t="s">
        <v>92</v>
      </c>
      <c r="I19" s="355" t="s">
        <v>120</v>
      </c>
      <c r="J19" s="298" t="s">
        <v>121</v>
      </c>
      <c r="K19" s="298" t="s">
        <v>1417</v>
      </c>
      <c r="L19" s="299" t="s">
        <v>122</v>
      </c>
      <c r="M19" s="354" t="s">
        <v>98</v>
      </c>
      <c r="N19" s="354">
        <v>1</v>
      </c>
      <c r="O19" s="199">
        <v>1</v>
      </c>
      <c r="P19" s="331">
        <v>0.06</v>
      </c>
      <c r="Q19" s="423" t="s">
        <v>114</v>
      </c>
      <c r="R19" s="354" t="s">
        <v>123</v>
      </c>
      <c r="S19" s="355" t="s">
        <v>124</v>
      </c>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9">
        <f>200000000-97714821</f>
        <v>102285179</v>
      </c>
      <c r="AY19" s="49">
        <v>14825000</v>
      </c>
      <c r="AZ19" s="49">
        <v>6425000</v>
      </c>
      <c r="BA19" s="43"/>
      <c r="BB19" s="43"/>
      <c r="BC19" s="43"/>
      <c r="BD19" s="43"/>
      <c r="BE19" s="43"/>
      <c r="BF19" s="43"/>
      <c r="BG19" s="173">
        <f>+T19+W19+Z19+AC19+AF19+AI19+AL19+AO19+AR19+AU19+AX19+BA19+BD19</f>
        <v>102285179</v>
      </c>
      <c r="BH19" s="173">
        <f t="shared" ref="BH19:BI19" si="10">+U19+X19+AA19+AD19+AG19+AJ19+AM19+AP19+AS19+AV19+AY19+BB19+BE19</f>
        <v>14825000</v>
      </c>
      <c r="BI19" s="173">
        <f t="shared" si="10"/>
        <v>6425000</v>
      </c>
    </row>
    <row r="20" spans="1:61" ht="15.75" x14ac:dyDescent="0.2">
      <c r="A20" s="438"/>
      <c r="B20" s="441"/>
      <c r="C20" s="357">
        <v>45</v>
      </c>
      <c r="D20" s="170" t="s">
        <v>92</v>
      </c>
      <c r="E20" s="357" t="s">
        <v>125</v>
      </c>
      <c r="F20" s="166"/>
      <c r="G20" s="167"/>
      <c r="H20" s="168"/>
      <c r="I20" s="166"/>
      <c r="J20" s="167"/>
      <c r="K20" s="167"/>
      <c r="L20" s="166"/>
      <c r="M20" s="169"/>
      <c r="N20" s="169"/>
      <c r="O20" s="167"/>
      <c r="P20" s="167"/>
      <c r="Q20" s="424"/>
      <c r="R20" s="167"/>
      <c r="S20" s="166"/>
      <c r="T20" s="63">
        <f t="shared" ref="T20:BG20" si="11">SUM(T21:T31)</f>
        <v>0</v>
      </c>
      <c r="U20" s="63"/>
      <c r="V20" s="63"/>
      <c r="W20" s="63">
        <f t="shared" si="11"/>
        <v>0</v>
      </c>
      <c r="X20" s="63"/>
      <c r="Y20" s="63"/>
      <c r="Z20" s="63">
        <f t="shared" si="11"/>
        <v>0</v>
      </c>
      <c r="AA20" s="63"/>
      <c r="AB20" s="63"/>
      <c r="AC20" s="63">
        <f t="shared" si="11"/>
        <v>0</v>
      </c>
      <c r="AD20" s="63"/>
      <c r="AE20" s="63"/>
      <c r="AF20" s="63">
        <f t="shared" si="11"/>
        <v>0</v>
      </c>
      <c r="AG20" s="63"/>
      <c r="AH20" s="63"/>
      <c r="AI20" s="63">
        <f t="shared" si="11"/>
        <v>0</v>
      </c>
      <c r="AJ20" s="63"/>
      <c r="AK20" s="63"/>
      <c r="AL20" s="63">
        <f t="shared" si="11"/>
        <v>0</v>
      </c>
      <c r="AM20" s="63"/>
      <c r="AN20" s="63"/>
      <c r="AO20" s="63">
        <f t="shared" si="11"/>
        <v>0</v>
      </c>
      <c r="AP20" s="63"/>
      <c r="AQ20" s="63"/>
      <c r="AR20" s="63">
        <f t="shared" si="11"/>
        <v>0</v>
      </c>
      <c r="AS20" s="63"/>
      <c r="AT20" s="63"/>
      <c r="AU20" s="63">
        <f t="shared" si="11"/>
        <v>0</v>
      </c>
      <c r="AV20" s="63"/>
      <c r="AW20" s="63"/>
      <c r="AX20" s="63">
        <f t="shared" si="11"/>
        <v>575343332</v>
      </c>
      <c r="AY20" s="63">
        <f t="shared" si="11"/>
        <v>419593332</v>
      </c>
      <c r="AZ20" s="63">
        <f t="shared" si="11"/>
        <v>244393332</v>
      </c>
      <c r="BA20" s="63">
        <f t="shared" si="11"/>
        <v>0</v>
      </c>
      <c r="BB20" s="63"/>
      <c r="BC20" s="63"/>
      <c r="BD20" s="63">
        <f t="shared" si="11"/>
        <v>0</v>
      </c>
      <c r="BE20" s="63"/>
      <c r="BF20" s="63"/>
      <c r="BG20" s="63">
        <f t="shared" si="11"/>
        <v>575343332</v>
      </c>
      <c r="BH20" s="63">
        <f t="shared" ref="BH20:BI20" si="12">SUM(BH21:BH31)</f>
        <v>419593332</v>
      </c>
      <c r="BI20" s="63">
        <f t="shared" si="12"/>
        <v>244393332</v>
      </c>
    </row>
    <row r="21" spans="1:61" ht="138.75" customHeight="1" x14ac:dyDescent="0.2">
      <c r="A21" s="438"/>
      <c r="B21" s="441"/>
      <c r="C21" s="375"/>
      <c r="D21" s="354"/>
      <c r="E21" s="354" t="s">
        <v>92</v>
      </c>
      <c r="F21" s="356" t="s">
        <v>94</v>
      </c>
      <c r="G21" s="363" t="s">
        <v>126</v>
      </c>
      <c r="H21" s="354" t="s">
        <v>92</v>
      </c>
      <c r="I21" s="355" t="s">
        <v>1427</v>
      </c>
      <c r="J21" s="354" t="s">
        <v>127</v>
      </c>
      <c r="K21" s="354" t="s">
        <v>1417</v>
      </c>
      <c r="L21" s="355" t="s">
        <v>128</v>
      </c>
      <c r="M21" s="364" t="s">
        <v>98</v>
      </c>
      <c r="N21" s="364">
        <v>1</v>
      </c>
      <c r="O21" s="354">
        <v>1</v>
      </c>
      <c r="P21" s="226">
        <v>1</v>
      </c>
      <c r="Q21" s="421" t="s">
        <v>99</v>
      </c>
      <c r="R21" s="354" t="s">
        <v>129</v>
      </c>
      <c r="S21" s="355" t="s">
        <v>130</v>
      </c>
      <c r="T21" s="178"/>
      <c r="U21" s="178"/>
      <c r="V21" s="178"/>
      <c r="W21" s="178"/>
      <c r="X21" s="178"/>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61">
        <v>153233333</v>
      </c>
      <c r="AY21" s="61">
        <f>AX21</f>
        <v>153233333</v>
      </c>
      <c r="AZ21" s="61">
        <v>113733333</v>
      </c>
      <c r="BA21" s="178"/>
      <c r="BB21" s="178"/>
      <c r="BC21" s="178"/>
      <c r="BD21" s="178"/>
      <c r="BE21" s="178"/>
      <c r="BF21" s="178"/>
      <c r="BG21" s="173">
        <f t="shared" ref="BG21:BI31" si="13">+T21+W21+Z21+AC21+AF21+AI21+AL21+AO21+AR21+AU21+AX21+BA21+BD21</f>
        <v>153233333</v>
      </c>
      <c r="BH21" s="173">
        <f t="shared" si="13"/>
        <v>153233333</v>
      </c>
      <c r="BI21" s="173">
        <f t="shared" si="13"/>
        <v>113733333</v>
      </c>
    </row>
    <row r="22" spans="1:61" s="179" customFormat="1" ht="151.5" customHeight="1" x14ac:dyDescent="0.2">
      <c r="A22" s="453"/>
      <c r="B22" s="454"/>
      <c r="C22" s="19"/>
      <c r="D22" s="363"/>
      <c r="E22" s="354" t="s">
        <v>92</v>
      </c>
      <c r="F22" s="356" t="s">
        <v>94</v>
      </c>
      <c r="G22" s="363" t="s">
        <v>126</v>
      </c>
      <c r="H22" s="354" t="s">
        <v>92</v>
      </c>
      <c r="I22" s="355" t="s">
        <v>131</v>
      </c>
      <c r="J22" s="354" t="s">
        <v>127</v>
      </c>
      <c r="K22" s="354" t="s">
        <v>1417</v>
      </c>
      <c r="L22" s="355" t="s">
        <v>128</v>
      </c>
      <c r="M22" s="376" t="s">
        <v>98</v>
      </c>
      <c r="N22" s="377">
        <v>4</v>
      </c>
      <c r="O22" s="354">
        <v>4</v>
      </c>
      <c r="P22" s="226">
        <v>4</v>
      </c>
      <c r="Q22" s="421" t="s">
        <v>99</v>
      </c>
      <c r="R22" s="354" t="s">
        <v>132</v>
      </c>
      <c r="S22" s="355" t="s">
        <v>133</v>
      </c>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9">
        <f>85000000+120000000-20000000-30000000-61083333</f>
        <v>93916667</v>
      </c>
      <c r="AY22" s="379">
        <v>37766667</v>
      </c>
      <c r="AZ22" s="379">
        <v>18866667</v>
      </c>
      <c r="BA22" s="378"/>
      <c r="BB22" s="378"/>
      <c r="BC22" s="378"/>
      <c r="BD22" s="378"/>
      <c r="BE22" s="378"/>
      <c r="BF22" s="378"/>
      <c r="BG22" s="173">
        <f t="shared" si="13"/>
        <v>93916667</v>
      </c>
      <c r="BH22" s="173">
        <f t="shared" si="13"/>
        <v>37766667</v>
      </c>
      <c r="BI22" s="173">
        <f t="shared" si="13"/>
        <v>18866667</v>
      </c>
    </row>
    <row r="23" spans="1:61" ht="66" customHeight="1" x14ac:dyDescent="0.2">
      <c r="A23" s="438"/>
      <c r="B23" s="441"/>
      <c r="C23" s="375"/>
      <c r="D23" s="354"/>
      <c r="E23" s="354" t="s">
        <v>92</v>
      </c>
      <c r="F23" s="356" t="s">
        <v>94</v>
      </c>
      <c r="G23" s="363" t="s">
        <v>134</v>
      </c>
      <c r="H23" s="354" t="s">
        <v>92</v>
      </c>
      <c r="I23" s="355" t="s">
        <v>135</v>
      </c>
      <c r="J23" s="354" t="s">
        <v>136</v>
      </c>
      <c r="K23" s="354" t="s">
        <v>1417</v>
      </c>
      <c r="L23" s="355" t="s">
        <v>137</v>
      </c>
      <c r="M23" s="44" t="s">
        <v>98</v>
      </c>
      <c r="N23" s="45">
        <v>1</v>
      </c>
      <c r="O23" s="354">
        <v>1</v>
      </c>
      <c r="P23" s="226">
        <v>0.28000000000000003</v>
      </c>
      <c r="Q23" s="421" t="s">
        <v>99</v>
      </c>
      <c r="R23" s="354" t="s">
        <v>138</v>
      </c>
      <c r="S23" s="355" t="s">
        <v>139</v>
      </c>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9">
        <f>40000000-15093334</f>
        <v>24906666</v>
      </c>
      <c r="AY23" s="49">
        <v>24306666</v>
      </c>
      <c r="AZ23" s="49">
        <v>6906666</v>
      </c>
      <c r="BA23" s="43"/>
      <c r="BB23" s="43"/>
      <c r="BC23" s="43"/>
      <c r="BD23" s="43"/>
      <c r="BE23" s="43"/>
      <c r="BF23" s="43"/>
      <c r="BG23" s="173">
        <f t="shared" si="13"/>
        <v>24906666</v>
      </c>
      <c r="BH23" s="173">
        <f t="shared" si="13"/>
        <v>24306666</v>
      </c>
      <c r="BI23" s="173">
        <f t="shared" si="13"/>
        <v>6906666</v>
      </c>
    </row>
    <row r="24" spans="1:61" ht="86.25" customHeight="1" x14ac:dyDescent="0.2">
      <c r="A24" s="438"/>
      <c r="B24" s="441"/>
      <c r="C24" s="375"/>
      <c r="D24" s="354"/>
      <c r="E24" s="354" t="s">
        <v>92</v>
      </c>
      <c r="F24" s="356" t="s">
        <v>94</v>
      </c>
      <c r="G24" s="363" t="s">
        <v>140</v>
      </c>
      <c r="H24" s="354" t="s">
        <v>92</v>
      </c>
      <c r="I24" s="355" t="s">
        <v>141</v>
      </c>
      <c r="J24" s="354" t="s">
        <v>142</v>
      </c>
      <c r="K24" s="354" t="s">
        <v>1417</v>
      </c>
      <c r="L24" s="355" t="s">
        <v>143</v>
      </c>
      <c r="M24" s="44" t="s">
        <v>98</v>
      </c>
      <c r="N24" s="45">
        <v>1</v>
      </c>
      <c r="O24" s="354">
        <v>1</v>
      </c>
      <c r="P24" s="226">
        <v>0.6</v>
      </c>
      <c r="Q24" s="421" t="s">
        <v>99</v>
      </c>
      <c r="R24" s="354" t="s">
        <v>144</v>
      </c>
      <c r="S24" s="355" t="s">
        <v>1428</v>
      </c>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9">
        <f>300000000-50000000-101213334</f>
        <v>148786666</v>
      </c>
      <c r="AY24" s="49">
        <v>114586666</v>
      </c>
      <c r="AZ24" s="49">
        <v>73586666</v>
      </c>
      <c r="BA24" s="43"/>
      <c r="BB24" s="43"/>
      <c r="BC24" s="43"/>
      <c r="BD24" s="43"/>
      <c r="BE24" s="43"/>
      <c r="BF24" s="43"/>
      <c r="BG24" s="173">
        <f t="shared" si="13"/>
        <v>148786666</v>
      </c>
      <c r="BH24" s="173">
        <f t="shared" si="13"/>
        <v>114586666</v>
      </c>
      <c r="BI24" s="173">
        <f t="shared" si="13"/>
        <v>73586666</v>
      </c>
    </row>
    <row r="25" spans="1:61" ht="119.25" customHeight="1" x14ac:dyDescent="0.2">
      <c r="A25" s="438"/>
      <c r="B25" s="441"/>
      <c r="C25" s="375"/>
      <c r="D25" s="354"/>
      <c r="E25" s="354" t="s">
        <v>92</v>
      </c>
      <c r="F25" s="355" t="s">
        <v>146</v>
      </c>
      <c r="G25" s="354" t="s">
        <v>147</v>
      </c>
      <c r="H25" s="354" t="s">
        <v>92</v>
      </c>
      <c r="I25" s="355" t="s">
        <v>148</v>
      </c>
      <c r="J25" s="354" t="s">
        <v>149</v>
      </c>
      <c r="K25" s="354" t="s">
        <v>1417</v>
      </c>
      <c r="L25" s="355" t="s">
        <v>150</v>
      </c>
      <c r="M25" s="44" t="s">
        <v>98</v>
      </c>
      <c r="N25" s="45">
        <v>12</v>
      </c>
      <c r="O25" s="354">
        <v>12</v>
      </c>
      <c r="P25" s="226">
        <v>12</v>
      </c>
      <c r="Q25" s="518" t="s">
        <v>99</v>
      </c>
      <c r="R25" s="517" t="s">
        <v>151</v>
      </c>
      <c r="S25" s="518" t="s">
        <v>152</v>
      </c>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9">
        <f>83325000-45825000-3000000</f>
        <v>34500000</v>
      </c>
      <c r="AY25" s="49">
        <v>28500000</v>
      </c>
      <c r="AZ25" s="49">
        <v>19500000</v>
      </c>
      <c r="BA25" s="43"/>
      <c r="BB25" s="43"/>
      <c r="BC25" s="43"/>
      <c r="BD25" s="43"/>
      <c r="BE25" s="43"/>
      <c r="BF25" s="43"/>
      <c r="BG25" s="173">
        <f t="shared" si="13"/>
        <v>34500000</v>
      </c>
      <c r="BH25" s="173">
        <f t="shared" si="13"/>
        <v>28500000</v>
      </c>
      <c r="BI25" s="173">
        <f t="shared" si="13"/>
        <v>19500000</v>
      </c>
    </row>
    <row r="26" spans="1:61" ht="80.25" customHeight="1" x14ac:dyDescent="0.2">
      <c r="A26" s="438"/>
      <c r="B26" s="441"/>
      <c r="C26" s="375"/>
      <c r="D26" s="354"/>
      <c r="E26" s="354" t="s">
        <v>92</v>
      </c>
      <c r="F26" s="355" t="s">
        <v>146</v>
      </c>
      <c r="G26" s="354" t="s">
        <v>153</v>
      </c>
      <c r="H26" s="354" t="s">
        <v>92</v>
      </c>
      <c r="I26" s="355" t="s">
        <v>154</v>
      </c>
      <c r="J26" s="354" t="s">
        <v>155</v>
      </c>
      <c r="K26" s="354" t="s">
        <v>1417</v>
      </c>
      <c r="L26" s="355" t="s">
        <v>156</v>
      </c>
      <c r="M26" s="44" t="s">
        <v>98</v>
      </c>
      <c r="N26" s="45">
        <v>12</v>
      </c>
      <c r="O26" s="354">
        <v>12</v>
      </c>
      <c r="P26" s="226">
        <v>12</v>
      </c>
      <c r="Q26" s="518"/>
      <c r="R26" s="517"/>
      <c r="S26" s="518"/>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9">
        <v>15000000</v>
      </c>
      <c r="AY26" s="49">
        <v>9000000</v>
      </c>
      <c r="AZ26" s="49">
        <v>0</v>
      </c>
      <c r="BA26" s="43"/>
      <c r="BB26" s="43"/>
      <c r="BC26" s="43"/>
      <c r="BD26" s="43"/>
      <c r="BE26" s="43"/>
      <c r="BF26" s="43"/>
      <c r="BG26" s="173">
        <f t="shared" si="13"/>
        <v>15000000</v>
      </c>
      <c r="BH26" s="173">
        <f t="shared" si="13"/>
        <v>9000000</v>
      </c>
      <c r="BI26" s="173">
        <f t="shared" si="13"/>
        <v>0</v>
      </c>
    </row>
    <row r="27" spans="1:61" ht="83.25" customHeight="1" x14ac:dyDescent="0.2">
      <c r="A27" s="438"/>
      <c r="B27" s="441"/>
      <c r="C27" s="375"/>
      <c r="D27" s="354"/>
      <c r="E27" s="354" t="s">
        <v>92</v>
      </c>
      <c r="F27" s="355" t="s">
        <v>146</v>
      </c>
      <c r="G27" s="354" t="s">
        <v>157</v>
      </c>
      <c r="H27" s="354" t="s">
        <v>92</v>
      </c>
      <c r="I27" s="355" t="s">
        <v>158</v>
      </c>
      <c r="J27" s="354" t="s">
        <v>159</v>
      </c>
      <c r="K27" s="354" t="s">
        <v>1417</v>
      </c>
      <c r="L27" s="355" t="s">
        <v>156</v>
      </c>
      <c r="M27" s="44" t="s">
        <v>98</v>
      </c>
      <c r="N27" s="45">
        <v>12</v>
      </c>
      <c r="O27" s="354">
        <v>12</v>
      </c>
      <c r="P27" s="226">
        <v>12</v>
      </c>
      <c r="Q27" s="518"/>
      <c r="R27" s="517"/>
      <c r="S27" s="518"/>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9">
        <f>23000000-5000000-3000000</f>
        <v>15000000</v>
      </c>
      <c r="AY27" s="49">
        <v>8400000</v>
      </c>
      <c r="AZ27" s="49"/>
      <c r="BA27" s="43"/>
      <c r="BB27" s="43"/>
      <c r="BC27" s="43"/>
      <c r="BD27" s="43"/>
      <c r="BE27" s="43"/>
      <c r="BF27" s="43"/>
      <c r="BG27" s="173">
        <f t="shared" si="13"/>
        <v>15000000</v>
      </c>
      <c r="BH27" s="173">
        <f t="shared" si="13"/>
        <v>8400000</v>
      </c>
      <c r="BI27" s="173">
        <f t="shared" si="13"/>
        <v>0</v>
      </c>
    </row>
    <row r="28" spans="1:61" ht="109.5" customHeight="1" x14ac:dyDescent="0.2">
      <c r="A28" s="438"/>
      <c r="B28" s="441"/>
      <c r="C28" s="375"/>
      <c r="D28" s="354"/>
      <c r="E28" s="354" t="s">
        <v>92</v>
      </c>
      <c r="F28" s="356" t="s">
        <v>146</v>
      </c>
      <c r="G28" s="300" t="s">
        <v>160</v>
      </c>
      <c r="H28" s="354" t="s">
        <v>92</v>
      </c>
      <c r="I28" s="355" t="s">
        <v>161</v>
      </c>
      <c r="J28" s="300" t="s">
        <v>162</v>
      </c>
      <c r="K28" s="354" t="s">
        <v>1417</v>
      </c>
      <c r="L28" s="299" t="s">
        <v>156</v>
      </c>
      <c r="M28" s="44" t="s">
        <v>98</v>
      </c>
      <c r="N28" s="45">
        <v>12</v>
      </c>
      <c r="O28" s="354">
        <v>12</v>
      </c>
      <c r="P28" s="226">
        <v>12</v>
      </c>
      <c r="Q28" s="518"/>
      <c r="R28" s="517"/>
      <c r="S28" s="518"/>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9">
        <f>45000000-18000000-3000000</f>
        <v>24000000</v>
      </c>
      <c r="AY28" s="49">
        <v>17400000</v>
      </c>
      <c r="AZ28" s="49">
        <v>11800000</v>
      </c>
      <c r="BA28" s="43"/>
      <c r="BB28" s="43"/>
      <c r="BC28" s="43"/>
      <c r="BD28" s="43"/>
      <c r="BE28" s="43"/>
      <c r="BF28" s="43"/>
      <c r="BG28" s="173">
        <f t="shared" si="13"/>
        <v>24000000</v>
      </c>
      <c r="BH28" s="173">
        <f t="shared" si="13"/>
        <v>17400000</v>
      </c>
      <c r="BI28" s="173">
        <f t="shared" si="13"/>
        <v>11800000</v>
      </c>
    </row>
    <row r="29" spans="1:61" ht="105" customHeight="1" x14ac:dyDescent="0.2">
      <c r="A29" s="438"/>
      <c r="B29" s="441"/>
      <c r="C29" s="375"/>
      <c r="D29" s="354"/>
      <c r="E29" s="354" t="s">
        <v>92</v>
      </c>
      <c r="F29" s="356" t="s">
        <v>146</v>
      </c>
      <c r="G29" s="380" t="s">
        <v>163</v>
      </c>
      <c r="H29" s="354" t="s">
        <v>92</v>
      </c>
      <c r="I29" s="355" t="s">
        <v>164</v>
      </c>
      <c r="J29" s="354" t="s">
        <v>165</v>
      </c>
      <c r="K29" s="354" t="s">
        <v>1417</v>
      </c>
      <c r="L29" s="355" t="s">
        <v>156</v>
      </c>
      <c r="M29" s="44" t="s">
        <v>98</v>
      </c>
      <c r="N29" s="45">
        <v>12</v>
      </c>
      <c r="O29" s="354">
        <v>12</v>
      </c>
      <c r="P29" s="226">
        <v>0</v>
      </c>
      <c r="Q29" s="518"/>
      <c r="R29" s="517"/>
      <c r="S29" s="518"/>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9">
        <f>23000000-5000000-3000000</f>
        <v>15000000</v>
      </c>
      <c r="AY29" s="49"/>
      <c r="AZ29" s="49"/>
      <c r="BA29" s="43"/>
      <c r="BB29" s="43"/>
      <c r="BC29" s="43"/>
      <c r="BD29" s="43"/>
      <c r="BE29" s="43"/>
      <c r="BF29" s="43"/>
      <c r="BG29" s="173">
        <f t="shared" si="13"/>
        <v>15000000</v>
      </c>
      <c r="BH29" s="173">
        <f t="shared" si="13"/>
        <v>0</v>
      </c>
      <c r="BI29" s="173">
        <f t="shared" si="13"/>
        <v>0</v>
      </c>
    </row>
    <row r="30" spans="1:61" ht="93.75" customHeight="1" x14ac:dyDescent="0.2">
      <c r="A30" s="438"/>
      <c r="B30" s="441"/>
      <c r="C30" s="375"/>
      <c r="D30" s="354"/>
      <c r="E30" s="354" t="s">
        <v>92</v>
      </c>
      <c r="F30" s="355" t="s">
        <v>146</v>
      </c>
      <c r="G30" s="354" t="s">
        <v>166</v>
      </c>
      <c r="H30" s="354" t="s">
        <v>92</v>
      </c>
      <c r="I30" s="355" t="s">
        <v>167</v>
      </c>
      <c r="J30" s="354" t="s">
        <v>168</v>
      </c>
      <c r="K30" s="354" t="s">
        <v>1417</v>
      </c>
      <c r="L30" s="355" t="s">
        <v>156</v>
      </c>
      <c r="M30" s="44" t="s">
        <v>98</v>
      </c>
      <c r="N30" s="45">
        <v>12</v>
      </c>
      <c r="O30" s="354">
        <v>12</v>
      </c>
      <c r="P30" s="226">
        <v>12</v>
      </c>
      <c r="Q30" s="518"/>
      <c r="R30" s="517"/>
      <c r="S30" s="518"/>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9">
        <f>17312522.3+687478-0.3-3000000</f>
        <v>15000000</v>
      </c>
      <c r="AY30" s="49">
        <v>8400000</v>
      </c>
      <c r="AZ30" s="49"/>
      <c r="BA30" s="43"/>
      <c r="BB30" s="43"/>
      <c r="BC30" s="43"/>
      <c r="BD30" s="43"/>
      <c r="BE30" s="43"/>
      <c r="BF30" s="43"/>
      <c r="BG30" s="173">
        <f t="shared" si="13"/>
        <v>15000000</v>
      </c>
      <c r="BH30" s="173">
        <f t="shared" si="13"/>
        <v>8400000</v>
      </c>
      <c r="BI30" s="173">
        <f t="shared" si="13"/>
        <v>0</v>
      </c>
    </row>
    <row r="31" spans="1:61" ht="99.75" customHeight="1" x14ac:dyDescent="0.2">
      <c r="A31" s="439"/>
      <c r="B31" s="455"/>
      <c r="C31" s="381"/>
      <c r="D31" s="364"/>
      <c r="E31" s="354" t="s">
        <v>92</v>
      </c>
      <c r="F31" s="356" t="s">
        <v>94</v>
      </c>
      <c r="G31" s="298" t="s">
        <v>95</v>
      </c>
      <c r="H31" s="354" t="s">
        <v>92</v>
      </c>
      <c r="I31" s="355" t="s">
        <v>1426</v>
      </c>
      <c r="J31" s="354" t="s">
        <v>96</v>
      </c>
      <c r="K31" s="354" t="s">
        <v>92</v>
      </c>
      <c r="L31" s="355" t="s">
        <v>97</v>
      </c>
      <c r="M31" s="44" t="s">
        <v>98</v>
      </c>
      <c r="N31" s="45">
        <v>18</v>
      </c>
      <c r="O31" s="354">
        <v>18</v>
      </c>
      <c r="P31" s="226">
        <v>18</v>
      </c>
      <c r="Q31" s="421" t="s">
        <v>99</v>
      </c>
      <c r="R31" s="354" t="s">
        <v>169</v>
      </c>
      <c r="S31" s="355" t="s">
        <v>170</v>
      </c>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49">
        <f>73658667-37658667</f>
        <v>36000000</v>
      </c>
      <c r="AY31" s="49">
        <v>18000000</v>
      </c>
      <c r="AZ31" s="49"/>
      <c r="BA31" s="181"/>
      <c r="BB31" s="181"/>
      <c r="BC31" s="181"/>
      <c r="BD31" s="181"/>
      <c r="BE31" s="181"/>
      <c r="BF31" s="181"/>
      <c r="BG31" s="173">
        <f t="shared" si="13"/>
        <v>36000000</v>
      </c>
      <c r="BH31" s="173">
        <f t="shared" si="13"/>
        <v>18000000</v>
      </c>
      <c r="BI31" s="173">
        <f t="shared" si="13"/>
        <v>0</v>
      </c>
    </row>
    <row r="32" spans="1:61" s="242" customFormat="1" ht="15.75" x14ac:dyDescent="0.2">
      <c r="A32" s="443"/>
      <c r="B32" s="444"/>
      <c r="C32" s="444"/>
      <c r="D32" s="445"/>
      <c r="E32" s="446"/>
      <c r="F32" s="446"/>
      <c r="G32" s="447"/>
      <c r="H32" s="447"/>
      <c r="I32" s="448"/>
      <c r="J32" s="449"/>
      <c r="K32" s="449"/>
      <c r="L32" s="448"/>
      <c r="M32" s="447"/>
      <c r="N32" s="447"/>
      <c r="O32" s="449"/>
      <c r="P32" s="449"/>
      <c r="Q32" s="447"/>
      <c r="R32" s="447"/>
      <c r="S32" s="448"/>
      <c r="T32" s="450"/>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1"/>
      <c r="AY32" s="451"/>
      <c r="AZ32" s="451"/>
      <c r="BA32" s="450"/>
      <c r="BB32" s="450"/>
      <c r="BC32" s="450"/>
      <c r="BD32" s="450"/>
      <c r="BE32" s="450"/>
      <c r="BF32" s="450"/>
      <c r="BG32" s="451"/>
      <c r="BH32" s="451"/>
      <c r="BI32" s="451"/>
    </row>
    <row r="33" spans="1:67" ht="15.75" x14ac:dyDescent="0.2">
      <c r="A33" s="211" t="s">
        <v>1413</v>
      </c>
      <c r="B33" s="211"/>
      <c r="C33" s="211"/>
      <c r="D33" s="212"/>
      <c r="E33" s="212"/>
      <c r="F33" s="213"/>
      <c r="G33" s="214"/>
      <c r="H33" s="156"/>
      <c r="I33" s="213"/>
      <c r="J33" s="214"/>
      <c r="K33" s="214"/>
      <c r="L33" s="213"/>
      <c r="M33" s="156"/>
      <c r="N33" s="156"/>
      <c r="O33" s="214"/>
      <c r="P33" s="214"/>
      <c r="Q33" s="425"/>
      <c r="R33" s="214"/>
      <c r="S33" s="213"/>
      <c r="T33" s="188">
        <f>T34</f>
        <v>0</v>
      </c>
      <c r="U33" s="188"/>
      <c r="V33" s="188"/>
      <c r="W33" s="188">
        <f t="shared" ref="W33:BI34" si="14">W34</f>
        <v>0</v>
      </c>
      <c r="X33" s="188"/>
      <c r="Y33" s="188"/>
      <c r="Z33" s="188">
        <f t="shared" si="14"/>
        <v>0</v>
      </c>
      <c r="AA33" s="188"/>
      <c r="AB33" s="188"/>
      <c r="AC33" s="188">
        <f t="shared" si="14"/>
        <v>0</v>
      </c>
      <c r="AD33" s="188"/>
      <c r="AE33" s="188"/>
      <c r="AF33" s="188">
        <f t="shared" si="14"/>
        <v>0</v>
      </c>
      <c r="AG33" s="188"/>
      <c r="AH33" s="188"/>
      <c r="AI33" s="188">
        <f t="shared" si="14"/>
        <v>0</v>
      </c>
      <c r="AJ33" s="188"/>
      <c r="AK33" s="188"/>
      <c r="AL33" s="188">
        <f t="shared" si="14"/>
        <v>0</v>
      </c>
      <c r="AM33" s="188"/>
      <c r="AN33" s="188"/>
      <c r="AO33" s="188">
        <f t="shared" si="14"/>
        <v>0</v>
      </c>
      <c r="AP33" s="188"/>
      <c r="AQ33" s="188"/>
      <c r="AR33" s="188">
        <f t="shared" si="14"/>
        <v>0</v>
      </c>
      <c r="AS33" s="188"/>
      <c r="AT33" s="188"/>
      <c r="AU33" s="188">
        <f t="shared" si="14"/>
        <v>0</v>
      </c>
      <c r="AV33" s="188"/>
      <c r="AW33" s="188"/>
      <c r="AX33" s="188">
        <f t="shared" si="14"/>
        <v>2291134000</v>
      </c>
      <c r="AY33" s="188">
        <f t="shared" si="14"/>
        <v>1076539199</v>
      </c>
      <c r="AZ33" s="188">
        <f t="shared" si="14"/>
        <v>645852584</v>
      </c>
      <c r="BA33" s="188">
        <f t="shared" si="14"/>
        <v>0</v>
      </c>
      <c r="BB33" s="188"/>
      <c r="BC33" s="188"/>
      <c r="BD33" s="188">
        <f t="shared" si="14"/>
        <v>250000000</v>
      </c>
      <c r="BE33" s="188">
        <f t="shared" si="14"/>
        <v>55500000</v>
      </c>
      <c r="BF33" s="188">
        <f t="shared" si="14"/>
        <v>0</v>
      </c>
      <c r="BG33" s="188">
        <f t="shared" si="14"/>
        <v>2541134000</v>
      </c>
      <c r="BH33" s="188">
        <f t="shared" si="14"/>
        <v>1132039199</v>
      </c>
      <c r="BI33" s="188">
        <f t="shared" si="14"/>
        <v>645852584</v>
      </c>
      <c r="BJ33" s="487"/>
      <c r="BK33" s="487"/>
      <c r="BL33" s="487"/>
      <c r="BM33" s="487"/>
      <c r="BN33" s="487"/>
      <c r="BO33" s="487"/>
    </row>
    <row r="34" spans="1:67" ht="15.75" x14ac:dyDescent="0.2">
      <c r="A34" s="452"/>
      <c r="B34" s="259">
        <v>4</v>
      </c>
      <c r="C34" s="159" t="s">
        <v>117</v>
      </c>
      <c r="D34" s="160"/>
      <c r="E34" s="160"/>
      <c r="F34" s="161"/>
      <c r="G34" s="162"/>
      <c r="H34" s="163"/>
      <c r="I34" s="161"/>
      <c r="J34" s="162"/>
      <c r="K34" s="162"/>
      <c r="L34" s="161"/>
      <c r="M34" s="164"/>
      <c r="N34" s="164"/>
      <c r="O34" s="162"/>
      <c r="P34" s="162"/>
      <c r="Q34" s="426"/>
      <c r="R34" s="162"/>
      <c r="S34" s="161"/>
      <c r="T34" s="165">
        <f>T35</f>
        <v>0</v>
      </c>
      <c r="U34" s="165"/>
      <c r="V34" s="165"/>
      <c r="W34" s="165">
        <f t="shared" si="14"/>
        <v>0</v>
      </c>
      <c r="X34" s="165"/>
      <c r="Y34" s="165"/>
      <c r="Z34" s="165">
        <f t="shared" si="14"/>
        <v>0</v>
      </c>
      <c r="AA34" s="165"/>
      <c r="AB34" s="165"/>
      <c r="AC34" s="165">
        <f t="shared" si="14"/>
        <v>0</v>
      </c>
      <c r="AD34" s="165"/>
      <c r="AE34" s="165"/>
      <c r="AF34" s="165">
        <f t="shared" si="14"/>
        <v>0</v>
      </c>
      <c r="AG34" s="165"/>
      <c r="AH34" s="165"/>
      <c r="AI34" s="165">
        <f t="shared" si="14"/>
        <v>0</v>
      </c>
      <c r="AJ34" s="165"/>
      <c r="AK34" s="165"/>
      <c r="AL34" s="165">
        <f t="shared" si="14"/>
        <v>0</v>
      </c>
      <c r="AM34" s="165"/>
      <c r="AN34" s="165"/>
      <c r="AO34" s="165">
        <f t="shared" si="14"/>
        <v>0</v>
      </c>
      <c r="AP34" s="165"/>
      <c r="AQ34" s="165"/>
      <c r="AR34" s="165">
        <f t="shared" si="14"/>
        <v>0</v>
      </c>
      <c r="AS34" s="165"/>
      <c r="AT34" s="165"/>
      <c r="AU34" s="165">
        <f t="shared" si="14"/>
        <v>0</v>
      </c>
      <c r="AV34" s="165"/>
      <c r="AW34" s="165"/>
      <c r="AX34" s="165">
        <f t="shared" si="14"/>
        <v>2291134000</v>
      </c>
      <c r="AY34" s="165">
        <f t="shared" si="14"/>
        <v>1076539199</v>
      </c>
      <c r="AZ34" s="165">
        <f t="shared" si="14"/>
        <v>645852584</v>
      </c>
      <c r="BA34" s="165">
        <f t="shared" si="14"/>
        <v>0</v>
      </c>
      <c r="BB34" s="165"/>
      <c r="BC34" s="165"/>
      <c r="BD34" s="165">
        <f t="shared" si="14"/>
        <v>250000000</v>
      </c>
      <c r="BE34" s="165">
        <f t="shared" si="14"/>
        <v>55500000</v>
      </c>
      <c r="BF34" s="165">
        <f t="shared" si="14"/>
        <v>0</v>
      </c>
      <c r="BG34" s="165">
        <f t="shared" si="14"/>
        <v>2541134000</v>
      </c>
      <c r="BH34" s="165">
        <f t="shared" si="14"/>
        <v>1132039199</v>
      </c>
      <c r="BI34" s="165">
        <f t="shared" si="14"/>
        <v>645852584</v>
      </c>
    </row>
    <row r="35" spans="1:67" ht="15.75" customHeight="1" x14ac:dyDescent="0.2">
      <c r="A35" s="438"/>
      <c r="B35" s="440"/>
      <c r="C35" s="195">
        <v>45</v>
      </c>
      <c r="D35" s="167" t="s">
        <v>92</v>
      </c>
      <c r="E35" s="357" t="s">
        <v>93</v>
      </c>
      <c r="F35" s="219"/>
      <c r="G35" s="219"/>
      <c r="H35" s="219"/>
      <c r="I35" s="219"/>
      <c r="J35" s="219"/>
      <c r="K35" s="219"/>
      <c r="L35" s="219"/>
      <c r="M35" s="219"/>
      <c r="N35" s="219"/>
      <c r="O35" s="219"/>
      <c r="P35" s="219"/>
      <c r="Q35" s="166"/>
      <c r="R35" s="167"/>
      <c r="S35" s="166"/>
      <c r="T35" s="171">
        <f>SUM(T36:T37)</f>
        <v>0</v>
      </c>
      <c r="U35" s="171"/>
      <c r="V35" s="171"/>
      <c r="W35" s="171">
        <f t="shared" ref="W35:BI35" si="15">SUM(W36:W37)</f>
        <v>0</v>
      </c>
      <c r="X35" s="171"/>
      <c r="Y35" s="171"/>
      <c r="Z35" s="171">
        <f t="shared" si="15"/>
        <v>0</v>
      </c>
      <c r="AA35" s="171"/>
      <c r="AB35" s="171"/>
      <c r="AC35" s="171">
        <f t="shared" si="15"/>
        <v>0</v>
      </c>
      <c r="AD35" s="171"/>
      <c r="AE35" s="171"/>
      <c r="AF35" s="171">
        <f t="shared" si="15"/>
        <v>0</v>
      </c>
      <c r="AG35" s="171"/>
      <c r="AH35" s="171"/>
      <c r="AI35" s="171">
        <f t="shared" si="15"/>
        <v>0</v>
      </c>
      <c r="AJ35" s="171"/>
      <c r="AK35" s="171"/>
      <c r="AL35" s="171">
        <f t="shared" si="15"/>
        <v>0</v>
      </c>
      <c r="AM35" s="171"/>
      <c r="AN35" s="171"/>
      <c r="AO35" s="171">
        <f t="shared" si="15"/>
        <v>0</v>
      </c>
      <c r="AP35" s="171"/>
      <c r="AQ35" s="171"/>
      <c r="AR35" s="171">
        <f t="shared" si="15"/>
        <v>0</v>
      </c>
      <c r="AS35" s="171"/>
      <c r="AT35" s="171"/>
      <c r="AU35" s="171">
        <f t="shared" si="15"/>
        <v>0</v>
      </c>
      <c r="AV35" s="171"/>
      <c r="AW35" s="171"/>
      <c r="AX35" s="171">
        <f t="shared" si="15"/>
        <v>2291134000</v>
      </c>
      <c r="AY35" s="171">
        <f t="shared" si="15"/>
        <v>1076539199</v>
      </c>
      <c r="AZ35" s="171">
        <f t="shared" si="15"/>
        <v>645852584</v>
      </c>
      <c r="BA35" s="171">
        <f t="shared" si="15"/>
        <v>0</v>
      </c>
      <c r="BB35" s="171"/>
      <c r="BC35" s="171"/>
      <c r="BD35" s="171">
        <f t="shared" si="15"/>
        <v>250000000</v>
      </c>
      <c r="BE35" s="171">
        <f t="shared" si="15"/>
        <v>55500000</v>
      </c>
      <c r="BF35" s="171">
        <f t="shared" si="15"/>
        <v>0</v>
      </c>
      <c r="BG35" s="171">
        <f t="shared" si="15"/>
        <v>2541134000</v>
      </c>
      <c r="BH35" s="171">
        <f t="shared" si="15"/>
        <v>1132039199</v>
      </c>
      <c r="BI35" s="171">
        <f t="shared" si="15"/>
        <v>645852584</v>
      </c>
    </row>
    <row r="36" spans="1:67" ht="69.75" customHeight="1" x14ac:dyDescent="0.2">
      <c r="A36" s="438"/>
      <c r="B36" s="441"/>
      <c r="C36" s="373"/>
      <c r="D36" s="374"/>
      <c r="E36" s="354" t="s">
        <v>92</v>
      </c>
      <c r="F36" s="355" t="s">
        <v>1414</v>
      </c>
      <c r="G36" s="300" t="s">
        <v>171</v>
      </c>
      <c r="H36" s="354" t="s">
        <v>92</v>
      </c>
      <c r="I36" s="189" t="s">
        <v>172</v>
      </c>
      <c r="J36" s="300" t="s">
        <v>173</v>
      </c>
      <c r="K36" s="298" t="s">
        <v>92</v>
      </c>
      <c r="L36" s="299" t="s">
        <v>174</v>
      </c>
      <c r="M36" s="354" t="s">
        <v>98</v>
      </c>
      <c r="N36" s="354">
        <v>1</v>
      </c>
      <c r="O36" s="190">
        <v>1</v>
      </c>
      <c r="P36" s="329" t="s">
        <v>1409</v>
      </c>
      <c r="Q36" s="421" t="s">
        <v>99</v>
      </c>
      <c r="R36" s="354" t="s">
        <v>175</v>
      </c>
      <c r="S36" s="355" t="s">
        <v>176</v>
      </c>
      <c r="T36" s="191"/>
      <c r="U36" s="191"/>
      <c r="V36" s="191"/>
      <c r="W36" s="191"/>
      <c r="X36" s="191"/>
      <c r="Y36" s="191"/>
      <c r="Z36" s="43"/>
      <c r="AA36" s="43"/>
      <c r="AB36" s="43"/>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49">
        <f>1470270000+250000000</f>
        <v>1720270000</v>
      </c>
      <c r="AY36" s="49">
        <v>874752535</v>
      </c>
      <c r="AZ36" s="49">
        <v>487585920</v>
      </c>
      <c r="BA36" s="191"/>
      <c r="BB36" s="191"/>
      <c r="BC36" s="191"/>
      <c r="BD36" s="192">
        <v>250000000</v>
      </c>
      <c r="BE36" s="192">
        <v>55500000</v>
      </c>
      <c r="BF36" s="192"/>
      <c r="BG36" s="173">
        <f>+T36+W36+Z36+AC36+AF36+AI36+AL36+AO36+AR36+AU36+AX36+BA36+BD36</f>
        <v>1970270000</v>
      </c>
      <c r="BH36" s="173">
        <f t="shared" ref="BH36:BI37" si="16">+U36+X36+AA36+AD36+AG36+AJ36+AM36+AP36+AS36+AV36+AY36+BB36+BE36</f>
        <v>930252535</v>
      </c>
      <c r="BI36" s="173">
        <f t="shared" si="16"/>
        <v>487585920</v>
      </c>
    </row>
    <row r="37" spans="1:67" ht="117.75" customHeight="1" x14ac:dyDescent="0.2">
      <c r="A37" s="439"/>
      <c r="B37" s="442"/>
      <c r="C37" s="373"/>
      <c r="D37" s="374"/>
      <c r="E37" s="354" t="s">
        <v>92</v>
      </c>
      <c r="F37" s="355" t="s">
        <v>1414</v>
      </c>
      <c r="G37" s="300" t="s">
        <v>177</v>
      </c>
      <c r="H37" s="354" t="s">
        <v>92</v>
      </c>
      <c r="I37" s="189" t="s">
        <v>178</v>
      </c>
      <c r="J37" s="300" t="s">
        <v>179</v>
      </c>
      <c r="K37" s="298" t="s">
        <v>92</v>
      </c>
      <c r="L37" s="299" t="s">
        <v>180</v>
      </c>
      <c r="M37" s="354" t="s">
        <v>98</v>
      </c>
      <c r="N37" s="354">
        <v>1</v>
      </c>
      <c r="O37" s="190">
        <v>1</v>
      </c>
      <c r="P37" s="329" t="s">
        <v>1410</v>
      </c>
      <c r="Q37" s="421" t="s">
        <v>99</v>
      </c>
      <c r="R37" s="354" t="s">
        <v>181</v>
      </c>
      <c r="S37" s="355" t="s">
        <v>1429</v>
      </c>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223">
        <v>570864000</v>
      </c>
      <c r="AY37" s="223">
        <v>201786664</v>
      </c>
      <c r="AZ37" s="223">
        <v>158266664</v>
      </c>
      <c r="BA37" s="43"/>
      <c r="BB37" s="43"/>
      <c r="BC37" s="43"/>
      <c r="BD37" s="43"/>
      <c r="BE37" s="43"/>
      <c r="BF37" s="43"/>
      <c r="BG37" s="173">
        <f>+T37+W37+Z37+AC37+AF37+AI37+AL37+AO37+AR37+AU37+AX37+BA37+BD37</f>
        <v>570864000</v>
      </c>
      <c r="BH37" s="173">
        <f t="shared" si="16"/>
        <v>201786664</v>
      </c>
      <c r="BI37" s="173">
        <f t="shared" si="16"/>
        <v>158266664</v>
      </c>
    </row>
    <row r="38" spans="1:67" s="242" customFormat="1" ht="15.75" x14ac:dyDescent="0.2">
      <c r="A38" s="443"/>
      <c r="B38" s="444"/>
      <c r="C38" s="444"/>
      <c r="D38" s="445"/>
      <c r="E38" s="446"/>
      <c r="F38" s="446"/>
      <c r="G38" s="447"/>
      <c r="H38" s="447"/>
      <c r="I38" s="448"/>
      <c r="J38" s="449"/>
      <c r="K38" s="449"/>
      <c r="L38" s="448"/>
      <c r="M38" s="447"/>
      <c r="N38" s="447"/>
      <c r="O38" s="449"/>
      <c r="P38" s="449"/>
      <c r="Q38" s="447"/>
      <c r="R38" s="447"/>
      <c r="S38" s="448"/>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1"/>
      <c r="AY38" s="451"/>
      <c r="AZ38" s="451"/>
      <c r="BA38" s="450"/>
      <c r="BB38" s="450"/>
      <c r="BC38" s="450"/>
      <c r="BD38" s="450"/>
      <c r="BE38" s="450"/>
      <c r="BF38" s="450"/>
      <c r="BG38" s="451"/>
      <c r="BH38" s="451"/>
      <c r="BI38" s="451"/>
    </row>
    <row r="39" spans="1:67" ht="15.75" x14ac:dyDescent="0.2">
      <c r="A39" s="211" t="s">
        <v>1390</v>
      </c>
      <c r="B39" s="211"/>
      <c r="C39" s="211"/>
      <c r="D39" s="212"/>
      <c r="E39" s="212"/>
      <c r="F39" s="213"/>
      <c r="G39" s="214"/>
      <c r="H39" s="156"/>
      <c r="I39" s="213"/>
      <c r="J39" s="214"/>
      <c r="K39" s="214"/>
      <c r="L39" s="213"/>
      <c r="M39" s="156"/>
      <c r="N39" s="156"/>
      <c r="O39" s="214"/>
      <c r="P39" s="214"/>
      <c r="Q39" s="212"/>
      <c r="R39" s="214"/>
      <c r="S39" s="213"/>
      <c r="T39" s="188">
        <f t="shared" ref="T39" si="17">T40+T53+T58+T73</f>
        <v>1875832773.6699998</v>
      </c>
      <c r="U39" s="188">
        <f t="shared" ref="U39" si="18">U40+U53+U58+U73</f>
        <v>613306666</v>
      </c>
      <c r="V39" s="188">
        <f t="shared" ref="V39" si="19">V40+V53+V58+V73</f>
        <v>290562325</v>
      </c>
      <c r="W39" s="188">
        <f t="shared" ref="W39" si="20">W40+W53+W58+W73</f>
        <v>0</v>
      </c>
      <c r="X39" s="188">
        <f t="shared" ref="X39" si="21">X40+X53+X58+X73</f>
        <v>0</v>
      </c>
      <c r="Y39" s="188">
        <f t="shared" ref="Y39" si="22">Y40+Y53+Y58+Y73</f>
        <v>0</v>
      </c>
      <c r="Z39" s="188">
        <f t="shared" ref="Z39" si="23">Z40+Z53+Z58+Z73</f>
        <v>184304077.94</v>
      </c>
      <c r="AA39" s="188">
        <f t="shared" ref="AA39" si="24">AA40+AA53+AA58+AA73</f>
        <v>184278666</v>
      </c>
      <c r="AB39" s="188">
        <f t="shared" ref="AB39" si="25">AB40+AB53+AB58+AB73</f>
        <v>90435017</v>
      </c>
      <c r="AC39" s="188">
        <f t="shared" ref="AC39" si="26">AC40+AC53+AC58+AC73</f>
        <v>0</v>
      </c>
      <c r="AD39" s="188">
        <f t="shared" ref="AD39" si="27">AD40+AD53+AD58+AD73</f>
        <v>0</v>
      </c>
      <c r="AE39" s="188">
        <f t="shared" ref="AE39" si="28">AE40+AE53+AE58+AE73</f>
        <v>0</v>
      </c>
      <c r="AF39" s="188">
        <f t="shared" ref="AF39" si="29">AF40+AF53+AF58+AF73</f>
        <v>0</v>
      </c>
      <c r="AG39" s="188">
        <f t="shared" ref="AG39" si="30">AG40+AG53+AG58+AG73</f>
        <v>0</v>
      </c>
      <c r="AH39" s="188">
        <f t="shared" ref="AH39" si="31">AH40+AH53+AH58+AH73</f>
        <v>0</v>
      </c>
      <c r="AI39" s="188">
        <f t="shared" ref="AI39" si="32">AI40+AI53+AI58+AI73</f>
        <v>0</v>
      </c>
      <c r="AJ39" s="188">
        <f t="shared" ref="AJ39" si="33">AJ40+AJ53+AJ58+AJ73</f>
        <v>0</v>
      </c>
      <c r="AK39" s="188">
        <f t="shared" ref="AK39" si="34">AK40+AK53+AK58+AK73</f>
        <v>0</v>
      </c>
      <c r="AL39" s="188">
        <f t="shared" ref="AL39" si="35">AL40+AL53+AL58+AL73</f>
        <v>0</v>
      </c>
      <c r="AM39" s="188">
        <f t="shared" ref="AM39" si="36">AM40+AM53+AM58+AM73</f>
        <v>0</v>
      </c>
      <c r="AN39" s="188">
        <f t="shared" ref="AN39" si="37">AN40+AN53+AN58+AN73</f>
        <v>0</v>
      </c>
      <c r="AO39" s="188">
        <f t="shared" ref="AO39" si="38">AO40+AO53+AO58+AO73</f>
        <v>0</v>
      </c>
      <c r="AP39" s="188">
        <f t="shared" ref="AP39" si="39">AP40+AP53+AP58+AP73</f>
        <v>0</v>
      </c>
      <c r="AQ39" s="188">
        <f t="shared" ref="AQ39" si="40">AQ40+AQ53+AQ58+AQ73</f>
        <v>0</v>
      </c>
      <c r="AR39" s="188">
        <f t="shared" ref="AR39" si="41">AR40+AR53+AR58+AR73</f>
        <v>0</v>
      </c>
      <c r="AS39" s="188">
        <f t="shared" ref="AS39" si="42">AS40+AS53+AS58+AS73</f>
        <v>0</v>
      </c>
      <c r="AT39" s="188">
        <f t="shared" ref="AT39" si="43">AT40+AT53+AT58+AT73</f>
        <v>0</v>
      </c>
      <c r="AU39" s="188">
        <f t="shared" ref="AU39" si="44">AU40+AU53+AU58+AU73</f>
        <v>2686652877.1199999</v>
      </c>
      <c r="AV39" s="188">
        <f t="shared" ref="AV39" si="45">AV40+AV53+AV58+AV73</f>
        <v>0</v>
      </c>
      <c r="AW39" s="188">
        <f t="shared" ref="AW39" si="46">AW40+AW53+AW58+AW73</f>
        <v>0</v>
      </c>
      <c r="AX39" s="188">
        <f t="shared" ref="AX39" si="47">AX40+AX53+AX58+AX73</f>
        <v>580123597.74000001</v>
      </c>
      <c r="AY39" s="188">
        <f t="shared" ref="AY39" si="48">AY40+AY53+AY58+AY73</f>
        <v>109190666</v>
      </c>
      <c r="AZ39" s="188">
        <f t="shared" ref="AZ39" si="49">AZ40+AZ53+AZ58+AZ73</f>
        <v>59190666</v>
      </c>
      <c r="BA39" s="188">
        <f t="shared" ref="BA39" si="50">BA40+BA53+BA58+BA73</f>
        <v>60660648</v>
      </c>
      <c r="BB39" s="188">
        <f t="shared" ref="BB39" si="51">BB40+BB53+BB58+BB73</f>
        <v>0</v>
      </c>
      <c r="BC39" s="188">
        <f t="shared" ref="BC39" si="52">BC40+BC53+BC58+BC73</f>
        <v>0</v>
      </c>
      <c r="BD39" s="188">
        <f t="shared" ref="BD39" si="53">BD40+BD53+BD58+BD73</f>
        <v>0</v>
      </c>
      <c r="BE39" s="188">
        <f t="shared" ref="BE39" si="54">BE40+BE53+BE58+BE73</f>
        <v>0</v>
      </c>
      <c r="BF39" s="188">
        <f t="shared" ref="BF39" si="55">BF40+BF53+BF58+BF73</f>
        <v>0</v>
      </c>
      <c r="BG39" s="188">
        <f t="shared" ref="BG39" si="56">BG40+BG53+BG58+BG73</f>
        <v>5387573974.4699993</v>
      </c>
      <c r="BH39" s="188">
        <f t="shared" ref="BH39" si="57">BH40+BH53+BH58+BH73</f>
        <v>906775998</v>
      </c>
      <c r="BI39" s="188">
        <f t="shared" ref="BI39" si="58">BI40+BI53+BI58+BI73</f>
        <v>440188008</v>
      </c>
      <c r="BJ39" s="487"/>
      <c r="BK39" s="487"/>
      <c r="BL39" s="487"/>
      <c r="BM39" s="487"/>
      <c r="BN39" s="487"/>
      <c r="BO39" s="487"/>
    </row>
    <row r="40" spans="1:67" ht="15.75" x14ac:dyDescent="0.2">
      <c r="A40" s="452"/>
      <c r="B40" s="259">
        <v>1</v>
      </c>
      <c r="C40" s="159" t="s">
        <v>1</v>
      </c>
      <c r="D40" s="160"/>
      <c r="E40" s="160"/>
      <c r="F40" s="161"/>
      <c r="G40" s="162"/>
      <c r="H40" s="163"/>
      <c r="I40" s="161"/>
      <c r="J40" s="162"/>
      <c r="K40" s="162"/>
      <c r="L40" s="161"/>
      <c r="M40" s="164"/>
      <c r="N40" s="164"/>
      <c r="O40" s="162"/>
      <c r="P40" s="162"/>
      <c r="Q40" s="160"/>
      <c r="R40" s="162"/>
      <c r="S40" s="161"/>
      <c r="T40" s="165">
        <f t="shared" ref="T40" si="59">T41+T43+T45+T49+T51+T47</f>
        <v>1671410242.8699999</v>
      </c>
      <c r="U40" s="165">
        <f t="shared" ref="U40" si="60">U41+U43+U45+U49+U51+U47</f>
        <v>613306666</v>
      </c>
      <c r="V40" s="165">
        <f t="shared" ref="V40" si="61">V41+V43+V45+V49+V51+V47</f>
        <v>290562325</v>
      </c>
      <c r="W40" s="165">
        <f t="shared" ref="W40" si="62">W41+W43+W45+W49+W51+W47</f>
        <v>0</v>
      </c>
      <c r="X40" s="165">
        <f t="shared" ref="X40" si="63">X41+X43+X45+X49+X51+X47</f>
        <v>0</v>
      </c>
      <c r="Y40" s="165">
        <f t="shared" ref="Y40" si="64">Y41+Y43+Y45+Y49+Y51+Y47</f>
        <v>0</v>
      </c>
      <c r="Z40" s="165">
        <f t="shared" ref="Z40" si="65">Z41+Z43+Z45+Z49+Z51+Z47</f>
        <v>0</v>
      </c>
      <c r="AA40" s="165">
        <f t="shared" ref="AA40" si="66">AA41+AA43+AA45+AA49+AA51+AA47</f>
        <v>0</v>
      </c>
      <c r="AB40" s="165">
        <f t="shared" ref="AB40" si="67">AB41+AB43+AB45+AB49+AB51+AB47</f>
        <v>0</v>
      </c>
      <c r="AC40" s="165">
        <f t="shared" ref="AC40" si="68">AC41+AC43+AC45+AC49+AC51+AC47</f>
        <v>0</v>
      </c>
      <c r="AD40" s="165">
        <f t="shared" ref="AD40" si="69">AD41+AD43+AD45+AD49+AD51+AD47</f>
        <v>0</v>
      </c>
      <c r="AE40" s="165">
        <f t="shared" ref="AE40" si="70">AE41+AE43+AE45+AE49+AE51+AE47</f>
        <v>0</v>
      </c>
      <c r="AF40" s="165">
        <f t="shared" ref="AF40" si="71">AF41+AF43+AF45+AF49+AF51+AF47</f>
        <v>0</v>
      </c>
      <c r="AG40" s="165">
        <f t="shared" ref="AG40" si="72">AG41+AG43+AG45+AG49+AG51+AG47</f>
        <v>0</v>
      </c>
      <c r="AH40" s="165">
        <f t="shared" ref="AH40" si="73">AH41+AH43+AH45+AH49+AH51+AH47</f>
        <v>0</v>
      </c>
      <c r="AI40" s="165">
        <f t="shared" ref="AI40" si="74">AI41+AI43+AI45+AI49+AI51+AI47</f>
        <v>0</v>
      </c>
      <c r="AJ40" s="165">
        <f t="shared" ref="AJ40" si="75">AJ41+AJ43+AJ45+AJ49+AJ51+AJ47</f>
        <v>0</v>
      </c>
      <c r="AK40" s="165">
        <f t="shared" ref="AK40" si="76">AK41+AK43+AK45+AK49+AK51+AK47</f>
        <v>0</v>
      </c>
      <c r="AL40" s="165">
        <f t="shared" ref="AL40" si="77">AL41+AL43+AL45+AL49+AL51+AL47</f>
        <v>0</v>
      </c>
      <c r="AM40" s="165">
        <f t="shared" ref="AM40" si="78">AM41+AM43+AM45+AM49+AM51+AM47</f>
        <v>0</v>
      </c>
      <c r="AN40" s="165">
        <f t="shared" ref="AN40" si="79">AN41+AN43+AN45+AN49+AN51+AN47</f>
        <v>0</v>
      </c>
      <c r="AO40" s="165">
        <f t="shared" ref="AO40" si="80">AO41+AO43+AO45+AO49+AO51+AO47</f>
        <v>0</v>
      </c>
      <c r="AP40" s="165">
        <f t="shared" ref="AP40" si="81">AP41+AP43+AP45+AP49+AP51+AP47</f>
        <v>0</v>
      </c>
      <c r="AQ40" s="165">
        <f t="shared" ref="AQ40" si="82">AQ41+AQ43+AQ45+AQ49+AQ51+AQ47</f>
        <v>0</v>
      </c>
      <c r="AR40" s="165">
        <f t="shared" ref="AR40" si="83">AR41+AR43+AR45+AR49+AR51+AR47</f>
        <v>0</v>
      </c>
      <c r="AS40" s="165">
        <f t="shared" ref="AS40" si="84">AS41+AS43+AS45+AS49+AS51+AS47</f>
        <v>0</v>
      </c>
      <c r="AT40" s="165">
        <f t="shared" ref="AT40" si="85">AT41+AT43+AT45+AT49+AT51+AT47</f>
        <v>0</v>
      </c>
      <c r="AU40" s="165">
        <f t="shared" ref="AU40" si="86">AU41+AU43+AU45+AU49+AU51+AU47</f>
        <v>0</v>
      </c>
      <c r="AV40" s="165">
        <f t="shared" ref="AV40" si="87">AV41+AV43+AV45+AV49+AV51+AV47</f>
        <v>0</v>
      </c>
      <c r="AW40" s="165">
        <f t="shared" ref="AW40" si="88">AW41+AW43+AW45+AW49+AW51+AW47</f>
        <v>0</v>
      </c>
      <c r="AX40" s="165">
        <f t="shared" ref="AX40" si="89">AX41+AX43+AX45+AX49+AX51+AX47</f>
        <v>55000000</v>
      </c>
      <c r="AY40" s="165">
        <f t="shared" ref="AY40" si="90">AY41+AY43+AY45+AY49+AY51+AY47</f>
        <v>14400000</v>
      </c>
      <c r="AZ40" s="165">
        <f t="shared" ref="AZ40" si="91">AZ41+AZ43+AZ45+AZ49+AZ51+AZ47</f>
        <v>0</v>
      </c>
      <c r="BA40" s="165">
        <f t="shared" ref="BA40" si="92">BA41+BA43+BA45+BA49+BA51+BA47</f>
        <v>0</v>
      </c>
      <c r="BB40" s="165">
        <f t="shared" ref="BB40" si="93">BB41+BB43+BB45+BB49+BB51+BB47</f>
        <v>0</v>
      </c>
      <c r="BC40" s="165">
        <f t="shared" ref="BC40" si="94">BC41+BC43+BC45+BC49+BC51+BC47</f>
        <v>0</v>
      </c>
      <c r="BD40" s="165">
        <f t="shared" ref="BD40" si="95">BD41+BD43+BD45+BD49+BD51+BD47</f>
        <v>0</v>
      </c>
      <c r="BE40" s="165">
        <f t="shared" ref="BE40" si="96">BE41+BE43+BE45+BE49+BE51+BE47</f>
        <v>0</v>
      </c>
      <c r="BF40" s="165">
        <f t="shared" ref="BF40" si="97">BF41+BF43+BF45+BF49+BF51+BF47</f>
        <v>0</v>
      </c>
      <c r="BG40" s="165">
        <f t="shared" ref="BG40" si="98">BG41+BG43+BG45+BG49+BG51+BG47</f>
        <v>1726410242.8699999</v>
      </c>
      <c r="BH40" s="165">
        <f t="shared" ref="BH40" si="99">BH41+BH43+BH45+BH49+BH51+BH47</f>
        <v>627706666</v>
      </c>
      <c r="BI40" s="165">
        <f t="shared" ref="BI40" si="100">BI41+BI43+BI45+BI49+BI51+BI47</f>
        <v>290562325</v>
      </c>
    </row>
    <row r="41" spans="1:67" ht="21.75" customHeight="1" x14ac:dyDescent="0.2">
      <c r="A41" s="438"/>
      <c r="B41" s="440"/>
      <c r="C41" s="195">
        <v>1</v>
      </c>
      <c r="D41" s="167">
        <v>1202</v>
      </c>
      <c r="E41" s="357" t="s">
        <v>1430</v>
      </c>
      <c r="F41" s="166"/>
      <c r="G41" s="167"/>
      <c r="H41" s="168"/>
      <c r="I41" s="166"/>
      <c r="J41" s="167"/>
      <c r="K41" s="167"/>
      <c r="L41" s="166"/>
      <c r="M41" s="169"/>
      <c r="N41" s="169"/>
      <c r="O41" s="167"/>
      <c r="P41" s="167"/>
      <c r="Q41" s="170"/>
      <c r="R41" s="167"/>
      <c r="S41" s="166"/>
      <c r="T41" s="171">
        <f t="shared" ref="T41" si="101">T42</f>
        <v>0</v>
      </c>
      <c r="U41" s="171">
        <f t="shared" ref="U41" si="102">U42</f>
        <v>0</v>
      </c>
      <c r="V41" s="171">
        <f t="shared" ref="V41" si="103">V42</f>
        <v>0</v>
      </c>
      <c r="W41" s="171">
        <f t="shared" ref="W41" si="104">W42</f>
        <v>0</v>
      </c>
      <c r="X41" s="171">
        <f t="shared" ref="X41" si="105">X42</f>
        <v>0</v>
      </c>
      <c r="Y41" s="171">
        <f t="shared" ref="Y41" si="106">Y42</f>
        <v>0</v>
      </c>
      <c r="Z41" s="171">
        <f t="shared" ref="Z41" si="107">Z42</f>
        <v>0</v>
      </c>
      <c r="AA41" s="171">
        <f t="shared" ref="AA41" si="108">AA42</f>
        <v>0</v>
      </c>
      <c r="AB41" s="171">
        <f t="shared" ref="AB41" si="109">AB42</f>
        <v>0</v>
      </c>
      <c r="AC41" s="171">
        <f t="shared" ref="AC41" si="110">AC42</f>
        <v>0</v>
      </c>
      <c r="AD41" s="171">
        <f t="shared" ref="AD41" si="111">AD42</f>
        <v>0</v>
      </c>
      <c r="AE41" s="171">
        <f t="shared" ref="AE41" si="112">AE42</f>
        <v>0</v>
      </c>
      <c r="AF41" s="171">
        <f t="shared" ref="AF41" si="113">AF42</f>
        <v>0</v>
      </c>
      <c r="AG41" s="171">
        <f t="shared" ref="AG41" si="114">AG42</f>
        <v>0</v>
      </c>
      <c r="AH41" s="171">
        <f t="shared" ref="AH41" si="115">AH42</f>
        <v>0</v>
      </c>
      <c r="AI41" s="171">
        <f t="shared" ref="AI41" si="116">AI42</f>
        <v>0</v>
      </c>
      <c r="AJ41" s="171">
        <f t="shared" ref="AJ41" si="117">AJ42</f>
        <v>0</v>
      </c>
      <c r="AK41" s="171">
        <f t="shared" ref="AK41" si="118">AK42</f>
        <v>0</v>
      </c>
      <c r="AL41" s="171">
        <f t="shared" ref="AL41" si="119">AL42</f>
        <v>0</v>
      </c>
      <c r="AM41" s="171">
        <f t="shared" ref="AM41" si="120">AM42</f>
        <v>0</v>
      </c>
      <c r="AN41" s="171">
        <f t="shared" ref="AN41" si="121">AN42</f>
        <v>0</v>
      </c>
      <c r="AO41" s="171">
        <f t="shared" ref="AO41" si="122">AO42</f>
        <v>0</v>
      </c>
      <c r="AP41" s="171">
        <f t="shared" ref="AP41" si="123">AP42</f>
        <v>0</v>
      </c>
      <c r="AQ41" s="171">
        <f t="shared" ref="AQ41" si="124">AQ42</f>
        <v>0</v>
      </c>
      <c r="AR41" s="171">
        <f t="shared" ref="AR41" si="125">AR42</f>
        <v>0</v>
      </c>
      <c r="AS41" s="171">
        <f t="shared" ref="AS41" si="126">AS42</f>
        <v>0</v>
      </c>
      <c r="AT41" s="171">
        <f t="shared" ref="AT41" si="127">AT42</f>
        <v>0</v>
      </c>
      <c r="AU41" s="171">
        <f t="shared" ref="AU41" si="128">AU42</f>
        <v>0</v>
      </c>
      <c r="AV41" s="171">
        <f t="shared" ref="AV41" si="129">AV42</f>
        <v>0</v>
      </c>
      <c r="AW41" s="171">
        <f t="shared" ref="AW41" si="130">AW42</f>
        <v>0</v>
      </c>
      <c r="AX41" s="171">
        <f t="shared" ref="AX41" si="131">AX42</f>
        <v>3000000</v>
      </c>
      <c r="AY41" s="171">
        <f t="shared" ref="AY41" si="132">AY42</f>
        <v>0</v>
      </c>
      <c r="AZ41" s="171">
        <f t="shared" ref="AZ41" si="133">AZ42</f>
        <v>0</v>
      </c>
      <c r="BA41" s="171">
        <f t="shared" ref="BA41" si="134">BA42</f>
        <v>0</v>
      </c>
      <c r="BB41" s="171">
        <f t="shared" ref="BB41" si="135">BB42</f>
        <v>0</v>
      </c>
      <c r="BC41" s="171">
        <f t="shared" ref="BC41" si="136">BC42</f>
        <v>0</v>
      </c>
      <c r="BD41" s="171">
        <f t="shared" ref="BD41" si="137">BD42</f>
        <v>0</v>
      </c>
      <c r="BE41" s="171">
        <f t="shared" ref="BE41" si="138">BE42</f>
        <v>0</v>
      </c>
      <c r="BF41" s="171">
        <f t="shared" ref="BF41" si="139">BF42</f>
        <v>0</v>
      </c>
      <c r="BG41" s="171">
        <f t="shared" ref="BG41" si="140">BG42</f>
        <v>3000000</v>
      </c>
      <c r="BH41" s="171">
        <f t="shared" ref="BH41" si="141">BH42</f>
        <v>0</v>
      </c>
      <c r="BI41" s="171">
        <f t="shared" ref="BI41" si="142">BI42</f>
        <v>0</v>
      </c>
    </row>
    <row r="42" spans="1:67" ht="201" customHeight="1" x14ac:dyDescent="0.2">
      <c r="A42" s="438"/>
      <c r="B42" s="441"/>
      <c r="C42" s="373"/>
      <c r="D42" s="374"/>
      <c r="E42" s="354">
        <v>1202</v>
      </c>
      <c r="F42" s="193" t="s">
        <v>183</v>
      </c>
      <c r="G42" s="199" t="s">
        <v>184</v>
      </c>
      <c r="H42" s="354" t="s">
        <v>92</v>
      </c>
      <c r="I42" s="47" t="s">
        <v>185</v>
      </c>
      <c r="J42" s="199" t="s">
        <v>186</v>
      </c>
      <c r="K42" s="354" t="s">
        <v>92</v>
      </c>
      <c r="L42" s="47" t="s">
        <v>187</v>
      </c>
      <c r="M42" s="354" t="s">
        <v>188</v>
      </c>
      <c r="N42" s="354">
        <v>12</v>
      </c>
      <c r="O42" s="199">
        <v>1</v>
      </c>
      <c r="P42" s="199">
        <v>0</v>
      </c>
      <c r="Q42" s="423" t="s">
        <v>301</v>
      </c>
      <c r="R42" s="354" t="s">
        <v>189</v>
      </c>
      <c r="S42" s="355" t="s">
        <v>190</v>
      </c>
      <c r="T42" s="194"/>
      <c r="U42" s="194"/>
      <c r="V42" s="194"/>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9">
        <v>3000000</v>
      </c>
      <c r="AY42" s="49">
        <v>0</v>
      </c>
      <c r="AZ42" s="49">
        <v>0</v>
      </c>
      <c r="BA42" s="43"/>
      <c r="BB42" s="43"/>
      <c r="BC42" s="43"/>
      <c r="BD42" s="46"/>
      <c r="BE42" s="46"/>
      <c r="BF42" s="46"/>
      <c r="BG42" s="173">
        <f>+T42+W42+Z42+AC42+AF42+AI42+AL42+AO42+AR42+AU42+AX42+BA42+BD42</f>
        <v>3000000</v>
      </c>
      <c r="BH42" s="173">
        <f t="shared" ref="BH42:BI42" si="143">+U42+X42+AA42+AD42+AG42+AJ42+AM42+AP42+AS42+AV42+AY42+BB42+BE42</f>
        <v>0</v>
      </c>
      <c r="BI42" s="173">
        <f t="shared" si="143"/>
        <v>0</v>
      </c>
    </row>
    <row r="43" spans="1:67" ht="18.75" customHeight="1" x14ac:dyDescent="0.2">
      <c r="A43" s="438"/>
      <c r="B43" s="441"/>
      <c r="C43" s="195">
        <v>13</v>
      </c>
      <c r="D43" s="167">
        <v>1906</v>
      </c>
      <c r="E43" s="357" t="s">
        <v>191</v>
      </c>
      <c r="F43" s="166"/>
      <c r="G43" s="167"/>
      <c r="H43" s="168"/>
      <c r="I43" s="166"/>
      <c r="J43" s="167"/>
      <c r="K43" s="167"/>
      <c r="L43" s="166"/>
      <c r="M43" s="169"/>
      <c r="N43" s="169"/>
      <c r="O43" s="167"/>
      <c r="P43" s="167"/>
      <c r="Q43" s="424"/>
      <c r="R43" s="167"/>
      <c r="S43" s="166"/>
      <c r="T43" s="171">
        <f t="shared" ref="T43:BI43" si="144">T44</f>
        <v>0</v>
      </c>
      <c r="U43" s="171">
        <f t="shared" si="144"/>
        <v>0</v>
      </c>
      <c r="V43" s="171">
        <f t="shared" si="144"/>
        <v>0</v>
      </c>
      <c r="W43" s="171">
        <f t="shared" si="144"/>
        <v>0</v>
      </c>
      <c r="X43" s="171">
        <f t="shared" si="144"/>
        <v>0</v>
      </c>
      <c r="Y43" s="171">
        <f t="shared" si="144"/>
        <v>0</v>
      </c>
      <c r="Z43" s="171">
        <f t="shared" si="144"/>
        <v>0</v>
      </c>
      <c r="AA43" s="171">
        <f t="shared" si="144"/>
        <v>0</v>
      </c>
      <c r="AB43" s="171">
        <f t="shared" si="144"/>
        <v>0</v>
      </c>
      <c r="AC43" s="171">
        <f t="shared" si="144"/>
        <v>0</v>
      </c>
      <c r="AD43" s="171">
        <f t="shared" si="144"/>
        <v>0</v>
      </c>
      <c r="AE43" s="171">
        <f t="shared" si="144"/>
        <v>0</v>
      </c>
      <c r="AF43" s="171">
        <f t="shared" si="144"/>
        <v>0</v>
      </c>
      <c r="AG43" s="171">
        <f t="shared" si="144"/>
        <v>0</v>
      </c>
      <c r="AH43" s="171">
        <f t="shared" si="144"/>
        <v>0</v>
      </c>
      <c r="AI43" s="171">
        <f t="shared" si="144"/>
        <v>0</v>
      </c>
      <c r="AJ43" s="171">
        <f t="shared" si="144"/>
        <v>0</v>
      </c>
      <c r="AK43" s="171">
        <f t="shared" si="144"/>
        <v>0</v>
      </c>
      <c r="AL43" s="171">
        <f t="shared" si="144"/>
        <v>0</v>
      </c>
      <c r="AM43" s="171">
        <f t="shared" si="144"/>
        <v>0</v>
      </c>
      <c r="AN43" s="171">
        <f t="shared" si="144"/>
        <v>0</v>
      </c>
      <c r="AO43" s="171">
        <f t="shared" si="144"/>
        <v>0</v>
      </c>
      <c r="AP43" s="171">
        <f t="shared" si="144"/>
        <v>0</v>
      </c>
      <c r="AQ43" s="171">
        <f t="shared" si="144"/>
        <v>0</v>
      </c>
      <c r="AR43" s="171">
        <f t="shared" si="144"/>
        <v>0</v>
      </c>
      <c r="AS43" s="171">
        <f t="shared" si="144"/>
        <v>0</v>
      </c>
      <c r="AT43" s="171">
        <f t="shared" si="144"/>
        <v>0</v>
      </c>
      <c r="AU43" s="171">
        <f t="shared" si="144"/>
        <v>0</v>
      </c>
      <c r="AV43" s="171">
        <f t="shared" si="144"/>
        <v>0</v>
      </c>
      <c r="AW43" s="171">
        <f t="shared" si="144"/>
        <v>0</v>
      </c>
      <c r="AX43" s="171">
        <f t="shared" si="144"/>
        <v>2000000</v>
      </c>
      <c r="AY43" s="171">
        <f t="shared" si="144"/>
        <v>0</v>
      </c>
      <c r="AZ43" s="171">
        <f t="shared" si="144"/>
        <v>0</v>
      </c>
      <c r="BA43" s="171">
        <f t="shared" si="144"/>
        <v>0</v>
      </c>
      <c r="BB43" s="171">
        <f t="shared" si="144"/>
        <v>0</v>
      </c>
      <c r="BC43" s="171">
        <f t="shared" si="144"/>
        <v>0</v>
      </c>
      <c r="BD43" s="171">
        <f t="shared" si="144"/>
        <v>0</v>
      </c>
      <c r="BE43" s="171">
        <f t="shared" si="144"/>
        <v>0</v>
      </c>
      <c r="BF43" s="171">
        <f t="shared" si="144"/>
        <v>0</v>
      </c>
      <c r="BG43" s="171">
        <f t="shared" si="144"/>
        <v>2000000</v>
      </c>
      <c r="BH43" s="171">
        <f t="shared" si="144"/>
        <v>0</v>
      </c>
      <c r="BI43" s="171">
        <f t="shared" si="144"/>
        <v>0</v>
      </c>
    </row>
    <row r="44" spans="1:67" ht="112.5" customHeight="1" x14ac:dyDescent="0.2">
      <c r="A44" s="438"/>
      <c r="B44" s="441"/>
      <c r="C44" s="373"/>
      <c r="D44" s="374"/>
      <c r="E44" s="354">
        <v>1906</v>
      </c>
      <c r="F44" s="356" t="s">
        <v>192</v>
      </c>
      <c r="G44" s="363" t="s">
        <v>193</v>
      </c>
      <c r="H44" s="354" t="s">
        <v>92</v>
      </c>
      <c r="I44" s="47" t="s">
        <v>194</v>
      </c>
      <c r="J44" s="298" t="s">
        <v>195</v>
      </c>
      <c r="K44" s="354" t="s">
        <v>92</v>
      </c>
      <c r="L44" s="302" t="s">
        <v>196</v>
      </c>
      <c r="M44" s="354" t="s">
        <v>188</v>
      </c>
      <c r="N44" s="354">
        <v>5</v>
      </c>
      <c r="O44" s="199">
        <v>2</v>
      </c>
      <c r="P44" s="199">
        <v>0</v>
      </c>
      <c r="Q44" s="423" t="s">
        <v>197</v>
      </c>
      <c r="R44" s="354" t="s">
        <v>198</v>
      </c>
      <c r="S44" s="356" t="s">
        <v>199</v>
      </c>
      <c r="T44" s="194">
        <f>+T46-628874337</f>
        <v>0</v>
      </c>
      <c r="U44" s="194"/>
      <c r="V44" s="194"/>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9">
        <v>2000000</v>
      </c>
      <c r="AY44" s="49">
        <v>0</v>
      </c>
      <c r="AZ44" s="49">
        <v>0</v>
      </c>
      <c r="BA44" s="43"/>
      <c r="BB44" s="43"/>
      <c r="BC44" s="43"/>
      <c r="BD44" s="46"/>
      <c r="BE44" s="46"/>
      <c r="BF44" s="46"/>
      <c r="BG44" s="173">
        <f>+T44+W44+Z44+AC44+AF44+AI44+AL44+AO44+AR44+AU44+AX44+BA44+BD44</f>
        <v>2000000</v>
      </c>
      <c r="BH44" s="173">
        <f t="shared" ref="BH44:BI44" si="145">+U44+X44+AA44+AD44+AG44+AJ44+AM44+AP44+AS44+AV44+AY44+BB44+BE44</f>
        <v>0</v>
      </c>
      <c r="BI44" s="173">
        <f t="shared" si="145"/>
        <v>0</v>
      </c>
    </row>
    <row r="45" spans="1:67" ht="21" customHeight="1" x14ac:dyDescent="0.2">
      <c r="A45" s="438"/>
      <c r="B45" s="441"/>
      <c r="C45" s="195">
        <v>15</v>
      </c>
      <c r="D45" s="167">
        <v>2201</v>
      </c>
      <c r="E45" s="357" t="s">
        <v>200</v>
      </c>
      <c r="F45" s="166"/>
      <c r="G45" s="167"/>
      <c r="H45" s="168"/>
      <c r="I45" s="166" t="s">
        <v>201</v>
      </c>
      <c r="J45" s="167"/>
      <c r="K45" s="167"/>
      <c r="L45" s="166"/>
      <c r="M45" s="169"/>
      <c r="N45" s="169"/>
      <c r="O45" s="167"/>
      <c r="P45" s="167"/>
      <c r="Q45" s="424"/>
      <c r="R45" s="167"/>
      <c r="S45" s="166"/>
      <c r="T45" s="171">
        <f t="shared" ref="T45:BI45" si="146">T46</f>
        <v>628874337</v>
      </c>
      <c r="U45" s="171">
        <f t="shared" si="146"/>
        <v>265502333</v>
      </c>
      <c r="V45" s="171">
        <f t="shared" si="146"/>
        <v>191670325</v>
      </c>
      <c r="W45" s="171">
        <f t="shared" si="146"/>
        <v>0</v>
      </c>
      <c r="X45" s="171">
        <f t="shared" si="146"/>
        <v>0</v>
      </c>
      <c r="Y45" s="171">
        <f t="shared" si="146"/>
        <v>0</v>
      </c>
      <c r="Z45" s="171">
        <f t="shared" si="146"/>
        <v>0</v>
      </c>
      <c r="AA45" s="171">
        <f t="shared" si="146"/>
        <v>0</v>
      </c>
      <c r="AB45" s="171">
        <f t="shared" si="146"/>
        <v>0</v>
      </c>
      <c r="AC45" s="171">
        <f t="shared" si="146"/>
        <v>0</v>
      </c>
      <c r="AD45" s="171">
        <f t="shared" si="146"/>
        <v>0</v>
      </c>
      <c r="AE45" s="171">
        <f t="shared" si="146"/>
        <v>0</v>
      </c>
      <c r="AF45" s="171">
        <f t="shared" si="146"/>
        <v>0</v>
      </c>
      <c r="AG45" s="171">
        <f t="shared" si="146"/>
        <v>0</v>
      </c>
      <c r="AH45" s="171">
        <f t="shared" si="146"/>
        <v>0</v>
      </c>
      <c r="AI45" s="171">
        <f t="shared" si="146"/>
        <v>0</v>
      </c>
      <c r="AJ45" s="171">
        <f t="shared" si="146"/>
        <v>0</v>
      </c>
      <c r="AK45" s="171">
        <f t="shared" si="146"/>
        <v>0</v>
      </c>
      <c r="AL45" s="171">
        <f t="shared" si="146"/>
        <v>0</v>
      </c>
      <c r="AM45" s="171">
        <f t="shared" si="146"/>
        <v>0</v>
      </c>
      <c r="AN45" s="171">
        <f t="shared" si="146"/>
        <v>0</v>
      </c>
      <c r="AO45" s="171">
        <f t="shared" si="146"/>
        <v>0</v>
      </c>
      <c r="AP45" s="171">
        <f t="shared" si="146"/>
        <v>0</v>
      </c>
      <c r="AQ45" s="171">
        <f t="shared" si="146"/>
        <v>0</v>
      </c>
      <c r="AR45" s="171">
        <f t="shared" si="146"/>
        <v>0</v>
      </c>
      <c r="AS45" s="171">
        <f t="shared" si="146"/>
        <v>0</v>
      </c>
      <c r="AT45" s="171">
        <f t="shared" si="146"/>
        <v>0</v>
      </c>
      <c r="AU45" s="171">
        <f t="shared" si="146"/>
        <v>0</v>
      </c>
      <c r="AV45" s="171">
        <f t="shared" si="146"/>
        <v>0</v>
      </c>
      <c r="AW45" s="171">
        <f t="shared" si="146"/>
        <v>0</v>
      </c>
      <c r="AX45" s="171">
        <f t="shared" si="146"/>
        <v>0</v>
      </c>
      <c r="AY45" s="171">
        <f t="shared" si="146"/>
        <v>0</v>
      </c>
      <c r="AZ45" s="171">
        <f t="shared" si="146"/>
        <v>0</v>
      </c>
      <c r="BA45" s="171">
        <f t="shared" si="146"/>
        <v>0</v>
      </c>
      <c r="BB45" s="171">
        <f t="shared" si="146"/>
        <v>0</v>
      </c>
      <c r="BC45" s="171">
        <f t="shared" si="146"/>
        <v>0</v>
      </c>
      <c r="BD45" s="171">
        <f t="shared" si="146"/>
        <v>0</v>
      </c>
      <c r="BE45" s="171">
        <f t="shared" si="146"/>
        <v>0</v>
      </c>
      <c r="BF45" s="171">
        <f t="shared" si="146"/>
        <v>0</v>
      </c>
      <c r="BG45" s="171">
        <f t="shared" si="146"/>
        <v>628874337</v>
      </c>
      <c r="BH45" s="171">
        <f t="shared" si="146"/>
        <v>265502333</v>
      </c>
      <c r="BI45" s="171">
        <f t="shared" si="146"/>
        <v>191670325</v>
      </c>
    </row>
    <row r="46" spans="1:67" ht="90" customHeight="1" x14ac:dyDescent="0.2">
      <c r="A46" s="438"/>
      <c r="B46" s="441"/>
      <c r="C46" s="373"/>
      <c r="D46" s="374"/>
      <c r="E46" s="354">
        <v>2201</v>
      </c>
      <c r="F46" s="356" t="s">
        <v>202</v>
      </c>
      <c r="G46" s="363" t="s">
        <v>203</v>
      </c>
      <c r="H46" s="354" t="s">
        <v>92</v>
      </c>
      <c r="I46" s="355" t="s">
        <v>204</v>
      </c>
      <c r="J46" s="354" t="s">
        <v>205</v>
      </c>
      <c r="K46" s="354" t="s">
        <v>92</v>
      </c>
      <c r="L46" s="355" t="s">
        <v>206</v>
      </c>
      <c r="M46" s="354" t="s">
        <v>188</v>
      </c>
      <c r="N46" s="354">
        <v>54</v>
      </c>
      <c r="O46" s="354">
        <v>9</v>
      </c>
      <c r="P46" s="354">
        <v>0</v>
      </c>
      <c r="Q46" s="421" t="s">
        <v>207</v>
      </c>
      <c r="R46" s="354" t="s">
        <v>208</v>
      </c>
      <c r="S46" s="355" t="s">
        <v>209</v>
      </c>
      <c r="T46" s="194">
        <f>2575091000-645788600-1300428063</f>
        <v>628874337</v>
      </c>
      <c r="U46" s="194">
        <v>265502333</v>
      </c>
      <c r="V46" s="194">
        <v>191670325</v>
      </c>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9"/>
      <c r="AY46" s="49"/>
      <c r="AZ46" s="49"/>
      <c r="BA46" s="43"/>
      <c r="BB46" s="43"/>
      <c r="BC46" s="43"/>
      <c r="BD46" s="46"/>
      <c r="BE46" s="46"/>
      <c r="BF46" s="46"/>
      <c r="BG46" s="173">
        <f>+T46+W46+Z46+AC46+AF46+AI46+AL46+AO46+AR46+AU46+AX46+BA46+BD46</f>
        <v>628874337</v>
      </c>
      <c r="BH46" s="173">
        <f t="shared" ref="BH46:BI46" si="147">+U46+X46+AA46+AD46+AG46+AJ46+AM46+AP46+AS46+AV46+AY46+BB46+BE46</f>
        <v>265502333</v>
      </c>
      <c r="BI46" s="173">
        <f t="shared" si="147"/>
        <v>191670325</v>
      </c>
    </row>
    <row r="47" spans="1:67" ht="24.75" customHeight="1" x14ac:dyDescent="0.2">
      <c r="A47" s="438"/>
      <c r="B47" s="441"/>
      <c r="C47" s="195">
        <v>25</v>
      </c>
      <c r="D47" s="167">
        <v>3301</v>
      </c>
      <c r="E47" s="357" t="s">
        <v>210</v>
      </c>
      <c r="F47" s="166"/>
      <c r="G47" s="167"/>
      <c r="H47" s="168"/>
      <c r="I47" s="166"/>
      <c r="J47" s="167"/>
      <c r="K47" s="167"/>
      <c r="L47" s="166"/>
      <c r="M47" s="169"/>
      <c r="N47" s="169"/>
      <c r="O47" s="167"/>
      <c r="P47" s="167"/>
      <c r="Q47" s="424"/>
      <c r="R47" s="167"/>
      <c r="S47" s="166"/>
      <c r="T47" s="171">
        <f t="shared" ref="T47:BF47" si="148">SUM(T48)</f>
        <v>0</v>
      </c>
      <c r="U47" s="171">
        <f t="shared" si="148"/>
        <v>0</v>
      </c>
      <c r="V47" s="171">
        <f t="shared" si="148"/>
        <v>0</v>
      </c>
      <c r="W47" s="171">
        <f t="shared" si="148"/>
        <v>0</v>
      </c>
      <c r="X47" s="171">
        <f t="shared" si="148"/>
        <v>0</v>
      </c>
      <c r="Y47" s="171">
        <f t="shared" si="148"/>
        <v>0</v>
      </c>
      <c r="Z47" s="171">
        <f t="shared" si="148"/>
        <v>0</v>
      </c>
      <c r="AA47" s="171">
        <f t="shared" si="148"/>
        <v>0</v>
      </c>
      <c r="AB47" s="171">
        <f t="shared" si="148"/>
        <v>0</v>
      </c>
      <c r="AC47" s="171">
        <f t="shared" si="148"/>
        <v>0</v>
      </c>
      <c r="AD47" s="171">
        <f t="shared" si="148"/>
        <v>0</v>
      </c>
      <c r="AE47" s="171">
        <f t="shared" si="148"/>
        <v>0</v>
      </c>
      <c r="AF47" s="171">
        <f t="shared" si="148"/>
        <v>0</v>
      </c>
      <c r="AG47" s="171">
        <f t="shared" si="148"/>
        <v>0</v>
      </c>
      <c r="AH47" s="171">
        <f t="shared" si="148"/>
        <v>0</v>
      </c>
      <c r="AI47" s="171">
        <f t="shared" si="148"/>
        <v>0</v>
      </c>
      <c r="AJ47" s="171">
        <f t="shared" si="148"/>
        <v>0</v>
      </c>
      <c r="AK47" s="171">
        <f t="shared" si="148"/>
        <v>0</v>
      </c>
      <c r="AL47" s="171">
        <f t="shared" si="148"/>
        <v>0</v>
      </c>
      <c r="AM47" s="171">
        <f t="shared" si="148"/>
        <v>0</v>
      </c>
      <c r="AN47" s="171">
        <f t="shared" si="148"/>
        <v>0</v>
      </c>
      <c r="AO47" s="171">
        <f t="shared" si="148"/>
        <v>0</v>
      </c>
      <c r="AP47" s="171">
        <f t="shared" si="148"/>
        <v>0</v>
      </c>
      <c r="AQ47" s="171">
        <f t="shared" si="148"/>
        <v>0</v>
      </c>
      <c r="AR47" s="171">
        <f t="shared" si="148"/>
        <v>0</v>
      </c>
      <c r="AS47" s="171">
        <f t="shared" si="148"/>
        <v>0</v>
      </c>
      <c r="AT47" s="171">
        <f t="shared" si="148"/>
        <v>0</v>
      </c>
      <c r="AU47" s="171">
        <f t="shared" si="148"/>
        <v>0</v>
      </c>
      <c r="AV47" s="171">
        <f t="shared" si="148"/>
        <v>0</v>
      </c>
      <c r="AW47" s="171">
        <f t="shared" si="148"/>
        <v>0</v>
      </c>
      <c r="AX47" s="171">
        <f t="shared" si="148"/>
        <v>50000000</v>
      </c>
      <c r="AY47" s="171">
        <f t="shared" si="148"/>
        <v>14400000</v>
      </c>
      <c r="AZ47" s="171">
        <f t="shared" si="148"/>
        <v>0</v>
      </c>
      <c r="BA47" s="171">
        <f t="shared" si="148"/>
        <v>0</v>
      </c>
      <c r="BB47" s="171">
        <f t="shared" si="148"/>
        <v>0</v>
      </c>
      <c r="BC47" s="171">
        <f t="shared" si="148"/>
        <v>0</v>
      </c>
      <c r="BD47" s="171">
        <f t="shared" si="148"/>
        <v>0</v>
      </c>
      <c r="BE47" s="171">
        <f t="shared" si="148"/>
        <v>0</v>
      </c>
      <c r="BF47" s="171">
        <f t="shared" si="148"/>
        <v>0</v>
      </c>
      <c r="BG47" s="171">
        <f>SUM(BG48)</f>
        <v>50000000</v>
      </c>
      <c r="BH47" s="171">
        <f t="shared" ref="BH47:BI47" si="149">SUM(BH48)</f>
        <v>14400000</v>
      </c>
      <c r="BI47" s="171">
        <f t="shared" si="149"/>
        <v>0</v>
      </c>
    </row>
    <row r="48" spans="1:67" ht="78" customHeight="1" x14ac:dyDescent="0.2">
      <c r="A48" s="438"/>
      <c r="B48" s="441"/>
      <c r="C48" s="373"/>
      <c r="D48" s="374"/>
      <c r="E48" s="364">
        <v>3301</v>
      </c>
      <c r="F48" s="356" t="s">
        <v>1480</v>
      </c>
      <c r="G48" s="298" t="s">
        <v>211</v>
      </c>
      <c r="H48" s="354" t="s">
        <v>212</v>
      </c>
      <c r="I48" s="355" t="s">
        <v>213</v>
      </c>
      <c r="J48" s="199" t="s">
        <v>214</v>
      </c>
      <c r="K48" s="199" t="s">
        <v>215</v>
      </c>
      <c r="L48" s="47" t="s">
        <v>216</v>
      </c>
      <c r="M48" s="354" t="s">
        <v>188</v>
      </c>
      <c r="N48" s="354">
        <v>10</v>
      </c>
      <c r="O48" s="199">
        <v>1</v>
      </c>
      <c r="P48" s="199">
        <v>0</v>
      </c>
      <c r="Q48" s="421" t="s">
        <v>217</v>
      </c>
      <c r="R48" s="354" t="s">
        <v>208</v>
      </c>
      <c r="S48" s="355" t="s">
        <v>209</v>
      </c>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196">
        <f>20000000+30000000</f>
        <v>50000000</v>
      </c>
      <c r="AY48" s="196">
        <v>14400000</v>
      </c>
      <c r="AZ48" s="196">
        <v>0</v>
      </c>
      <c r="BA48" s="43"/>
      <c r="BB48" s="43"/>
      <c r="BC48" s="43"/>
      <c r="BD48" s="43"/>
      <c r="BE48" s="43"/>
      <c r="BF48" s="43"/>
      <c r="BG48" s="173">
        <f>+T48+W48+Z48+AC48+AF48+AI48+AL48+AO48+AR48+AU48+AX48+BA48+BD48</f>
        <v>50000000</v>
      </c>
      <c r="BH48" s="173">
        <f t="shared" ref="BH48:BI48" si="150">+U48+X48+AA48+AD48+AG48+AJ48+AM48+AP48+AS48+AV48+AY48+BB48+BE48</f>
        <v>14400000</v>
      </c>
      <c r="BI48" s="173">
        <f t="shared" si="150"/>
        <v>0</v>
      </c>
    </row>
    <row r="49" spans="1:61" ht="23.25" customHeight="1" x14ac:dyDescent="0.2">
      <c r="A49" s="438"/>
      <c r="B49" s="441"/>
      <c r="C49" s="195">
        <v>39</v>
      </c>
      <c r="D49" s="167">
        <v>4301</v>
      </c>
      <c r="E49" s="357" t="s">
        <v>218</v>
      </c>
      <c r="F49" s="166"/>
      <c r="G49" s="167"/>
      <c r="H49" s="168"/>
      <c r="I49" s="166"/>
      <c r="J49" s="167"/>
      <c r="K49" s="167"/>
      <c r="L49" s="166"/>
      <c r="M49" s="169"/>
      <c r="N49" s="169"/>
      <c r="O49" s="167"/>
      <c r="P49" s="167"/>
      <c r="Q49" s="424"/>
      <c r="R49" s="167"/>
      <c r="S49" s="166"/>
      <c r="T49" s="171">
        <f t="shared" ref="T49:BI49" si="151">T50</f>
        <v>977810591.28999996</v>
      </c>
      <c r="U49" s="171">
        <f t="shared" si="151"/>
        <v>347804333</v>
      </c>
      <c r="V49" s="171">
        <f t="shared" si="151"/>
        <v>98892000</v>
      </c>
      <c r="W49" s="171">
        <f t="shared" si="151"/>
        <v>0</v>
      </c>
      <c r="X49" s="171">
        <f t="shared" si="151"/>
        <v>0</v>
      </c>
      <c r="Y49" s="171">
        <f t="shared" si="151"/>
        <v>0</v>
      </c>
      <c r="Z49" s="171">
        <f t="shared" si="151"/>
        <v>0</v>
      </c>
      <c r="AA49" s="171">
        <f t="shared" si="151"/>
        <v>0</v>
      </c>
      <c r="AB49" s="171">
        <f t="shared" si="151"/>
        <v>0</v>
      </c>
      <c r="AC49" s="171">
        <f t="shared" si="151"/>
        <v>0</v>
      </c>
      <c r="AD49" s="171">
        <f t="shared" si="151"/>
        <v>0</v>
      </c>
      <c r="AE49" s="171">
        <f t="shared" si="151"/>
        <v>0</v>
      </c>
      <c r="AF49" s="171">
        <f t="shared" si="151"/>
        <v>0</v>
      </c>
      <c r="AG49" s="171">
        <f t="shared" si="151"/>
        <v>0</v>
      </c>
      <c r="AH49" s="171">
        <f t="shared" si="151"/>
        <v>0</v>
      </c>
      <c r="AI49" s="171">
        <f t="shared" si="151"/>
        <v>0</v>
      </c>
      <c r="AJ49" s="171">
        <f t="shared" si="151"/>
        <v>0</v>
      </c>
      <c r="AK49" s="171">
        <f t="shared" si="151"/>
        <v>0</v>
      </c>
      <c r="AL49" s="171">
        <f t="shared" si="151"/>
        <v>0</v>
      </c>
      <c r="AM49" s="171">
        <f t="shared" si="151"/>
        <v>0</v>
      </c>
      <c r="AN49" s="171">
        <f t="shared" si="151"/>
        <v>0</v>
      </c>
      <c r="AO49" s="171">
        <f t="shared" si="151"/>
        <v>0</v>
      </c>
      <c r="AP49" s="171">
        <f t="shared" si="151"/>
        <v>0</v>
      </c>
      <c r="AQ49" s="171">
        <f t="shared" si="151"/>
        <v>0</v>
      </c>
      <c r="AR49" s="171">
        <f t="shared" si="151"/>
        <v>0</v>
      </c>
      <c r="AS49" s="171">
        <f t="shared" si="151"/>
        <v>0</v>
      </c>
      <c r="AT49" s="171">
        <f t="shared" si="151"/>
        <v>0</v>
      </c>
      <c r="AU49" s="171">
        <f t="shared" si="151"/>
        <v>0</v>
      </c>
      <c r="AV49" s="171">
        <f t="shared" si="151"/>
        <v>0</v>
      </c>
      <c r="AW49" s="171">
        <f t="shared" si="151"/>
        <v>0</v>
      </c>
      <c r="AX49" s="171">
        <f t="shared" si="151"/>
        <v>0</v>
      </c>
      <c r="AY49" s="171">
        <f t="shared" si="151"/>
        <v>0</v>
      </c>
      <c r="AZ49" s="171">
        <f t="shared" si="151"/>
        <v>0</v>
      </c>
      <c r="BA49" s="171">
        <f t="shared" si="151"/>
        <v>0</v>
      </c>
      <c r="BB49" s="171">
        <f t="shared" si="151"/>
        <v>0</v>
      </c>
      <c r="BC49" s="171">
        <f t="shared" si="151"/>
        <v>0</v>
      </c>
      <c r="BD49" s="171">
        <f t="shared" si="151"/>
        <v>0</v>
      </c>
      <c r="BE49" s="171">
        <f t="shared" si="151"/>
        <v>0</v>
      </c>
      <c r="BF49" s="171">
        <f t="shared" si="151"/>
        <v>0</v>
      </c>
      <c r="BG49" s="171">
        <f t="shared" si="151"/>
        <v>977810591.28999996</v>
      </c>
      <c r="BH49" s="171">
        <f t="shared" si="151"/>
        <v>347804333</v>
      </c>
      <c r="BI49" s="171">
        <f t="shared" si="151"/>
        <v>98892000</v>
      </c>
    </row>
    <row r="50" spans="1:61" ht="139.5" customHeight="1" x14ac:dyDescent="0.2">
      <c r="A50" s="438"/>
      <c r="B50" s="441"/>
      <c r="C50" s="373"/>
      <c r="D50" s="374"/>
      <c r="E50" s="354">
        <v>4301</v>
      </c>
      <c r="F50" s="193" t="s">
        <v>219</v>
      </c>
      <c r="G50" s="197" t="s">
        <v>220</v>
      </c>
      <c r="H50" s="354" t="s">
        <v>92</v>
      </c>
      <c r="I50" s="47" t="s">
        <v>221</v>
      </c>
      <c r="J50" s="199" t="s">
        <v>222</v>
      </c>
      <c r="K50" s="354" t="s">
        <v>92</v>
      </c>
      <c r="L50" s="47" t="s">
        <v>223</v>
      </c>
      <c r="M50" s="354" t="s">
        <v>188</v>
      </c>
      <c r="N50" s="354">
        <v>12</v>
      </c>
      <c r="O50" s="199">
        <v>3</v>
      </c>
      <c r="P50" s="199">
        <v>0</v>
      </c>
      <c r="Q50" s="423" t="s">
        <v>224</v>
      </c>
      <c r="R50" s="354" t="s">
        <v>208</v>
      </c>
      <c r="S50" s="355" t="s">
        <v>209</v>
      </c>
      <c r="T50" s="198">
        <f>1668660141.5-690849550.21</f>
        <v>977810591.28999996</v>
      </c>
      <c r="U50" s="198">
        <v>347804333</v>
      </c>
      <c r="V50" s="198">
        <v>98892000</v>
      </c>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9"/>
      <c r="AY50" s="49"/>
      <c r="AZ50" s="49"/>
      <c r="BA50" s="43"/>
      <c r="BB50" s="43"/>
      <c r="BC50" s="43"/>
      <c r="BD50" s="43"/>
      <c r="BE50" s="43"/>
      <c r="BF50" s="43"/>
      <c r="BG50" s="173">
        <f>+T50+W50+Z50+AC50+AF50+AI50+AL50+AO50+AR50+AU50+AX50+BA50+BD50</f>
        <v>977810591.28999996</v>
      </c>
      <c r="BH50" s="173">
        <f t="shared" ref="BH50:BI50" si="152">+U50+X50+AA50+AD50+AG50+AJ50+AM50+AP50+AS50+AV50+AY50+BB50+BE50</f>
        <v>347804333</v>
      </c>
      <c r="BI50" s="173">
        <f t="shared" si="152"/>
        <v>98892000</v>
      </c>
    </row>
    <row r="51" spans="1:61" ht="21.75" customHeight="1" x14ac:dyDescent="0.2">
      <c r="A51" s="438"/>
      <c r="B51" s="441"/>
      <c r="C51" s="195">
        <v>40</v>
      </c>
      <c r="D51" s="167">
        <v>4302</v>
      </c>
      <c r="E51" s="357" t="s">
        <v>225</v>
      </c>
      <c r="F51" s="166"/>
      <c r="G51" s="167"/>
      <c r="H51" s="168"/>
      <c r="I51" s="166"/>
      <c r="J51" s="167"/>
      <c r="K51" s="167"/>
      <c r="L51" s="166"/>
      <c r="M51" s="169"/>
      <c r="N51" s="169"/>
      <c r="O51" s="167"/>
      <c r="P51" s="167"/>
      <c r="Q51" s="424"/>
      <c r="R51" s="167"/>
      <c r="S51" s="166"/>
      <c r="T51" s="171">
        <f t="shared" ref="T51:BI51" si="153">T52</f>
        <v>64725314.580000043</v>
      </c>
      <c r="U51" s="171">
        <f t="shared" si="153"/>
        <v>0</v>
      </c>
      <c r="V51" s="171">
        <f t="shared" si="153"/>
        <v>0</v>
      </c>
      <c r="W51" s="171">
        <f t="shared" si="153"/>
        <v>0</v>
      </c>
      <c r="X51" s="171">
        <f t="shared" si="153"/>
        <v>0</v>
      </c>
      <c r="Y51" s="171">
        <f t="shared" si="153"/>
        <v>0</v>
      </c>
      <c r="Z51" s="171">
        <f t="shared" si="153"/>
        <v>0</v>
      </c>
      <c r="AA51" s="171">
        <f t="shared" si="153"/>
        <v>0</v>
      </c>
      <c r="AB51" s="171">
        <f t="shared" si="153"/>
        <v>0</v>
      </c>
      <c r="AC51" s="171">
        <f t="shared" si="153"/>
        <v>0</v>
      </c>
      <c r="AD51" s="171">
        <f t="shared" si="153"/>
        <v>0</v>
      </c>
      <c r="AE51" s="171">
        <f t="shared" si="153"/>
        <v>0</v>
      </c>
      <c r="AF51" s="171">
        <f t="shared" si="153"/>
        <v>0</v>
      </c>
      <c r="AG51" s="171">
        <f t="shared" si="153"/>
        <v>0</v>
      </c>
      <c r="AH51" s="171">
        <f t="shared" si="153"/>
        <v>0</v>
      </c>
      <c r="AI51" s="171">
        <f t="shared" si="153"/>
        <v>0</v>
      </c>
      <c r="AJ51" s="171">
        <f t="shared" si="153"/>
        <v>0</v>
      </c>
      <c r="AK51" s="171">
        <f t="shared" si="153"/>
        <v>0</v>
      </c>
      <c r="AL51" s="171">
        <f t="shared" si="153"/>
        <v>0</v>
      </c>
      <c r="AM51" s="171">
        <f t="shared" si="153"/>
        <v>0</v>
      </c>
      <c r="AN51" s="171">
        <f t="shared" si="153"/>
        <v>0</v>
      </c>
      <c r="AO51" s="171">
        <f t="shared" si="153"/>
        <v>0</v>
      </c>
      <c r="AP51" s="171">
        <f t="shared" si="153"/>
        <v>0</v>
      </c>
      <c r="AQ51" s="171">
        <f t="shared" si="153"/>
        <v>0</v>
      </c>
      <c r="AR51" s="171">
        <f t="shared" si="153"/>
        <v>0</v>
      </c>
      <c r="AS51" s="171">
        <f t="shared" si="153"/>
        <v>0</v>
      </c>
      <c r="AT51" s="171">
        <f t="shared" si="153"/>
        <v>0</v>
      </c>
      <c r="AU51" s="171">
        <f t="shared" si="153"/>
        <v>0</v>
      </c>
      <c r="AV51" s="171">
        <f t="shared" si="153"/>
        <v>0</v>
      </c>
      <c r="AW51" s="171">
        <f t="shared" si="153"/>
        <v>0</v>
      </c>
      <c r="AX51" s="171">
        <f t="shared" si="153"/>
        <v>0</v>
      </c>
      <c r="AY51" s="171">
        <f t="shared" si="153"/>
        <v>0</v>
      </c>
      <c r="AZ51" s="171">
        <f t="shared" si="153"/>
        <v>0</v>
      </c>
      <c r="BA51" s="171">
        <f t="shared" si="153"/>
        <v>0</v>
      </c>
      <c r="BB51" s="171">
        <f t="shared" si="153"/>
        <v>0</v>
      </c>
      <c r="BC51" s="171">
        <f t="shared" si="153"/>
        <v>0</v>
      </c>
      <c r="BD51" s="171">
        <f t="shared" si="153"/>
        <v>0</v>
      </c>
      <c r="BE51" s="171">
        <f t="shared" si="153"/>
        <v>0</v>
      </c>
      <c r="BF51" s="171">
        <f t="shared" si="153"/>
        <v>0</v>
      </c>
      <c r="BG51" s="171">
        <f t="shared" si="153"/>
        <v>64725314.580000043</v>
      </c>
      <c r="BH51" s="171">
        <f t="shared" si="153"/>
        <v>0</v>
      </c>
      <c r="BI51" s="171">
        <f t="shared" si="153"/>
        <v>0</v>
      </c>
    </row>
    <row r="52" spans="1:61" ht="133.5" customHeight="1" x14ac:dyDescent="0.2">
      <c r="A52" s="438"/>
      <c r="B52" s="442"/>
      <c r="C52" s="373"/>
      <c r="D52" s="374"/>
      <c r="E52" s="354">
        <v>4302</v>
      </c>
      <c r="F52" s="193" t="s">
        <v>219</v>
      </c>
      <c r="G52" s="301" t="s">
        <v>226</v>
      </c>
      <c r="H52" s="354">
        <v>4302020</v>
      </c>
      <c r="I52" s="47" t="s">
        <v>227</v>
      </c>
      <c r="J52" s="301" t="s">
        <v>228</v>
      </c>
      <c r="K52" s="301">
        <v>430202000</v>
      </c>
      <c r="L52" s="302" t="s">
        <v>227</v>
      </c>
      <c r="M52" s="354" t="s">
        <v>188</v>
      </c>
      <c r="N52" s="354">
        <v>1</v>
      </c>
      <c r="O52" s="199">
        <v>0.25</v>
      </c>
      <c r="P52" s="199">
        <v>0</v>
      </c>
      <c r="Q52" s="423" t="s">
        <v>224</v>
      </c>
      <c r="R52" s="354" t="s">
        <v>208</v>
      </c>
      <c r="S52" s="355" t="s">
        <v>209</v>
      </c>
      <c r="T52" s="198">
        <f>1668660141.65-778436089.07-825498738</f>
        <v>64725314.580000043</v>
      </c>
      <c r="U52" s="198">
        <v>0</v>
      </c>
      <c r="V52" s="198">
        <v>0</v>
      </c>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9"/>
      <c r="AY52" s="49"/>
      <c r="AZ52" s="49"/>
      <c r="BA52" s="43"/>
      <c r="BB52" s="43"/>
      <c r="BC52" s="43"/>
      <c r="BD52" s="43"/>
      <c r="BE52" s="43"/>
      <c r="BF52" s="43"/>
      <c r="BG52" s="173">
        <f>+T52+W52+Z52+AC52+AF52+AI52+AL52+AO52+AR52+AU52+AX52+BA52+BD52</f>
        <v>64725314.580000043</v>
      </c>
      <c r="BH52" s="173">
        <f t="shared" ref="BH52:BI52" si="154">+U52+X52+AA52+AD52+AG52+AJ52+AM52+AP52+AS52+AV52+AY52+BB52+BE52</f>
        <v>0</v>
      </c>
      <c r="BI52" s="173">
        <f t="shared" si="154"/>
        <v>0</v>
      </c>
    </row>
    <row r="53" spans="1:61" ht="15.75" x14ac:dyDescent="0.2">
      <c r="A53" s="438"/>
      <c r="B53" s="259">
        <v>2</v>
      </c>
      <c r="C53" s="159" t="s">
        <v>2</v>
      </c>
      <c r="D53" s="160"/>
      <c r="E53" s="160"/>
      <c r="F53" s="161"/>
      <c r="G53" s="162"/>
      <c r="H53" s="163"/>
      <c r="I53" s="161"/>
      <c r="J53" s="162"/>
      <c r="K53" s="162"/>
      <c r="L53" s="161"/>
      <c r="M53" s="164"/>
      <c r="N53" s="164"/>
      <c r="O53" s="162"/>
      <c r="P53" s="162"/>
      <c r="Q53" s="426"/>
      <c r="R53" s="162"/>
      <c r="S53" s="161"/>
      <c r="T53" s="165">
        <f t="shared" ref="T53:BF53" si="155">T54+T56</f>
        <v>0</v>
      </c>
      <c r="U53" s="165">
        <f t="shared" si="155"/>
        <v>0</v>
      </c>
      <c r="V53" s="165">
        <f t="shared" si="155"/>
        <v>0</v>
      </c>
      <c r="W53" s="165">
        <f t="shared" si="155"/>
        <v>0</v>
      </c>
      <c r="X53" s="165">
        <f t="shared" si="155"/>
        <v>0</v>
      </c>
      <c r="Y53" s="165">
        <f t="shared" si="155"/>
        <v>0</v>
      </c>
      <c r="Z53" s="165">
        <f t="shared" si="155"/>
        <v>0</v>
      </c>
      <c r="AA53" s="165">
        <f t="shared" si="155"/>
        <v>0</v>
      </c>
      <c r="AB53" s="165">
        <f t="shared" si="155"/>
        <v>0</v>
      </c>
      <c r="AC53" s="165">
        <f t="shared" si="155"/>
        <v>0</v>
      </c>
      <c r="AD53" s="165">
        <f t="shared" si="155"/>
        <v>0</v>
      </c>
      <c r="AE53" s="165">
        <f t="shared" si="155"/>
        <v>0</v>
      </c>
      <c r="AF53" s="165">
        <f t="shared" si="155"/>
        <v>0</v>
      </c>
      <c r="AG53" s="165">
        <f t="shared" si="155"/>
        <v>0</v>
      </c>
      <c r="AH53" s="165">
        <f t="shared" si="155"/>
        <v>0</v>
      </c>
      <c r="AI53" s="165">
        <f t="shared" si="155"/>
        <v>0</v>
      </c>
      <c r="AJ53" s="165">
        <f t="shared" si="155"/>
        <v>0</v>
      </c>
      <c r="AK53" s="165">
        <f t="shared" si="155"/>
        <v>0</v>
      </c>
      <c r="AL53" s="165">
        <f t="shared" si="155"/>
        <v>0</v>
      </c>
      <c r="AM53" s="165">
        <f t="shared" si="155"/>
        <v>0</v>
      </c>
      <c r="AN53" s="165">
        <f t="shared" si="155"/>
        <v>0</v>
      </c>
      <c r="AO53" s="165">
        <f t="shared" si="155"/>
        <v>0</v>
      </c>
      <c r="AP53" s="165">
        <f t="shared" si="155"/>
        <v>0</v>
      </c>
      <c r="AQ53" s="165">
        <f t="shared" si="155"/>
        <v>0</v>
      </c>
      <c r="AR53" s="165">
        <f t="shared" si="155"/>
        <v>0</v>
      </c>
      <c r="AS53" s="165">
        <f t="shared" si="155"/>
        <v>0</v>
      </c>
      <c r="AT53" s="165">
        <f t="shared" si="155"/>
        <v>0</v>
      </c>
      <c r="AU53" s="165">
        <f t="shared" si="155"/>
        <v>0</v>
      </c>
      <c r="AV53" s="165">
        <f t="shared" si="155"/>
        <v>0</v>
      </c>
      <c r="AW53" s="165">
        <f t="shared" si="155"/>
        <v>0</v>
      </c>
      <c r="AX53" s="165">
        <f t="shared" si="155"/>
        <v>3000000</v>
      </c>
      <c r="AY53" s="165">
        <f t="shared" si="155"/>
        <v>0</v>
      </c>
      <c r="AZ53" s="165">
        <f t="shared" si="155"/>
        <v>0</v>
      </c>
      <c r="BA53" s="165">
        <f t="shared" si="155"/>
        <v>0</v>
      </c>
      <c r="BB53" s="165">
        <f t="shared" si="155"/>
        <v>0</v>
      </c>
      <c r="BC53" s="165">
        <f t="shared" si="155"/>
        <v>0</v>
      </c>
      <c r="BD53" s="165">
        <f t="shared" si="155"/>
        <v>0</v>
      </c>
      <c r="BE53" s="165">
        <f t="shared" si="155"/>
        <v>0</v>
      </c>
      <c r="BF53" s="165">
        <f t="shared" si="155"/>
        <v>0</v>
      </c>
      <c r="BG53" s="165">
        <f t="shared" ref="BG53:BI53" si="156">BG54+BG56</f>
        <v>3000000</v>
      </c>
      <c r="BH53" s="165">
        <f t="shared" si="156"/>
        <v>0</v>
      </c>
      <c r="BI53" s="165">
        <f t="shared" si="156"/>
        <v>0</v>
      </c>
    </row>
    <row r="54" spans="1:61" ht="23.25" customHeight="1" x14ac:dyDescent="0.2">
      <c r="A54" s="438"/>
      <c r="B54" s="440"/>
      <c r="C54" s="195">
        <v>10</v>
      </c>
      <c r="D54" s="167">
        <v>1709</v>
      </c>
      <c r="E54" s="357" t="s">
        <v>229</v>
      </c>
      <c r="F54" s="166"/>
      <c r="G54" s="167"/>
      <c r="H54" s="168"/>
      <c r="I54" s="166"/>
      <c r="J54" s="167"/>
      <c r="K54" s="167"/>
      <c r="L54" s="166"/>
      <c r="M54" s="169"/>
      <c r="N54" s="169"/>
      <c r="O54" s="167"/>
      <c r="P54" s="167"/>
      <c r="Q54" s="424"/>
      <c r="R54" s="167"/>
      <c r="S54" s="166"/>
      <c r="T54" s="171">
        <f t="shared" ref="T54:BI54" si="157">SUM(T55:T55)</f>
        <v>0</v>
      </c>
      <c r="U54" s="171">
        <f t="shared" si="157"/>
        <v>0</v>
      </c>
      <c r="V54" s="171">
        <f t="shared" si="157"/>
        <v>0</v>
      </c>
      <c r="W54" s="171">
        <f t="shared" si="157"/>
        <v>0</v>
      </c>
      <c r="X54" s="171">
        <f t="shared" si="157"/>
        <v>0</v>
      </c>
      <c r="Y54" s="171">
        <f t="shared" si="157"/>
        <v>0</v>
      </c>
      <c r="Z54" s="171">
        <f t="shared" si="157"/>
        <v>0</v>
      </c>
      <c r="AA54" s="171">
        <f t="shared" si="157"/>
        <v>0</v>
      </c>
      <c r="AB54" s="171">
        <f t="shared" si="157"/>
        <v>0</v>
      </c>
      <c r="AC54" s="171">
        <f t="shared" si="157"/>
        <v>0</v>
      </c>
      <c r="AD54" s="171">
        <f t="shared" si="157"/>
        <v>0</v>
      </c>
      <c r="AE54" s="171">
        <f t="shared" si="157"/>
        <v>0</v>
      </c>
      <c r="AF54" s="171">
        <f t="shared" si="157"/>
        <v>0</v>
      </c>
      <c r="AG54" s="171">
        <f t="shared" si="157"/>
        <v>0</v>
      </c>
      <c r="AH54" s="171">
        <f t="shared" si="157"/>
        <v>0</v>
      </c>
      <c r="AI54" s="171">
        <f t="shared" si="157"/>
        <v>0</v>
      </c>
      <c r="AJ54" s="171">
        <f t="shared" si="157"/>
        <v>0</v>
      </c>
      <c r="AK54" s="171">
        <f t="shared" si="157"/>
        <v>0</v>
      </c>
      <c r="AL54" s="171">
        <f t="shared" si="157"/>
        <v>0</v>
      </c>
      <c r="AM54" s="171">
        <f t="shared" si="157"/>
        <v>0</v>
      </c>
      <c r="AN54" s="171">
        <f t="shared" si="157"/>
        <v>0</v>
      </c>
      <c r="AO54" s="171">
        <f t="shared" si="157"/>
        <v>0</v>
      </c>
      <c r="AP54" s="171">
        <f t="shared" si="157"/>
        <v>0</v>
      </c>
      <c r="AQ54" s="171">
        <f t="shared" si="157"/>
        <v>0</v>
      </c>
      <c r="AR54" s="171">
        <f t="shared" si="157"/>
        <v>0</v>
      </c>
      <c r="AS54" s="171">
        <f t="shared" si="157"/>
        <v>0</v>
      </c>
      <c r="AT54" s="171">
        <f t="shared" si="157"/>
        <v>0</v>
      </c>
      <c r="AU54" s="171">
        <f t="shared" si="157"/>
        <v>0</v>
      </c>
      <c r="AV54" s="171">
        <f t="shared" si="157"/>
        <v>0</v>
      </c>
      <c r="AW54" s="171">
        <f t="shared" si="157"/>
        <v>0</v>
      </c>
      <c r="AX54" s="171">
        <f t="shared" si="157"/>
        <v>2000000</v>
      </c>
      <c r="AY54" s="171">
        <f t="shared" si="157"/>
        <v>0</v>
      </c>
      <c r="AZ54" s="171">
        <f t="shared" si="157"/>
        <v>0</v>
      </c>
      <c r="BA54" s="171">
        <f t="shared" si="157"/>
        <v>0</v>
      </c>
      <c r="BB54" s="171">
        <f t="shared" si="157"/>
        <v>0</v>
      </c>
      <c r="BC54" s="171">
        <f t="shared" si="157"/>
        <v>0</v>
      </c>
      <c r="BD54" s="171">
        <f t="shared" si="157"/>
        <v>0</v>
      </c>
      <c r="BE54" s="171">
        <f t="shared" si="157"/>
        <v>0</v>
      </c>
      <c r="BF54" s="171">
        <f t="shared" si="157"/>
        <v>0</v>
      </c>
      <c r="BG54" s="171">
        <f t="shared" si="157"/>
        <v>2000000</v>
      </c>
      <c r="BH54" s="171">
        <f t="shared" si="157"/>
        <v>0</v>
      </c>
      <c r="BI54" s="171">
        <f t="shared" si="157"/>
        <v>0</v>
      </c>
    </row>
    <row r="55" spans="1:61" s="202" customFormat="1" ht="123" customHeight="1" x14ac:dyDescent="0.2">
      <c r="A55" s="456"/>
      <c r="B55" s="457"/>
      <c r="C55" s="382"/>
      <c r="D55" s="353"/>
      <c r="E55" s="361">
        <v>1709</v>
      </c>
      <c r="F55" s="47" t="s">
        <v>230</v>
      </c>
      <c r="G55" s="199" t="s">
        <v>231</v>
      </c>
      <c r="H55" s="199">
        <v>1709078</v>
      </c>
      <c r="I55" s="47" t="s">
        <v>232</v>
      </c>
      <c r="J55" s="199" t="s">
        <v>233</v>
      </c>
      <c r="K55" s="199">
        <v>170907800</v>
      </c>
      <c r="L55" s="47" t="s">
        <v>232</v>
      </c>
      <c r="M55" s="361" t="s">
        <v>98</v>
      </c>
      <c r="N55" s="361">
        <v>1</v>
      </c>
      <c r="O55" s="199">
        <v>1</v>
      </c>
      <c r="P55" s="199">
        <v>0</v>
      </c>
      <c r="Q55" s="243" t="s">
        <v>234</v>
      </c>
      <c r="R55" s="361" t="s">
        <v>235</v>
      </c>
      <c r="S55" s="243" t="s">
        <v>236</v>
      </c>
      <c r="T55" s="43"/>
      <c r="U55" s="43"/>
      <c r="V55" s="43"/>
      <c r="W55" s="43"/>
      <c r="X55" s="43"/>
      <c r="Y55" s="43"/>
      <c r="Z55" s="360"/>
      <c r="AA55" s="360"/>
      <c r="AB55" s="360"/>
      <c r="AC55" s="43"/>
      <c r="AD55" s="43"/>
      <c r="AE55" s="43"/>
      <c r="AF55" s="43"/>
      <c r="AG55" s="43"/>
      <c r="AH55" s="43"/>
      <c r="AI55" s="43"/>
      <c r="AJ55" s="43"/>
      <c r="AK55" s="43"/>
      <c r="AL55" s="43"/>
      <c r="AM55" s="43"/>
      <c r="AN55" s="43"/>
      <c r="AO55" s="43"/>
      <c r="AP55" s="43"/>
      <c r="AQ55" s="43"/>
      <c r="AR55" s="43"/>
      <c r="AS55" s="43"/>
      <c r="AT55" s="43"/>
      <c r="AU55" s="43"/>
      <c r="AV55" s="43"/>
      <c r="AW55" s="43"/>
      <c r="AX55" s="200">
        <f>1000000+1000000</f>
        <v>2000000</v>
      </c>
      <c r="AY55" s="200">
        <v>0</v>
      </c>
      <c r="AZ55" s="200">
        <v>0</v>
      </c>
      <c r="BA55" s="43"/>
      <c r="BB55" s="43"/>
      <c r="BC55" s="43"/>
      <c r="BD55" s="43"/>
      <c r="BE55" s="43"/>
      <c r="BF55" s="43"/>
      <c r="BG55" s="201">
        <f>+T55+W55+Z55+AC55+AF55+AI55+AL55+AO55+AR55+AU55+AX55+BA55+BD55</f>
        <v>2000000</v>
      </c>
      <c r="BH55" s="201">
        <f t="shared" ref="BH55:BI55" si="158">+U55+X55+AA55+AD55+AG55+AJ55+AM55+AP55+AS55+AV55+AY55+BB55+BE55</f>
        <v>0</v>
      </c>
      <c r="BI55" s="201">
        <f t="shared" si="158"/>
        <v>0</v>
      </c>
    </row>
    <row r="56" spans="1:61" ht="23.25" customHeight="1" x14ac:dyDescent="0.2">
      <c r="A56" s="438"/>
      <c r="B56" s="441"/>
      <c r="C56" s="195">
        <v>27</v>
      </c>
      <c r="D56" s="167">
        <v>3502</v>
      </c>
      <c r="E56" s="357" t="s">
        <v>237</v>
      </c>
      <c r="F56" s="166"/>
      <c r="G56" s="167"/>
      <c r="H56" s="168"/>
      <c r="I56" s="166"/>
      <c r="J56" s="167"/>
      <c r="K56" s="167"/>
      <c r="L56" s="166"/>
      <c r="M56" s="169"/>
      <c r="N56" s="169"/>
      <c r="O56" s="167"/>
      <c r="P56" s="167"/>
      <c r="Q56" s="424"/>
      <c r="R56" s="167"/>
      <c r="S56" s="166"/>
      <c r="T56" s="171">
        <f t="shared" ref="T56:BF56" si="159">T57</f>
        <v>0</v>
      </c>
      <c r="U56" s="171">
        <f t="shared" si="159"/>
        <v>0</v>
      </c>
      <c r="V56" s="171">
        <f t="shared" si="159"/>
        <v>0</v>
      </c>
      <c r="W56" s="171">
        <f t="shared" si="159"/>
        <v>0</v>
      </c>
      <c r="X56" s="171">
        <f t="shared" si="159"/>
        <v>0</v>
      </c>
      <c r="Y56" s="171">
        <f t="shared" si="159"/>
        <v>0</v>
      </c>
      <c r="Z56" s="171">
        <f t="shared" si="159"/>
        <v>0</v>
      </c>
      <c r="AA56" s="171">
        <f t="shared" si="159"/>
        <v>0</v>
      </c>
      <c r="AB56" s="171">
        <f t="shared" si="159"/>
        <v>0</v>
      </c>
      <c r="AC56" s="171">
        <f t="shared" si="159"/>
        <v>0</v>
      </c>
      <c r="AD56" s="171">
        <f t="shared" si="159"/>
        <v>0</v>
      </c>
      <c r="AE56" s="171">
        <f t="shared" si="159"/>
        <v>0</v>
      </c>
      <c r="AF56" s="171">
        <f t="shared" si="159"/>
        <v>0</v>
      </c>
      <c r="AG56" s="171">
        <f t="shared" si="159"/>
        <v>0</v>
      </c>
      <c r="AH56" s="171">
        <f t="shared" si="159"/>
        <v>0</v>
      </c>
      <c r="AI56" s="171">
        <f t="shared" si="159"/>
        <v>0</v>
      </c>
      <c r="AJ56" s="171">
        <f t="shared" si="159"/>
        <v>0</v>
      </c>
      <c r="AK56" s="171">
        <f t="shared" si="159"/>
        <v>0</v>
      </c>
      <c r="AL56" s="171">
        <f t="shared" si="159"/>
        <v>0</v>
      </c>
      <c r="AM56" s="171">
        <f t="shared" si="159"/>
        <v>0</v>
      </c>
      <c r="AN56" s="171">
        <f t="shared" si="159"/>
        <v>0</v>
      </c>
      <c r="AO56" s="171">
        <f t="shared" si="159"/>
        <v>0</v>
      </c>
      <c r="AP56" s="171">
        <f t="shared" si="159"/>
        <v>0</v>
      </c>
      <c r="AQ56" s="171">
        <f t="shared" si="159"/>
        <v>0</v>
      </c>
      <c r="AR56" s="171">
        <f t="shared" si="159"/>
        <v>0</v>
      </c>
      <c r="AS56" s="171">
        <f t="shared" si="159"/>
        <v>0</v>
      </c>
      <c r="AT56" s="171">
        <f t="shared" si="159"/>
        <v>0</v>
      </c>
      <c r="AU56" s="171">
        <f t="shared" si="159"/>
        <v>0</v>
      </c>
      <c r="AV56" s="171">
        <f t="shared" si="159"/>
        <v>0</v>
      </c>
      <c r="AW56" s="171">
        <f t="shared" si="159"/>
        <v>0</v>
      </c>
      <c r="AX56" s="171">
        <f t="shared" si="159"/>
        <v>1000000</v>
      </c>
      <c r="AY56" s="171">
        <f t="shared" si="159"/>
        <v>0</v>
      </c>
      <c r="AZ56" s="171">
        <f t="shared" si="159"/>
        <v>0</v>
      </c>
      <c r="BA56" s="171">
        <f t="shared" si="159"/>
        <v>0</v>
      </c>
      <c r="BB56" s="171">
        <f t="shared" si="159"/>
        <v>0</v>
      </c>
      <c r="BC56" s="171">
        <f t="shared" si="159"/>
        <v>0</v>
      </c>
      <c r="BD56" s="171">
        <f t="shared" si="159"/>
        <v>0</v>
      </c>
      <c r="BE56" s="171">
        <f t="shared" si="159"/>
        <v>0</v>
      </c>
      <c r="BF56" s="171">
        <f t="shared" si="159"/>
        <v>0</v>
      </c>
      <c r="BG56" s="171">
        <f>BG57</f>
        <v>1000000</v>
      </c>
      <c r="BH56" s="171">
        <f t="shared" ref="BH56:BI56" si="160">BH57</f>
        <v>0</v>
      </c>
      <c r="BI56" s="171">
        <f t="shared" si="160"/>
        <v>0</v>
      </c>
    </row>
    <row r="57" spans="1:61" ht="101.25" customHeight="1" x14ac:dyDescent="0.2">
      <c r="A57" s="438"/>
      <c r="B57" s="442"/>
      <c r="C57" s="373"/>
      <c r="D57" s="374"/>
      <c r="E57" s="354">
        <v>3502</v>
      </c>
      <c r="F57" s="356" t="s">
        <v>1481</v>
      </c>
      <c r="G57" s="199" t="s">
        <v>238</v>
      </c>
      <c r="H57" s="199">
        <v>3502084</v>
      </c>
      <c r="I57" s="47" t="s">
        <v>239</v>
      </c>
      <c r="J57" s="199" t="s">
        <v>240</v>
      </c>
      <c r="K57" s="199">
        <v>350208400</v>
      </c>
      <c r="L57" s="47" t="s">
        <v>239</v>
      </c>
      <c r="M57" s="354" t="s">
        <v>188</v>
      </c>
      <c r="N57" s="354">
        <v>1</v>
      </c>
      <c r="O57" s="199">
        <v>0.5</v>
      </c>
      <c r="P57" s="199">
        <v>0</v>
      </c>
      <c r="Q57" s="423" t="s">
        <v>234</v>
      </c>
      <c r="R57" s="354" t="s">
        <v>235</v>
      </c>
      <c r="S57" s="356" t="s">
        <v>241</v>
      </c>
      <c r="T57" s="43"/>
      <c r="U57" s="43"/>
      <c r="V57" s="43"/>
      <c r="W57" s="43"/>
      <c r="X57" s="43"/>
      <c r="Y57" s="43"/>
      <c r="Z57" s="360"/>
      <c r="AA57" s="360"/>
      <c r="AB57" s="360"/>
      <c r="AC57" s="43"/>
      <c r="AD57" s="43"/>
      <c r="AE57" s="43"/>
      <c r="AF57" s="43"/>
      <c r="AG57" s="43"/>
      <c r="AH57" s="43"/>
      <c r="AI57" s="43"/>
      <c r="AJ57" s="43"/>
      <c r="AK57" s="43"/>
      <c r="AL57" s="43"/>
      <c r="AM57" s="43"/>
      <c r="AN57" s="43"/>
      <c r="AO57" s="43"/>
      <c r="AP57" s="43"/>
      <c r="AQ57" s="43"/>
      <c r="AR57" s="43"/>
      <c r="AS57" s="43"/>
      <c r="AT57" s="43"/>
      <c r="AU57" s="43"/>
      <c r="AV57" s="43"/>
      <c r="AW57" s="43"/>
      <c r="AX57" s="200">
        <v>1000000</v>
      </c>
      <c r="AY57" s="200">
        <v>0</v>
      </c>
      <c r="AZ57" s="200">
        <v>0</v>
      </c>
      <c r="BA57" s="43"/>
      <c r="BB57" s="43"/>
      <c r="BC57" s="43"/>
      <c r="BD57" s="43"/>
      <c r="BE57" s="43"/>
      <c r="BF57" s="43"/>
      <c r="BG57" s="173">
        <f>+T57+W57+Z57+AC57+AF57+AI57+AL57+AO57+AR57+AU57+AX57+BA57+BD57</f>
        <v>1000000</v>
      </c>
      <c r="BH57" s="173">
        <f t="shared" ref="BH57:BI57" si="161">+U57+X57+AA57+AD57+AG57+AJ57+AM57+AP57+AS57+AV57+AY57+BB57+BE57</f>
        <v>0</v>
      </c>
      <c r="BI57" s="173">
        <f t="shared" si="161"/>
        <v>0</v>
      </c>
    </row>
    <row r="58" spans="1:61" ht="21.75" customHeight="1" x14ac:dyDescent="0.2">
      <c r="A58" s="438"/>
      <c r="B58" s="259">
        <v>3</v>
      </c>
      <c r="C58" s="159" t="s">
        <v>3</v>
      </c>
      <c r="D58" s="160"/>
      <c r="E58" s="160"/>
      <c r="F58" s="161"/>
      <c r="G58" s="162"/>
      <c r="H58" s="163"/>
      <c r="I58" s="161"/>
      <c r="J58" s="162"/>
      <c r="K58" s="162"/>
      <c r="L58" s="161"/>
      <c r="M58" s="164"/>
      <c r="N58" s="164"/>
      <c r="O58" s="162"/>
      <c r="P58" s="162"/>
      <c r="Q58" s="426"/>
      <c r="R58" s="162"/>
      <c r="S58" s="161"/>
      <c r="T58" s="165">
        <f t="shared" ref="T58:BF58" si="162">T59+T61+T63+T65+T67</f>
        <v>204422530.80000001</v>
      </c>
      <c r="U58" s="165">
        <f t="shared" si="162"/>
        <v>0</v>
      </c>
      <c r="V58" s="165">
        <f t="shared" si="162"/>
        <v>0</v>
      </c>
      <c r="W58" s="165">
        <f t="shared" si="162"/>
        <v>0</v>
      </c>
      <c r="X58" s="165">
        <f t="shared" si="162"/>
        <v>0</v>
      </c>
      <c r="Y58" s="165">
        <f t="shared" si="162"/>
        <v>0</v>
      </c>
      <c r="Z58" s="165">
        <f t="shared" si="162"/>
        <v>184304077.94</v>
      </c>
      <c r="AA58" s="165">
        <f t="shared" si="162"/>
        <v>184278666</v>
      </c>
      <c r="AB58" s="165">
        <f t="shared" si="162"/>
        <v>90435017</v>
      </c>
      <c r="AC58" s="165">
        <f t="shared" si="162"/>
        <v>0</v>
      </c>
      <c r="AD58" s="165">
        <f t="shared" si="162"/>
        <v>0</v>
      </c>
      <c r="AE58" s="165">
        <f t="shared" si="162"/>
        <v>0</v>
      </c>
      <c r="AF58" s="165">
        <f t="shared" si="162"/>
        <v>0</v>
      </c>
      <c r="AG58" s="165">
        <f t="shared" si="162"/>
        <v>0</v>
      </c>
      <c r="AH58" s="165">
        <f t="shared" si="162"/>
        <v>0</v>
      </c>
      <c r="AI58" s="165">
        <f t="shared" si="162"/>
        <v>0</v>
      </c>
      <c r="AJ58" s="165">
        <f t="shared" si="162"/>
        <v>0</v>
      </c>
      <c r="AK58" s="165">
        <f t="shared" si="162"/>
        <v>0</v>
      </c>
      <c r="AL58" s="165">
        <f t="shared" si="162"/>
        <v>0</v>
      </c>
      <c r="AM58" s="165">
        <f t="shared" si="162"/>
        <v>0</v>
      </c>
      <c r="AN58" s="165">
        <f t="shared" si="162"/>
        <v>0</v>
      </c>
      <c r="AO58" s="165">
        <f t="shared" si="162"/>
        <v>0</v>
      </c>
      <c r="AP58" s="165">
        <f t="shared" si="162"/>
        <v>0</v>
      </c>
      <c r="AQ58" s="165">
        <f t="shared" si="162"/>
        <v>0</v>
      </c>
      <c r="AR58" s="165">
        <f t="shared" si="162"/>
        <v>0</v>
      </c>
      <c r="AS58" s="165">
        <f t="shared" si="162"/>
        <v>0</v>
      </c>
      <c r="AT58" s="165">
        <f t="shared" si="162"/>
        <v>0</v>
      </c>
      <c r="AU58" s="165">
        <f t="shared" si="162"/>
        <v>2686652877.1199999</v>
      </c>
      <c r="AV58" s="165">
        <f t="shared" si="162"/>
        <v>0</v>
      </c>
      <c r="AW58" s="165">
        <f t="shared" si="162"/>
        <v>0</v>
      </c>
      <c r="AX58" s="165">
        <f t="shared" si="162"/>
        <v>486082004</v>
      </c>
      <c r="AY58" s="165">
        <f t="shared" si="162"/>
        <v>86390666</v>
      </c>
      <c r="AZ58" s="165">
        <f t="shared" si="162"/>
        <v>59190666</v>
      </c>
      <c r="BA58" s="165">
        <f t="shared" si="162"/>
        <v>0</v>
      </c>
      <c r="BB58" s="165">
        <f t="shared" si="162"/>
        <v>0</v>
      </c>
      <c r="BC58" s="165">
        <f t="shared" si="162"/>
        <v>0</v>
      </c>
      <c r="BD58" s="165">
        <f t="shared" si="162"/>
        <v>0</v>
      </c>
      <c r="BE58" s="165">
        <f t="shared" si="162"/>
        <v>0</v>
      </c>
      <c r="BF58" s="165">
        <f t="shared" si="162"/>
        <v>0</v>
      </c>
      <c r="BG58" s="165">
        <f t="shared" ref="BG58:BI58" si="163">BG59+BG61+BG63+BG65+BG67</f>
        <v>3561461489.8600001</v>
      </c>
      <c r="BH58" s="165">
        <f t="shared" si="163"/>
        <v>270669332</v>
      </c>
      <c r="BI58" s="165">
        <f t="shared" si="163"/>
        <v>149625683</v>
      </c>
    </row>
    <row r="59" spans="1:61" ht="21.75" customHeight="1" x14ac:dyDescent="0.2">
      <c r="A59" s="438"/>
      <c r="B59" s="440"/>
      <c r="C59" s="195">
        <v>18</v>
      </c>
      <c r="D59" s="167">
        <v>2402</v>
      </c>
      <c r="E59" s="357" t="s">
        <v>242</v>
      </c>
      <c r="F59" s="166"/>
      <c r="G59" s="167"/>
      <c r="H59" s="168"/>
      <c r="I59" s="166"/>
      <c r="J59" s="167"/>
      <c r="K59" s="167"/>
      <c r="L59" s="166"/>
      <c r="M59" s="169"/>
      <c r="N59" s="169"/>
      <c r="O59" s="167"/>
      <c r="P59" s="167"/>
      <c r="Q59" s="424"/>
      <c r="R59" s="167"/>
      <c r="S59" s="166"/>
      <c r="T59" s="171">
        <f t="shared" ref="T59:BI59" si="164">SUM(T60:T60)</f>
        <v>0</v>
      </c>
      <c r="U59" s="171">
        <f t="shared" si="164"/>
        <v>0</v>
      </c>
      <c r="V59" s="171">
        <f t="shared" si="164"/>
        <v>0</v>
      </c>
      <c r="W59" s="171">
        <f t="shared" si="164"/>
        <v>0</v>
      </c>
      <c r="X59" s="171">
        <f t="shared" si="164"/>
        <v>0</v>
      </c>
      <c r="Y59" s="171">
        <f t="shared" si="164"/>
        <v>0</v>
      </c>
      <c r="Z59" s="171">
        <f t="shared" si="164"/>
        <v>184304077.94</v>
      </c>
      <c r="AA59" s="171">
        <f t="shared" si="164"/>
        <v>184278666</v>
      </c>
      <c r="AB59" s="171">
        <f t="shared" si="164"/>
        <v>90435017</v>
      </c>
      <c r="AC59" s="171">
        <f t="shared" si="164"/>
        <v>0</v>
      </c>
      <c r="AD59" s="171">
        <f t="shared" si="164"/>
        <v>0</v>
      </c>
      <c r="AE59" s="171">
        <f t="shared" si="164"/>
        <v>0</v>
      </c>
      <c r="AF59" s="171">
        <f t="shared" si="164"/>
        <v>0</v>
      </c>
      <c r="AG59" s="171">
        <f t="shared" si="164"/>
        <v>0</v>
      </c>
      <c r="AH59" s="171">
        <f t="shared" si="164"/>
        <v>0</v>
      </c>
      <c r="AI59" s="171">
        <f t="shared" si="164"/>
        <v>0</v>
      </c>
      <c r="AJ59" s="171">
        <f t="shared" si="164"/>
        <v>0</v>
      </c>
      <c r="AK59" s="171">
        <f t="shared" si="164"/>
        <v>0</v>
      </c>
      <c r="AL59" s="171">
        <f t="shared" si="164"/>
        <v>0</v>
      </c>
      <c r="AM59" s="171">
        <f t="shared" si="164"/>
        <v>0</v>
      </c>
      <c r="AN59" s="171">
        <f t="shared" si="164"/>
        <v>0</v>
      </c>
      <c r="AO59" s="171">
        <f t="shared" si="164"/>
        <v>0</v>
      </c>
      <c r="AP59" s="171">
        <f t="shared" si="164"/>
        <v>0</v>
      </c>
      <c r="AQ59" s="171">
        <f t="shared" si="164"/>
        <v>0</v>
      </c>
      <c r="AR59" s="171">
        <f t="shared" si="164"/>
        <v>0</v>
      </c>
      <c r="AS59" s="171">
        <f t="shared" si="164"/>
        <v>0</v>
      </c>
      <c r="AT59" s="171">
        <f t="shared" si="164"/>
        <v>0</v>
      </c>
      <c r="AU59" s="171">
        <f t="shared" si="164"/>
        <v>0</v>
      </c>
      <c r="AV59" s="171">
        <f t="shared" si="164"/>
        <v>0</v>
      </c>
      <c r="AW59" s="171">
        <f t="shared" si="164"/>
        <v>0</v>
      </c>
      <c r="AX59" s="171">
        <f t="shared" si="164"/>
        <v>284721336</v>
      </c>
      <c r="AY59" s="171">
        <f t="shared" si="164"/>
        <v>86390666</v>
      </c>
      <c r="AZ59" s="171">
        <f t="shared" si="164"/>
        <v>59190666</v>
      </c>
      <c r="BA59" s="171">
        <f t="shared" si="164"/>
        <v>0</v>
      </c>
      <c r="BB59" s="171">
        <f t="shared" si="164"/>
        <v>0</v>
      </c>
      <c r="BC59" s="171">
        <f t="shared" si="164"/>
        <v>0</v>
      </c>
      <c r="BD59" s="171">
        <f t="shared" si="164"/>
        <v>0</v>
      </c>
      <c r="BE59" s="171">
        <f t="shared" si="164"/>
        <v>0</v>
      </c>
      <c r="BF59" s="171">
        <f t="shared" si="164"/>
        <v>0</v>
      </c>
      <c r="BG59" s="171">
        <f t="shared" si="164"/>
        <v>469025413.94</v>
      </c>
      <c r="BH59" s="171">
        <f t="shared" si="164"/>
        <v>270669332</v>
      </c>
      <c r="BI59" s="171">
        <f t="shared" si="164"/>
        <v>149625683</v>
      </c>
    </row>
    <row r="60" spans="1:61" s="202" customFormat="1" ht="91.5" customHeight="1" x14ac:dyDescent="0.2">
      <c r="A60" s="456"/>
      <c r="B60" s="457"/>
      <c r="C60" s="382"/>
      <c r="D60" s="353"/>
      <c r="E60" s="361">
        <v>2402</v>
      </c>
      <c r="F60" s="362" t="s">
        <v>1431</v>
      </c>
      <c r="G60" s="199" t="s">
        <v>243</v>
      </c>
      <c r="H60" s="48" t="s">
        <v>92</v>
      </c>
      <c r="I60" s="47" t="s">
        <v>244</v>
      </c>
      <c r="J60" s="199" t="s">
        <v>245</v>
      </c>
      <c r="K60" s="199" t="s">
        <v>1417</v>
      </c>
      <c r="L60" s="47" t="s">
        <v>1500</v>
      </c>
      <c r="M60" s="361" t="s">
        <v>98</v>
      </c>
      <c r="N60" s="361">
        <v>130</v>
      </c>
      <c r="O60" s="199">
        <v>130</v>
      </c>
      <c r="P60" s="199">
        <v>31</v>
      </c>
      <c r="Q60" s="243" t="s">
        <v>246</v>
      </c>
      <c r="R60" s="361" t="s">
        <v>247</v>
      </c>
      <c r="S60" s="362" t="s">
        <v>248</v>
      </c>
      <c r="T60" s="43"/>
      <c r="U60" s="43"/>
      <c r="V60" s="43"/>
      <c r="W60" s="43"/>
      <c r="X60" s="43"/>
      <c r="Y60" s="43"/>
      <c r="Z60" s="194">
        <f>479436488.05-295132410.11</f>
        <v>184304077.94</v>
      </c>
      <c r="AA60" s="194">
        <v>184278666</v>
      </c>
      <c r="AB60" s="194">
        <v>90435017</v>
      </c>
      <c r="AC60" s="43"/>
      <c r="AD60" s="43"/>
      <c r="AE60" s="43"/>
      <c r="AF60" s="43"/>
      <c r="AG60" s="43"/>
      <c r="AH60" s="43"/>
      <c r="AI60" s="43"/>
      <c r="AJ60" s="43"/>
      <c r="AK60" s="43"/>
      <c r="AL60" s="43"/>
      <c r="AM60" s="43"/>
      <c r="AN60" s="43"/>
      <c r="AO60" s="43"/>
      <c r="AP60" s="43"/>
      <c r="AQ60" s="43"/>
      <c r="AR60" s="43"/>
      <c r="AS60" s="43"/>
      <c r="AT60" s="43"/>
      <c r="AU60" s="43"/>
      <c r="AV60" s="43"/>
      <c r="AW60" s="43"/>
      <c r="AX60" s="200">
        <f>143360668+141360668</f>
        <v>284721336</v>
      </c>
      <c r="AY60" s="200">
        <v>86390666</v>
      </c>
      <c r="AZ60" s="200">
        <v>59190666</v>
      </c>
      <c r="BA60" s="43"/>
      <c r="BB60" s="43"/>
      <c r="BC60" s="43"/>
      <c r="BD60" s="43"/>
      <c r="BE60" s="43"/>
      <c r="BF60" s="43"/>
      <c r="BG60" s="201">
        <f>+T60+W60+Z60+AC60+AF60+AI60+AL60+AO60+AR60+AU60+AX60+BA60+BD60</f>
        <v>469025413.94</v>
      </c>
      <c r="BH60" s="201">
        <f t="shared" ref="BH60:BI60" si="165">+U60+X60+AA60+AD60+AG60+AJ60+AM60+AP60+AS60+AV60+AY60+BB60+BE60</f>
        <v>270669332</v>
      </c>
      <c r="BI60" s="201">
        <f t="shared" si="165"/>
        <v>149625683</v>
      </c>
    </row>
    <row r="61" spans="1:61" ht="23.25" customHeight="1" x14ac:dyDescent="0.2">
      <c r="A61" s="438"/>
      <c r="B61" s="441"/>
      <c r="C61" s="195">
        <v>21</v>
      </c>
      <c r="D61" s="167" t="s">
        <v>249</v>
      </c>
      <c r="E61" s="357" t="s">
        <v>250</v>
      </c>
      <c r="F61" s="166"/>
      <c r="G61" s="167"/>
      <c r="H61" s="168"/>
      <c r="I61" s="166"/>
      <c r="J61" s="167"/>
      <c r="K61" s="167"/>
      <c r="L61" s="166"/>
      <c r="M61" s="169"/>
      <c r="N61" s="169"/>
      <c r="O61" s="167"/>
      <c r="P61" s="167"/>
      <c r="Q61" s="424"/>
      <c r="R61" s="167"/>
      <c r="S61" s="166"/>
      <c r="T61" s="171">
        <f t="shared" ref="T61:BI61" si="166">T62</f>
        <v>0</v>
      </c>
      <c r="U61" s="171">
        <f t="shared" si="166"/>
        <v>0</v>
      </c>
      <c r="V61" s="171">
        <f t="shared" si="166"/>
        <v>0</v>
      </c>
      <c r="W61" s="171">
        <f t="shared" si="166"/>
        <v>0</v>
      </c>
      <c r="X61" s="171">
        <f t="shared" si="166"/>
        <v>0</v>
      </c>
      <c r="Y61" s="171">
        <f t="shared" si="166"/>
        <v>0</v>
      </c>
      <c r="Z61" s="171">
        <f t="shared" si="166"/>
        <v>0</v>
      </c>
      <c r="AA61" s="171">
        <f t="shared" si="166"/>
        <v>0</v>
      </c>
      <c r="AB61" s="171">
        <f t="shared" si="166"/>
        <v>0</v>
      </c>
      <c r="AC61" s="171">
        <f t="shared" si="166"/>
        <v>0</v>
      </c>
      <c r="AD61" s="171">
        <f t="shared" si="166"/>
        <v>0</v>
      </c>
      <c r="AE61" s="171">
        <f t="shared" si="166"/>
        <v>0</v>
      </c>
      <c r="AF61" s="171">
        <f t="shared" si="166"/>
        <v>0</v>
      </c>
      <c r="AG61" s="171">
        <f t="shared" si="166"/>
        <v>0</v>
      </c>
      <c r="AH61" s="171">
        <f t="shared" si="166"/>
        <v>0</v>
      </c>
      <c r="AI61" s="171">
        <f t="shared" si="166"/>
        <v>0</v>
      </c>
      <c r="AJ61" s="171">
        <f t="shared" si="166"/>
        <v>0</v>
      </c>
      <c r="AK61" s="171">
        <f t="shared" si="166"/>
        <v>0</v>
      </c>
      <c r="AL61" s="171">
        <f t="shared" si="166"/>
        <v>0</v>
      </c>
      <c r="AM61" s="171">
        <f t="shared" si="166"/>
        <v>0</v>
      </c>
      <c r="AN61" s="171">
        <f t="shared" si="166"/>
        <v>0</v>
      </c>
      <c r="AO61" s="171">
        <f t="shared" si="166"/>
        <v>0</v>
      </c>
      <c r="AP61" s="171">
        <f t="shared" si="166"/>
        <v>0</v>
      </c>
      <c r="AQ61" s="171">
        <f t="shared" si="166"/>
        <v>0</v>
      </c>
      <c r="AR61" s="171">
        <f t="shared" si="166"/>
        <v>0</v>
      </c>
      <c r="AS61" s="171">
        <f t="shared" si="166"/>
        <v>0</v>
      </c>
      <c r="AT61" s="171">
        <f t="shared" si="166"/>
        <v>0</v>
      </c>
      <c r="AU61" s="171">
        <f t="shared" si="166"/>
        <v>0</v>
      </c>
      <c r="AV61" s="171">
        <f t="shared" si="166"/>
        <v>0</v>
      </c>
      <c r="AW61" s="171">
        <f t="shared" si="166"/>
        <v>0</v>
      </c>
      <c r="AX61" s="171">
        <f t="shared" si="166"/>
        <v>1000000</v>
      </c>
      <c r="AY61" s="171">
        <f t="shared" si="166"/>
        <v>0</v>
      </c>
      <c r="AZ61" s="171">
        <f t="shared" si="166"/>
        <v>0</v>
      </c>
      <c r="BA61" s="171">
        <f t="shared" si="166"/>
        <v>0</v>
      </c>
      <c r="BB61" s="171">
        <f t="shared" si="166"/>
        <v>0</v>
      </c>
      <c r="BC61" s="171">
        <f t="shared" si="166"/>
        <v>0</v>
      </c>
      <c r="BD61" s="171">
        <f t="shared" si="166"/>
        <v>0</v>
      </c>
      <c r="BE61" s="171">
        <f t="shared" si="166"/>
        <v>0</v>
      </c>
      <c r="BF61" s="171">
        <f t="shared" si="166"/>
        <v>0</v>
      </c>
      <c r="BG61" s="171">
        <f t="shared" si="166"/>
        <v>1000000</v>
      </c>
      <c r="BH61" s="171">
        <f t="shared" si="166"/>
        <v>0</v>
      </c>
      <c r="BI61" s="171">
        <f t="shared" si="166"/>
        <v>0</v>
      </c>
    </row>
    <row r="62" spans="1:61" ht="63.75" customHeight="1" x14ac:dyDescent="0.2">
      <c r="A62" s="438"/>
      <c r="B62" s="441"/>
      <c r="C62" s="373"/>
      <c r="D62" s="374"/>
      <c r="E62" s="354">
        <v>3202</v>
      </c>
      <c r="F62" s="355" t="s">
        <v>251</v>
      </c>
      <c r="G62" s="354" t="s">
        <v>252</v>
      </c>
      <c r="H62" s="199">
        <v>3202033</v>
      </c>
      <c r="I62" s="355" t="s">
        <v>253</v>
      </c>
      <c r="J62" s="354" t="s">
        <v>254</v>
      </c>
      <c r="K62" s="199">
        <v>320203300</v>
      </c>
      <c r="L62" s="355" t="s">
        <v>253</v>
      </c>
      <c r="M62" s="354" t="s">
        <v>188</v>
      </c>
      <c r="N62" s="354">
        <v>1</v>
      </c>
      <c r="O62" s="354">
        <v>0.1</v>
      </c>
      <c r="P62" s="354">
        <v>0</v>
      </c>
      <c r="Q62" s="423" t="s">
        <v>234</v>
      </c>
      <c r="R62" s="354" t="s">
        <v>235</v>
      </c>
      <c r="S62" s="356" t="s">
        <v>236</v>
      </c>
      <c r="T62" s="43"/>
      <c r="U62" s="43"/>
      <c r="V62" s="43"/>
      <c r="W62" s="43"/>
      <c r="X62" s="43"/>
      <c r="Y62" s="43"/>
      <c r="Z62" s="360"/>
      <c r="AA62" s="360"/>
      <c r="AB62" s="360"/>
      <c r="AC62" s="43"/>
      <c r="AD62" s="43"/>
      <c r="AE62" s="43"/>
      <c r="AF62" s="43"/>
      <c r="AG62" s="43"/>
      <c r="AH62" s="43"/>
      <c r="AI62" s="43"/>
      <c r="AJ62" s="43"/>
      <c r="AK62" s="43"/>
      <c r="AL62" s="43"/>
      <c r="AM62" s="43"/>
      <c r="AN62" s="43"/>
      <c r="AO62" s="43"/>
      <c r="AP62" s="43"/>
      <c r="AQ62" s="43"/>
      <c r="AR62" s="43"/>
      <c r="AS62" s="43"/>
      <c r="AT62" s="43"/>
      <c r="AU62" s="43"/>
      <c r="AV62" s="43"/>
      <c r="AW62" s="43"/>
      <c r="AX62" s="200">
        <v>1000000</v>
      </c>
      <c r="AY62" s="200">
        <v>0</v>
      </c>
      <c r="AZ62" s="200">
        <v>0</v>
      </c>
      <c r="BA62" s="43"/>
      <c r="BB62" s="43"/>
      <c r="BC62" s="43"/>
      <c r="BD62" s="43"/>
      <c r="BE62" s="43"/>
      <c r="BF62" s="43"/>
      <c r="BG62" s="173">
        <f>+T62+W62+Z62+AC62+AF62+AI62+AL62+AO62+AR62+AU62+AX62+BA62+BD62</f>
        <v>1000000</v>
      </c>
      <c r="BH62" s="173">
        <f t="shared" ref="BH62:BI62" si="167">+U62+X62+AA62+AD62+AG62+AJ62+AM62+AP62+AS62+AV62+AY62+BB62+BE62</f>
        <v>0</v>
      </c>
      <c r="BI62" s="173">
        <f t="shared" si="167"/>
        <v>0</v>
      </c>
    </row>
    <row r="63" spans="1:61" ht="24" customHeight="1" x14ac:dyDescent="0.2">
      <c r="A63" s="438"/>
      <c r="B63" s="441"/>
      <c r="C63" s="195">
        <v>23</v>
      </c>
      <c r="D63" s="167">
        <v>3205</v>
      </c>
      <c r="E63" s="357" t="s">
        <v>255</v>
      </c>
      <c r="F63" s="166"/>
      <c r="G63" s="167"/>
      <c r="H63" s="168"/>
      <c r="I63" s="166"/>
      <c r="J63" s="167"/>
      <c r="K63" s="167"/>
      <c r="L63" s="166"/>
      <c r="M63" s="169"/>
      <c r="N63" s="169"/>
      <c r="O63" s="167"/>
      <c r="P63" s="167"/>
      <c r="Q63" s="424"/>
      <c r="R63" s="167"/>
      <c r="S63" s="166"/>
      <c r="T63" s="171">
        <f t="shared" ref="T63:BI63" si="168">SUM(T64:T64)</f>
        <v>0</v>
      </c>
      <c r="U63" s="171">
        <f t="shared" si="168"/>
        <v>0</v>
      </c>
      <c r="V63" s="171">
        <f t="shared" si="168"/>
        <v>0</v>
      </c>
      <c r="W63" s="171">
        <f t="shared" si="168"/>
        <v>0</v>
      </c>
      <c r="X63" s="171">
        <f t="shared" si="168"/>
        <v>0</v>
      </c>
      <c r="Y63" s="171">
        <f t="shared" si="168"/>
        <v>0</v>
      </c>
      <c r="Z63" s="171">
        <f t="shared" si="168"/>
        <v>0</v>
      </c>
      <c r="AA63" s="171">
        <f t="shared" si="168"/>
        <v>0</v>
      </c>
      <c r="AB63" s="171">
        <f t="shared" si="168"/>
        <v>0</v>
      </c>
      <c r="AC63" s="171">
        <f t="shared" si="168"/>
        <v>0</v>
      </c>
      <c r="AD63" s="171">
        <f t="shared" si="168"/>
        <v>0</v>
      </c>
      <c r="AE63" s="171">
        <f t="shared" si="168"/>
        <v>0</v>
      </c>
      <c r="AF63" s="171">
        <f t="shared" si="168"/>
        <v>0</v>
      </c>
      <c r="AG63" s="171">
        <f t="shared" si="168"/>
        <v>0</v>
      </c>
      <c r="AH63" s="171">
        <f t="shared" si="168"/>
        <v>0</v>
      </c>
      <c r="AI63" s="171">
        <f t="shared" si="168"/>
        <v>0</v>
      </c>
      <c r="AJ63" s="171">
        <f t="shared" si="168"/>
        <v>0</v>
      </c>
      <c r="AK63" s="171">
        <f t="shared" si="168"/>
        <v>0</v>
      </c>
      <c r="AL63" s="171">
        <f t="shared" si="168"/>
        <v>0</v>
      </c>
      <c r="AM63" s="171">
        <f t="shared" si="168"/>
        <v>0</v>
      </c>
      <c r="AN63" s="171">
        <f t="shared" si="168"/>
        <v>0</v>
      </c>
      <c r="AO63" s="171">
        <f t="shared" si="168"/>
        <v>0</v>
      </c>
      <c r="AP63" s="171">
        <f t="shared" si="168"/>
        <v>0</v>
      </c>
      <c r="AQ63" s="171">
        <f t="shared" si="168"/>
        <v>0</v>
      </c>
      <c r="AR63" s="171">
        <f t="shared" si="168"/>
        <v>0</v>
      </c>
      <c r="AS63" s="171">
        <f t="shared" si="168"/>
        <v>0</v>
      </c>
      <c r="AT63" s="171">
        <f t="shared" si="168"/>
        <v>0</v>
      </c>
      <c r="AU63" s="171">
        <f t="shared" si="168"/>
        <v>0</v>
      </c>
      <c r="AV63" s="171">
        <f t="shared" si="168"/>
        <v>0</v>
      </c>
      <c r="AW63" s="171">
        <f t="shared" si="168"/>
        <v>0</v>
      </c>
      <c r="AX63" s="171">
        <f t="shared" si="168"/>
        <v>170360668</v>
      </c>
      <c r="AY63" s="171">
        <f t="shared" si="168"/>
        <v>0</v>
      </c>
      <c r="AZ63" s="171">
        <f t="shared" si="168"/>
        <v>0</v>
      </c>
      <c r="BA63" s="171">
        <f t="shared" si="168"/>
        <v>0</v>
      </c>
      <c r="BB63" s="171">
        <f t="shared" si="168"/>
        <v>0</v>
      </c>
      <c r="BC63" s="171">
        <f t="shared" si="168"/>
        <v>0</v>
      </c>
      <c r="BD63" s="171">
        <f t="shared" si="168"/>
        <v>0</v>
      </c>
      <c r="BE63" s="171">
        <f t="shared" si="168"/>
        <v>0</v>
      </c>
      <c r="BF63" s="171">
        <f t="shared" si="168"/>
        <v>0</v>
      </c>
      <c r="BG63" s="171">
        <f t="shared" si="168"/>
        <v>170360668</v>
      </c>
      <c r="BH63" s="171">
        <f t="shared" si="168"/>
        <v>0</v>
      </c>
      <c r="BI63" s="171">
        <f t="shared" si="168"/>
        <v>0</v>
      </c>
    </row>
    <row r="64" spans="1:61" s="202" customFormat="1" ht="97.5" customHeight="1" x14ac:dyDescent="0.2">
      <c r="A64" s="456"/>
      <c r="B64" s="457"/>
      <c r="C64" s="382"/>
      <c r="D64" s="353"/>
      <c r="E64" s="361">
        <v>3205</v>
      </c>
      <c r="F64" s="362" t="s">
        <v>251</v>
      </c>
      <c r="G64" s="361" t="s">
        <v>377</v>
      </c>
      <c r="H64" s="199">
        <v>3205021</v>
      </c>
      <c r="I64" s="362" t="s">
        <v>257</v>
      </c>
      <c r="J64" s="361" t="s">
        <v>256</v>
      </c>
      <c r="K64" s="199">
        <v>320502100</v>
      </c>
      <c r="L64" s="362" t="s">
        <v>258</v>
      </c>
      <c r="M64" s="303" t="s">
        <v>188</v>
      </c>
      <c r="N64" s="303">
        <v>8</v>
      </c>
      <c r="O64" s="303">
        <v>1</v>
      </c>
      <c r="P64" s="303">
        <v>0</v>
      </c>
      <c r="Q64" s="243" t="s">
        <v>246</v>
      </c>
      <c r="R64" s="361" t="s">
        <v>247</v>
      </c>
      <c r="S64" s="362" t="s">
        <v>248</v>
      </c>
      <c r="T64" s="43"/>
      <c r="U64" s="43"/>
      <c r="V64" s="43"/>
      <c r="W64" s="43"/>
      <c r="X64" s="43"/>
      <c r="Y64" s="43"/>
      <c r="Z64" s="360"/>
      <c r="AA64" s="360"/>
      <c r="AB64" s="360"/>
      <c r="AC64" s="43"/>
      <c r="AD64" s="43"/>
      <c r="AE64" s="43"/>
      <c r="AF64" s="43"/>
      <c r="AG64" s="43"/>
      <c r="AH64" s="43"/>
      <c r="AI64" s="43"/>
      <c r="AJ64" s="43"/>
      <c r="AK64" s="43"/>
      <c r="AL64" s="43"/>
      <c r="AM64" s="43"/>
      <c r="AN64" s="43"/>
      <c r="AO64" s="43"/>
      <c r="AP64" s="43"/>
      <c r="AQ64" s="43"/>
      <c r="AR64" s="43"/>
      <c r="AS64" s="43"/>
      <c r="AT64" s="43"/>
      <c r="AU64" s="43"/>
      <c r="AV64" s="43"/>
      <c r="AW64" s="43"/>
      <c r="AX64" s="200">
        <v>170360668</v>
      </c>
      <c r="AY64" s="203">
        <v>0</v>
      </c>
      <c r="AZ64" s="203">
        <v>0</v>
      </c>
      <c r="BA64" s="43"/>
      <c r="BB64" s="43"/>
      <c r="BC64" s="43"/>
      <c r="BD64" s="43"/>
      <c r="BE64" s="43"/>
      <c r="BF64" s="43"/>
      <c r="BG64" s="201">
        <f>+T64+W64+Z64+AC64+AF64+AI64+AL64+AO64+AR64+AU64+AX64+BA64+BD64</f>
        <v>170360668</v>
      </c>
      <c r="BH64" s="201">
        <f t="shared" ref="BH64:BI64" si="169">+U64+X64+AA64+AD64+AG64+AJ64+AM64+AP64+AS64+AV64+AY64+BB64+BE64</f>
        <v>0</v>
      </c>
      <c r="BI64" s="201">
        <f t="shared" si="169"/>
        <v>0</v>
      </c>
    </row>
    <row r="65" spans="1:67" ht="27" customHeight="1" x14ac:dyDescent="0.2">
      <c r="A65" s="438"/>
      <c r="B65" s="441"/>
      <c r="C65" s="195">
        <v>33</v>
      </c>
      <c r="D65" s="167">
        <v>4001</v>
      </c>
      <c r="E65" s="357" t="s">
        <v>259</v>
      </c>
      <c r="F65" s="166"/>
      <c r="G65" s="167"/>
      <c r="H65" s="168"/>
      <c r="I65" s="166"/>
      <c r="J65" s="167"/>
      <c r="K65" s="167"/>
      <c r="L65" s="166"/>
      <c r="M65" s="169"/>
      <c r="N65" s="169"/>
      <c r="O65" s="167"/>
      <c r="P65" s="167"/>
      <c r="Q65" s="424"/>
      <c r="R65" s="167"/>
      <c r="S65" s="166"/>
      <c r="T65" s="171">
        <f t="shared" ref="T65:BI65" si="170">T66</f>
        <v>129129296.87</v>
      </c>
      <c r="U65" s="171">
        <f t="shared" si="170"/>
        <v>0</v>
      </c>
      <c r="V65" s="171">
        <f t="shared" si="170"/>
        <v>0</v>
      </c>
      <c r="W65" s="171">
        <f t="shared" si="170"/>
        <v>0</v>
      </c>
      <c r="X65" s="171">
        <f t="shared" si="170"/>
        <v>0</v>
      </c>
      <c r="Y65" s="171">
        <f t="shared" si="170"/>
        <v>0</v>
      </c>
      <c r="Z65" s="171">
        <f t="shared" si="170"/>
        <v>0</v>
      </c>
      <c r="AA65" s="171">
        <f t="shared" si="170"/>
        <v>0</v>
      </c>
      <c r="AB65" s="171">
        <f t="shared" si="170"/>
        <v>0</v>
      </c>
      <c r="AC65" s="171">
        <f t="shared" si="170"/>
        <v>0</v>
      </c>
      <c r="AD65" s="171">
        <f t="shared" si="170"/>
        <v>0</v>
      </c>
      <c r="AE65" s="171">
        <f t="shared" si="170"/>
        <v>0</v>
      </c>
      <c r="AF65" s="171">
        <f t="shared" si="170"/>
        <v>0</v>
      </c>
      <c r="AG65" s="171">
        <f t="shared" si="170"/>
        <v>0</v>
      </c>
      <c r="AH65" s="171">
        <f t="shared" si="170"/>
        <v>0</v>
      </c>
      <c r="AI65" s="171">
        <f t="shared" si="170"/>
        <v>0</v>
      </c>
      <c r="AJ65" s="171">
        <f t="shared" si="170"/>
        <v>0</v>
      </c>
      <c r="AK65" s="171">
        <f t="shared" si="170"/>
        <v>0</v>
      </c>
      <c r="AL65" s="171">
        <f t="shared" si="170"/>
        <v>0</v>
      </c>
      <c r="AM65" s="171">
        <f t="shared" si="170"/>
        <v>0</v>
      </c>
      <c r="AN65" s="171">
        <f t="shared" si="170"/>
        <v>0</v>
      </c>
      <c r="AO65" s="171">
        <f t="shared" si="170"/>
        <v>0</v>
      </c>
      <c r="AP65" s="171">
        <f t="shared" si="170"/>
        <v>0</v>
      </c>
      <c r="AQ65" s="171">
        <f t="shared" si="170"/>
        <v>0</v>
      </c>
      <c r="AR65" s="171">
        <f t="shared" si="170"/>
        <v>0</v>
      </c>
      <c r="AS65" s="171">
        <f t="shared" si="170"/>
        <v>0</v>
      </c>
      <c r="AT65" s="171">
        <f t="shared" si="170"/>
        <v>0</v>
      </c>
      <c r="AU65" s="171">
        <f t="shared" si="170"/>
        <v>0</v>
      </c>
      <c r="AV65" s="171">
        <f t="shared" si="170"/>
        <v>0</v>
      </c>
      <c r="AW65" s="171">
        <f t="shared" si="170"/>
        <v>0</v>
      </c>
      <c r="AX65" s="171">
        <f t="shared" si="170"/>
        <v>0</v>
      </c>
      <c r="AY65" s="171">
        <f t="shared" si="170"/>
        <v>0</v>
      </c>
      <c r="AZ65" s="171">
        <f t="shared" si="170"/>
        <v>0</v>
      </c>
      <c r="BA65" s="171">
        <f t="shared" si="170"/>
        <v>0</v>
      </c>
      <c r="BB65" s="171">
        <f t="shared" si="170"/>
        <v>0</v>
      </c>
      <c r="BC65" s="171">
        <f t="shared" si="170"/>
        <v>0</v>
      </c>
      <c r="BD65" s="171">
        <f t="shared" si="170"/>
        <v>0</v>
      </c>
      <c r="BE65" s="171">
        <f t="shared" si="170"/>
        <v>0</v>
      </c>
      <c r="BF65" s="171">
        <f t="shared" si="170"/>
        <v>0</v>
      </c>
      <c r="BG65" s="171">
        <f t="shared" si="170"/>
        <v>129129296.87</v>
      </c>
      <c r="BH65" s="171">
        <f t="shared" si="170"/>
        <v>0</v>
      </c>
      <c r="BI65" s="171">
        <f t="shared" si="170"/>
        <v>0</v>
      </c>
    </row>
    <row r="66" spans="1:67" ht="82.5" customHeight="1" x14ac:dyDescent="0.2">
      <c r="A66" s="438"/>
      <c r="B66" s="441"/>
      <c r="C66" s="373"/>
      <c r="D66" s="374"/>
      <c r="E66" s="354">
        <v>4001</v>
      </c>
      <c r="F66" s="355" t="s">
        <v>1432</v>
      </c>
      <c r="G66" s="298" t="s">
        <v>260</v>
      </c>
      <c r="H66" s="48">
        <v>4001015</v>
      </c>
      <c r="I66" s="355" t="s">
        <v>261</v>
      </c>
      <c r="J66" s="298" t="s">
        <v>262</v>
      </c>
      <c r="K66" s="298" t="s">
        <v>1392</v>
      </c>
      <c r="L66" s="304" t="s">
        <v>263</v>
      </c>
      <c r="M66" s="354" t="s">
        <v>188</v>
      </c>
      <c r="N66" s="354">
        <v>300</v>
      </c>
      <c r="O66" s="354">
        <v>10</v>
      </c>
      <c r="P66" s="354">
        <v>0</v>
      </c>
      <c r="Q66" s="423" t="s">
        <v>264</v>
      </c>
      <c r="R66" s="354" t="s">
        <v>208</v>
      </c>
      <c r="S66" s="355" t="s">
        <v>209</v>
      </c>
      <c r="T66" s="43">
        <f>702546165-270099880.13-303316988</f>
        <v>129129296.87</v>
      </c>
      <c r="U66" s="43">
        <v>0</v>
      </c>
      <c r="V66" s="43">
        <v>0</v>
      </c>
      <c r="W66" s="43"/>
      <c r="X66" s="43"/>
      <c r="Y66" s="43"/>
      <c r="Z66" s="360"/>
      <c r="AA66" s="360"/>
      <c r="AB66" s="360"/>
      <c r="AC66" s="43"/>
      <c r="AD66" s="43"/>
      <c r="AE66" s="43"/>
      <c r="AF66" s="43"/>
      <c r="AG66" s="43"/>
      <c r="AH66" s="43"/>
      <c r="AI66" s="43"/>
      <c r="AJ66" s="43"/>
      <c r="AK66" s="43"/>
      <c r="AL66" s="43"/>
      <c r="AM66" s="43"/>
      <c r="AN66" s="43"/>
      <c r="AO66" s="43"/>
      <c r="AP66" s="43"/>
      <c r="AQ66" s="43"/>
      <c r="AR66" s="43"/>
      <c r="AS66" s="43"/>
      <c r="AT66" s="43"/>
      <c r="AU66" s="43"/>
      <c r="AV66" s="43"/>
      <c r="AW66" s="43"/>
      <c r="AX66" s="49"/>
      <c r="AY66" s="49"/>
      <c r="AZ66" s="49"/>
      <c r="BA66" s="43"/>
      <c r="BB66" s="43"/>
      <c r="BC66" s="43"/>
      <c r="BD66" s="43"/>
      <c r="BE66" s="43"/>
      <c r="BF66" s="43"/>
      <c r="BG66" s="173">
        <f>+T66+W66+Z66+AC66+AF66+AI66+AL66+AO66+AR66+AU66+AX66+BA66+BD66</f>
        <v>129129296.87</v>
      </c>
      <c r="BH66" s="173">
        <f t="shared" ref="BH66:BI66" si="171">+U66+X66+AA66+AD66+AG66+AJ66+AM66+AP66+AS66+AV66+AY66+BB66+BE66</f>
        <v>0</v>
      </c>
      <c r="BI66" s="173">
        <f t="shared" si="171"/>
        <v>0</v>
      </c>
    </row>
    <row r="67" spans="1:67" ht="27.75" customHeight="1" x14ac:dyDescent="0.2">
      <c r="A67" s="438"/>
      <c r="B67" s="441"/>
      <c r="C67" s="195">
        <v>34</v>
      </c>
      <c r="D67" s="167">
        <v>4003</v>
      </c>
      <c r="E67" s="357" t="s">
        <v>265</v>
      </c>
      <c r="F67" s="166"/>
      <c r="G67" s="167"/>
      <c r="H67" s="168"/>
      <c r="I67" s="166"/>
      <c r="J67" s="167"/>
      <c r="K67" s="167"/>
      <c r="L67" s="166"/>
      <c r="M67" s="169"/>
      <c r="N67" s="169"/>
      <c r="O67" s="167"/>
      <c r="P67" s="167"/>
      <c r="Q67" s="424"/>
      <c r="R67" s="167"/>
      <c r="S67" s="166"/>
      <c r="T67" s="171">
        <f t="shared" ref="T67:BG67" si="172">SUM(T68:T72)</f>
        <v>75293233.930000007</v>
      </c>
      <c r="U67" s="171">
        <f t="shared" si="172"/>
        <v>0</v>
      </c>
      <c r="V67" s="171">
        <f t="shared" si="172"/>
        <v>0</v>
      </c>
      <c r="W67" s="171">
        <f t="shared" si="172"/>
        <v>0</v>
      </c>
      <c r="X67" s="171">
        <f t="shared" si="172"/>
        <v>0</v>
      </c>
      <c r="Y67" s="171">
        <f t="shared" si="172"/>
        <v>0</v>
      </c>
      <c r="Z67" s="171">
        <f t="shared" si="172"/>
        <v>0</v>
      </c>
      <c r="AA67" s="171">
        <f t="shared" si="172"/>
        <v>0</v>
      </c>
      <c r="AB67" s="171">
        <f t="shared" si="172"/>
        <v>0</v>
      </c>
      <c r="AC67" s="171">
        <f t="shared" si="172"/>
        <v>0</v>
      </c>
      <c r="AD67" s="171">
        <f t="shared" si="172"/>
        <v>0</v>
      </c>
      <c r="AE67" s="171">
        <f t="shared" si="172"/>
        <v>0</v>
      </c>
      <c r="AF67" s="171">
        <f t="shared" si="172"/>
        <v>0</v>
      </c>
      <c r="AG67" s="171">
        <f t="shared" si="172"/>
        <v>0</v>
      </c>
      <c r="AH67" s="171">
        <f t="shared" si="172"/>
        <v>0</v>
      </c>
      <c r="AI67" s="171">
        <f t="shared" si="172"/>
        <v>0</v>
      </c>
      <c r="AJ67" s="171">
        <f t="shared" si="172"/>
        <v>0</v>
      </c>
      <c r="AK67" s="171">
        <f t="shared" si="172"/>
        <v>0</v>
      </c>
      <c r="AL67" s="171">
        <f t="shared" si="172"/>
        <v>0</v>
      </c>
      <c r="AM67" s="171">
        <f t="shared" si="172"/>
        <v>0</v>
      </c>
      <c r="AN67" s="171">
        <f t="shared" si="172"/>
        <v>0</v>
      </c>
      <c r="AO67" s="171">
        <f t="shared" si="172"/>
        <v>0</v>
      </c>
      <c r="AP67" s="171">
        <f t="shared" si="172"/>
        <v>0</v>
      </c>
      <c r="AQ67" s="171">
        <f t="shared" si="172"/>
        <v>0</v>
      </c>
      <c r="AR67" s="171">
        <f t="shared" si="172"/>
        <v>0</v>
      </c>
      <c r="AS67" s="171">
        <f t="shared" si="172"/>
        <v>0</v>
      </c>
      <c r="AT67" s="171">
        <f t="shared" si="172"/>
        <v>0</v>
      </c>
      <c r="AU67" s="171">
        <f t="shared" si="172"/>
        <v>2686652877.1199999</v>
      </c>
      <c r="AV67" s="171">
        <f t="shared" si="172"/>
        <v>0</v>
      </c>
      <c r="AW67" s="171">
        <f t="shared" si="172"/>
        <v>0</v>
      </c>
      <c r="AX67" s="171">
        <f t="shared" si="172"/>
        <v>30000000</v>
      </c>
      <c r="AY67" s="171">
        <f t="shared" si="172"/>
        <v>0</v>
      </c>
      <c r="AZ67" s="171">
        <f t="shared" si="172"/>
        <v>0</v>
      </c>
      <c r="BA67" s="171">
        <f t="shared" si="172"/>
        <v>0</v>
      </c>
      <c r="BB67" s="171">
        <f t="shared" si="172"/>
        <v>0</v>
      </c>
      <c r="BC67" s="171">
        <f t="shared" si="172"/>
        <v>0</v>
      </c>
      <c r="BD67" s="171">
        <f t="shared" si="172"/>
        <v>0</v>
      </c>
      <c r="BE67" s="171">
        <f t="shared" si="172"/>
        <v>0</v>
      </c>
      <c r="BF67" s="171">
        <f t="shared" si="172"/>
        <v>0</v>
      </c>
      <c r="BG67" s="171">
        <f t="shared" si="172"/>
        <v>2791946111.0500002</v>
      </c>
      <c r="BH67" s="171">
        <f t="shared" ref="BH67:BI67" si="173">SUM(BH68:BH72)</f>
        <v>0</v>
      </c>
      <c r="BI67" s="171">
        <f t="shared" si="173"/>
        <v>0</v>
      </c>
    </row>
    <row r="68" spans="1:67" ht="85.5" customHeight="1" x14ac:dyDescent="0.2">
      <c r="A68" s="438"/>
      <c r="B68" s="441"/>
      <c r="C68" s="373"/>
      <c r="D68" s="374"/>
      <c r="E68" s="354">
        <v>4003</v>
      </c>
      <c r="F68" s="47" t="s">
        <v>266</v>
      </c>
      <c r="G68" s="354" t="s">
        <v>267</v>
      </c>
      <c r="H68" s="48" t="s">
        <v>92</v>
      </c>
      <c r="I68" s="355" t="s">
        <v>268</v>
      </c>
      <c r="J68" s="354" t="s">
        <v>269</v>
      </c>
      <c r="K68" s="199" t="s">
        <v>92</v>
      </c>
      <c r="L68" s="355" t="s">
        <v>270</v>
      </c>
      <c r="M68" s="354" t="s">
        <v>98</v>
      </c>
      <c r="N68" s="354">
        <v>1</v>
      </c>
      <c r="O68" s="354">
        <v>1</v>
      </c>
      <c r="P68" s="354">
        <v>0</v>
      </c>
      <c r="Q68" s="524" t="s">
        <v>271</v>
      </c>
      <c r="R68" s="517" t="s">
        <v>272</v>
      </c>
      <c r="S68" s="518" t="s">
        <v>1433</v>
      </c>
      <c r="T68" s="43"/>
      <c r="U68" s="43"/>
      <c r="V68" s="43"/>
      <c r="W68" s="43"/>
      <c r="X68" s="43"/>
      <c r="Y68" s="43"/>
      <c r="Z68" s="360"/>
      <c r="AA68" s="360"/>
      <c r="AB68" s="360"/>
      <c r="AC68" s="43"/>
      <c r="AD68" s="43"/>
      <c r="AE68" s="43"/>
      <c r="AF68" s="43"/>
      <c r="AG68" s="43"/>
      <c r="AH68" s="43"/>
      <c r="AI68" s="43"/>
      <c r="AJ68" s="43"/>
      <c r="AK68" s="43"/>
      <c r="AL68" s="43"/>
      <c r="AM68" s="43"/>
      <c r="AN68" s="43"/>
      <c r="AO68" s="43"/>
      <c r="AP68" s="43"/>
      <c r="AQ68" s="43"/>
      <c r="AR68" s="43"/>
      <c r="AS68" s="43"/>
      <c r="AT68" s="43"/>
      <c r="AU68" s="43"/>
      <c r="AV68" s="43"/>
      <c r="AW68" s="43"/>
      <c r="AX68" s="49">
        <v>30000000</v>
      </c>
      <c r="AY68" s="49">
        <v>0</v>
      </c>
      <c r="AZ68" s="49">
        <v>0</v>
      </c>
      <c r="BA68" s="43"/>
      <c r="BB68" s="43"/>
      <c r="BC68" s="43"/>
      <c r="BD68" s="43"/>
      <c r="BE68" s="43"/>
      <c r="BF68" s="43"/>
      <c r="BG68" s="173">
        <f>+T68+W68+Z68+AC68+AF68+AI68+AL68+AO68+AR68+AU68+AX68+BA68+BD68</f>
        <v>30000000</v>
      </c>
      <c r="BH68" s="173">
        <f t="shared" ref="BH68:BI72" si="174">+U68+X68+AA68+AD68+AG68+AJ68+AM68+AP68+AS68+AV68+AY68+BB68+BE68</f>
        <v>0</v>
      </c>
      <c r="BI68" s="173">
        <f t="shared" si="174"/>
        <v>0</v>
      </c>
    </row>
    <row r="69" spans="1:67" ht="67.5" customHeight="1" x14ac:dyDescent="0.2">
      <c r="A69" s="438"/>
      <c r="B69" s="441"/>
      <c r="C69" s="373"/>
      <c r="D69" s="374"/>
      <c r="E69" s="354">
        <v>4003</v>
      </c>
      <c r="F69" s="47" t="s">
        <v>1482</v>
      </c>
      <c r="G69" s="383" t="s">
        <v>274</v>
      </c>
      <c r="H69" s="199">
        <v>4003018</v>
      </c>
      <c r="I69" s="50" t="s">
        <v>275</v>
      </c>
      <c r="J69" s="383" t="s">
        <v>276</v>
      </c>
      <c r="K69" s="199">
        <v>400301802</v>
      </c>
      <c r="L69" s="50" t="s">
        <v>277</v>
      </c>
      <c r="M69" s="354" t="s">
        <v>188</v>
      </c>
      <c r="N69" s="354">
        <v>2</v>
      </c>
      <c r="O69" s="199">
        <v>1</v>
      </c>
      <c r="P69" s="199">
        <v>0</v>
      </c>
      <c r="Q69" s="524"/>
      <c r="R69" s="517"/>
      <c r="S69" s="518"/>
      <c r="T69" s="43"/>
      <c r="U69" s="43"/>
      <c r="V69" s="43"/>
      <c r="W69" s="43"/>
      <c r="X69" s="43"/>
      <c r="Y69" s="43"/>
      <c r="Z69" s="360"/>
      <c r="AA69" s="360"/>
      <c r="AB69" s="360"/>
      <c r="AC69" s="43"/>
      <c r="AD69" s="43"/>
      <c r="AE69" s="43"/>
      <c r="AF69" s="43"/>
      <c r="AG69" s="43"/>
      <c r="AH69" s="43"/>
      <c r="AI69" s="43"/>
      <c r="AJ69" s="43"/>
      <c r="AK69" s="43"/>
      <c r="AL69" s="43"/>
      <c r="AM69" s="43"/>
      <c r="AN69" s="43"/>
      <c r="AO69" s="43"/>
      <c r="AP69" s="43"/>
      <c r="AQ69" s="43"/>
      <c r="AR69" s="43"/>
      <c r="AS69" s="43"/>
      <c r="AT69" s="43"/>
      <c r="AU69" s="43">
        <v>588117000</v>
      </c>
      <c r="AV69" s="43">
        <v>0</v>
      </c>
      <c r="AW69" s="43">
        <v>0</v>
      </c>
      <c r="AX69" s="49"/>
      <c r="AY69" s="49"/>
      <c r="AZ69" s="49"/>
      <c r="BA69" s="43"/>
      <c r="BB69" s="43"/>
      <c r="BC69" s="43"/>
      <c r="BD69" s="43"/>
      <c r="BE69" s="43"/>
      <c r="BF69" s="43"/>
      <c r="BG69" s="173">
        <f>+T69+W69+Z69+AC69+AF69+AI69+AL69+AO69+AR69+AU69+AX69+BA69+BD69</f>
        <v>588117000</v>
      </c>
      <c r="BH69" s="173">
        <f t="shared" si="174"/>
        <v>0</v>
      </c>
      <c r="BI69" s="173">
        <f t="shared" si="174"/>
        <v>0</v>
      </c>
    </row>
    <row r="70" spans="1:67" ht="60" customHeight="1" x14ac:dyDescent="0.2">
      <c r="A70" s="438"/>
      <c r="B70" s="441"/>
      <c r="C70" s="373"/>
      <c r="D70" s="374"/>
      <c r="E70" s="354">
        <v>4003</v>
      </c>
      <c r="F70" s="47" t="s">
        <v>266</v>
      </c>
      <c r="G70" s="298" t="s">
        <v>278</v>
      </c>
      <c r="H70" s="199">
        <v>4003025</v>
      </c>
      <c r="I70" s="50" t="s">
        <v>279</v>
      </c>
      <c r="J70" s="298" t="s">
        <v>280</v>
      </c>
      <c r="K70" s="301">
        <v>400302500</v>
      </c>
      <c r="L70" s="302" t="s">
        <v>281</v>
      </c>
      <c r="M70" s="301" t="s">
        <v>188</v>
      </c>
      <c r="N70" s="301">
        <v>12</v>
      </c>
      <c r="O70" s="301">
        <v>1</v>
      </c>
      <c r="P70" s="301">
        <v>0</v>
      </c>
      <c r="Q70" s="524"/>
      <c r="R70" s="517"/>
      <c r="S70" s="518"/>
      <c r="T70" s="43">
        <f>476050000-400756766.07</f>
        <v>75293233.930000007</v>
      </c>
      <c r="U70" s="43">
        <v>0</v>
      </c>
      <c r="V70" s="43">
        <v>0</v>
      </c>
      <c r="W70" s="43"/>
      <c r="X70" s="43"/>
      <c r="Y70" s="43"/>
      <c r="Z70" s="360"/>
      <c r="AA70" s="360"/>
      <c r="AB70" s="360"/>
      <c r="AC70" s="43"/>
      <c r="AD70" s="43"/>
      <c r="AE70" s="43"/>
      <c r="AF70" s="43"/>
      <c r="AG70" s="43"/>
      <c r="AH70" s="43"/>
      <c r="AI70" s="43"/>
      <c r="AJ70" s="43"/>
      <c r="AK70" s="43"/>
      <c r="AL70" s="43"/>
      <c r="AM70" s="43"/>
      <c r="AN70" s="43"/>
      <c r="AO70" s="43"/>
      <c r="AP70" s="43"/>
      <c r="AQ70" s="43"/>
      <c r="AR70" s="43"/>
      <c r="AS70" s="43"/>
      <c r="AT70" s="43"/>
      <c r="AU70" s="43">
        <v>1288535877.1199999</v>
      </c>
      <c r="AV70" s="43">
        <v>0</v>
      </c>
      <c r="AW70" s="43">
        <v>0</v>
      </c>
      <c r="AX70" s="49"/>
      <c r="AY70" s="49"/>
      <c r="AZ70" s="49"/>
      <c r="BA70" s="43"/>
      <c r="BB70" s="43"/>
      <c r="BC70" s="43"/>
      <c r="BD70" s="43"/>
      <c r="BE70" s="43"/>
      <c r="BF70" s="43"/>
      <c r="BG70" s="173">
        <f>+T70+W70+Z70+AC70+AF70+AI70+AL70+AO70+AR70+AU70+AX70+BA70+BD70</f>
        <v>1363829111.05</v>
      </c>
      <c r="BH70" s="173">
        <f t="shared" si="174"/>
        <v>0</v>
      </c>
      <c r="BI70" s="173">
        <f t="shared" si="174"/>
        <v>0</v>
      </c>
    </row>
    <row r="71" spans="1:67" ht="71.25" customHeight="1" x14ac:dyDescent="0.2">
      <c r="A71" s="438"/>
      <c r="B71" s="441"/>
      <c r="C71" s="373"/>
      <c r="D71" s="374"/>
      <c r="E71" s="354">
        <v>4003</v>
      </c>
      <c r="F71" s="47" t="s">
        <v>266</v>
      </c>
      <c r="G71" s="383" t="s">
        <v>282</v>
      </c>
      <c r="H71" s="199">
        <v>4003028</v>
      </c>
      <c r="I71" s="50" t="s">
        <v>283</v>
      </c>
      <c r="J71" s="383" t="s">
        <v>284</v>
      </c>
      <c r="K71" s="199">
        <v>400302801</v>
      </c>
      <c r="L71" s="50" t="s">
        <v>285</v>
      </c>
      <c r="M71" s="354" t="s">
        <v>98</v>
      </c>
      <c r="N71" s="354">
        <v>4</v>
      </c>
      <c r="O71" s="199">
        <v>4</v>
      </c>
      <c r="P71" s="199">
        <v>0</v>
      </c>
      <c r="Q71" s="524"/>
      <c r="R71" s="517"/>
      <c r="S71" s="518"/>
      <c r="T71" s="43"/>
      <c r="U71" s="43"/>
      <c r="V71" s="43"/>
      <c r="W71" s="43"/>
      <c r="X71" s="43"/>
      <c r="Y71" s="43"/>
      <c r="Z71" s="360"/>
      <c r="AA71" s="360"/>
      <c r="AB71" s="360"/>
      <c r="AC71" s="43"/>
      <c r="AD71" s="43"/>
      <c r="AE71" s="43"/>
      <c r="AF71" s="43"/>
      <c r="AG71" s="43"/>
      <c r="AH71" s="43"/>
      <c r="AI71" s="43"/>
      <c r="AJ71" s="43"/>
      <c r="AK71" s="43"/>
      <c r="AL71" s="43"/>
      <c r="AM71" s="43"/>
      <c r="AN71" s="43"/>
      <c r="AO71" s="43"/>
      <c r="AP71" s="43"/>
      <c r="AQ71" s="43"/>
      <c r="AR71" s="43"/>
      <c r="AS71" s="43"/>
      <c r="AT71" s="43"/>
      <c r="AU71" s="43">
        <v>125000000</v>
      </c>
      <c r="AV71" s="43">
        <v>0</v>
      </c>
      <c r="AW71" s="43">
        <v>0</v>
      </c>
      <c r="AX71" s="49"/>
      <c r="AY71" s="49"/>
      <c r="AZ71" s="49"/>
      <c r="BA71" s="43"/>
      <c r="BB71" s="43"/>
      <c r="BC71" s="43"/>
      <c r="BD71" s="43"/>
      <c r="BE71" s="43"/>
      <c r="BF71" s="43"/>
      <c r="BG71" s="173">
        <f>+T71+W71+Z71+AC71+AF71+AI71+AL71+AO71+AR71+AU71+AX71+BA71+BD71</f>
        <v>125000000</v>
      </c>
      <c r="BH71" s="173">
        <f t="shared" si="174"/>
        <v>0</v>
      </c>
      <c r="BI71" s="173">
        <f t="shared" si="174"/>
        <v>0</v>
      </c>
    </row>
    <row r="72" spans="1:67" ht="56.25" customHeight="1" x14ac:dyDescent="0.2">
      <c r="A72" s="438"/>
      <c r="B72" s="442"/>
      <c r="C72" s="373"/>
      <c r="D72" s="374"/>
      <c r="E72" s="354">
        <v>4003</v>
      </c>
      <c r="F72" s="47" t="s">
        <v>266</v>
      </c>
      <c r="G72" s="383" t="s">
        <v>286</v>
      </c>
      <c r="H72" s="199">
        <v>4003042</v>
      </c>
      <c r="I72" s="50" t="s">
        <v>287</v>
      </c>
      <c r="J72" s="383" t="s">
        <v>288</v>
      </c>
      <c r="K72" s="199">
        <v>400304200</v>
      </c>
      <c r="L72" s="50" t="s">
        <v>289</v>
      </c>
      <c r="M72" s="354" t="s">
        <v>188</v>
      </c>
      <c r="N72" s="354">
        <v>8</v>
      </c>
      <c r="O72" s="199">
        <v>1</v>
      </c>
      <c r="P72" s="199">
        <v>0</v>
      </c>
      <c r="Q72" s="524"/>
      <c r="R72" s="517"/>
      <c r="S72" s="518"/>
      <c r="T72" s="43"/>
      <c r="U72" s="43"/>
      <c r="V72" s="43"/>
      <c r="W72" s="43"/>
      <c r="X72" s="43"/>
      <c r="Y72" s="43"/>
      <c r="Z72" s="360"/>
      <c r="AA72" s="360"/>
      <c r="AB72" s="360"/>
      <c r="AC72" s="43"/>
      <c r="AD72" s="43"/>
      <c r="AE72" s="43"/>
      <c r="AF72" s="43"/>
      <c r="AG72" s="43"/>
      <c r="AH72" s="43"/>
      <c r="AI72" s="43"/>
      <c r="AJ72" s="43"/>
      <c r="AK72" s="43"/>
      <c r="AL72" s="43"/>
      <c r="AM72" s="43"/>
      <c r="AN72" s="43"/>
      <c r="AO72" s="43"/>
      <c r="AP72" s="43"/>
      <c r="AQ72" s="43"/>
      <c r="AR72" s="43"/>
      <c r="AS72" s="43"/>
      <c r="AT72" s="43"/>
      <c r="AU72" s="43">
        <v>685000000</v>
      </c>
      <c r="AV72" s="43">
        <v>0</v>
      </c>
      <c r="AW72" s="43">
        <v>0</v>
      </c>
      <c r="AX72" s="49"/>
      <c r="AY72" s="49"/>
      <c r="AZ72" s="49"/>
      <c r="BA72" s="43"/>
      <c r="BB72" s="43"/>
      <c r="BC72" s="43"/>
      <c r="BD72" s="43"/>
      <c r="BE72" s="43"/>
      <c r="BF72" s="43"/>
      <c r="BG72" s="173">
        <f>+T72+W72+Z72+AC72+AF72+AI72+AL72+AO72+AR72+AU72+AX72+BA72+BD72</f>
        <v>685000000</v>
      </c>
      <c r="BH72" s="173">
        <f t="shared" si="174"/>
        <v>0</v>
      </c>
      <c r="BI72" s="173">
        <f t="shared" si="174"/>
        <v>0</v>
      </c>
    </row>
    <row r="73" spans="1:67" ht="24.75" customHeight="1" x14ac:dyDescent="0.2">
      <c r="A73" s="438"/>
      <c r="B73" s="259">
        <v>4</v>
      </c>
      <c r="C73" s="159" t="s">
        <v>117</v>
      </c>
      <c r="D73" s="160"/>
      <c r="E73" s="160"/>
      <c r="F73" s="161"/>
      <c r="G73" s="162"/>
      <c r="H73" s="163"/>
      <c r="I73" s="161"/>
      <c r="J73" s="162"/>
      <c r="K73" s="162"/>
      <c r="L73" s="161"/>
      <c r="M73" s="164"/>
      <c r="N73" s="164"/>
      <c r="O73" s="162"/>
      <c r="P73" s="162"/>
      <c r="Q73" s="426"/>
      <c r="R73" s="162"/>
      <c r="S73" s="161"/>
      <c r="T73" s="165">
        <f t="shared" ref="T73:BF73" si="175">T74+T76</f>
        <v>0</v>
      </c>
      <c r="U73" s="165">
        <f t="shared" si="175"/>
        <v>0</v>
      </c>
      <c r="V73" s="165">
        <f t="shared" si="175"/>
        <v>0</v>
      </c>
      <c r="W73" s="165">
        <f t="shared" si="175"/>
        <v>0</v>
      </c>
      <c r="X73" s="165">
        <f t="shared" si="175"/>
        <v>0</v>
      </c>
      <c r="Y73" s="165">
        <f t="shared" si="175"/>
        <v>0</v>
      </c>
      <c r="Z73" s="165">
        <f t="shared" si="175"/>
        <v>0</v>
      </c>
      <c r="AA73" s="165">
        <f t="shared" si="175"/>
        <v>0</v>
      </c>
      <c r="AB73" s="165">
        <f t="shared" si="175"/>
        <v>0</v>
      </c>
      <c r="AC73" s="165">
        <f t="shared" si="175"/>
        <v>0</v>
      </c>
      <c r="AD73" s="165">
        <f t="shared" si="175"/>
        <v>0</v>
      </c>
      <c r="AE73" s="165">
        <f t="shared" si="175"/>
        <v>0</v>
      </c>
      <c r="AF73" s="165">
        <f t="shared" si="175"/>
        <v>0</v>
      </c>
      <c r="AG73" s="165">
        <f t="shared" si="175"/>
        <v>0</v>
      </c>
      <c r="AH73" s="165">
        <f t="shared" si="175"/>
        <v>0</v>
      </c>
      <c r="AI73" s="165">
        <f t="shared" si="175"/>
        <v>0</v>
      </c>
      <c r="AJ73" s="165">
        <f t="shared" si="175"/>
        <v>0</v>
      </c>
      <c r="AK73" s="165">
        <f t="shared" si="175"/>
        <v>0</v>
      </c>
      <c r="AL73" s="165">
        <f t="shared" si="175"/>
        <v>0</v>
      </c>
      <c r="AM73" s="165">
        <f t="shared" si="175"/>
        <v>0</v>
      </c>
      <c r="AN73" s="165">
        <f t="shared" si="175"/>
        <v>0</v>
      </c>
      <c r="AO73" s="165">
        <f t="shared" si="175"/>
        <v>0</v>
      </c>
      <c r="AP73" s="165">
        <f t="shared" si="175"/>
        <v>0</v>
      </c>
      <c r="AQ73" s="165">
        <f t="shared" si="175"/>
        <v>0</v>
      </c>
      <c r="AR73" s="165">
        <f t="shared" si="175"/>
        <v>0</v>
      </c>
      <c r="AS73" s="165">
        <f t="shared" si="175"/>
        <v>0</v>
      </c>
      <c r="AT73" s="165">
        <f t="shared" si="175"/>
        <v>0</v>
      </c>
      <c r="AU73" s="165">
        <f t="shared" si="175"/>
        <v>0</v>
      </c>
      <c r="AV73" s="165">
        <f t="shared" si="175"/>
        <v>0</v>
      </c>
      <c r="AW73" s="165">
        <f t="shared" si="175"/>
        <v>0</v>
      </c>
      <c r="AX73" s="165">
        <f t="shared" si="175"/>
        <v>36041593.740000002</v>
      </c>
      <c r="AY73" s="165">
        <f t="shared" si="175"/>
        <v>8400000</v>
      </c>
      <c r="AZ73" s="165">
        <f t="shared" si="175"/>
        <v>0</v>
      </c>
      <c r="BA73" s="165">
        <f t="shared" si="175"/>
        <v>60660648</v>
      </c>
      <c r="BB73" s="165">
        <f t="shared" si="175"/>
        <v>0</v>
      </c>
      <c r="BC73" s="165">
        <f t="shared" si="175"/>
        <v>0</v>
      </c>
      <c r="BD73" s="165">
        <f t="shared" si="175"/>
        <v>0</v>
      </c>
      <c r="BE73" s="165">
        <f t="shared" si="175"/>
        <v>0</v>
      </c>
      <c r="BF73" s="165">
        <f t="shared" si="175"/>
        <v>0</v>
      </c>
      <c r="BG73" s="165">
        <f t="shared" ref="BG73:BI73" si="176">BG74+BG76</f>
        <v>96702241.739999995</v>
      </c>
      <c r="BH73" s="165">
        <f t="shared" si="176"/>
        <v>8400000</v>
      </c>
      <c r="BI73" s="165">
        <f t="shared" si="176"/>
        <v>0</v>
      </c>
    </row>
    <row r="74" spans="1:67" ht="24.75" customHeight="1" x14ac:dyDescent="0.2">
      <c r="A74" s="438"/>
      <c r="B74" s="440"/>
      <c r="C74" s="195">
        <v>45</v>
      </c>
      <c r="D74" s="167" t="s">
        <v>92</v>
      </c>
      <c r="E74" s="357" t="s">
        <v>93</v>
      </c>
      <c r="F74" s="166"/>
      <c r="G74" s="167"/>
      <c r="H74" s="168"/>
      <c r="I74" s="166"/>
      <c r="J74" s="167"/>
      <c r="K74" s="167"/>
      <c r="L74" s="166"/>
      <c r="M74" s="169"/>
      <c r="N74" s="169"/>
      <c r="O74" s="167"/>
      <c r="P74" s="167"/>
      <c r="Q74" s="424"/>
      <c r="R74" s="167"/>
      <c r="S74" s="166"/>
      <c r="T74" s="171">
        <f t="shared" ref="T74:BI74" si="177">T75</f>
        <v>0</v>
      </c>
      <c r="U74" s="171">
        <f t="shared" si="177"/>
        <v>0</v>
      </c>
      <c r="V74" s="171">
        <f t="shared" si="177"/>
        <v>0</v>
      </c>
      <c r="W74" s="171">
        <f t="shared" si="177"/>
        <v>0</v>
      </c>
      <c r="X74" s="171">
        <f t="shared" si="177"/>
        <v>0</v>
      </c>
      <c r="Y74" s="171">
        <f t="shared" si="177"/>
        <v>0</v>
      </c>
      <c r="Z74" s="171">
        <f t="shared" si="177"/>
        <v>0</v>
      </c>
      <c r="AA74" s="171">
        <f t="shared" si="177"/>
        <v>0</v>
      </c>
      <c r="AB74" s="171">
        <f t="shared" si="177"/>
        <v>0</v>
      </c>
      <c r="AC74" s="171">
        <f t="shared" si="177"/>
        <v>0</v>
      </c>
      <c r="AD74" s="171">
        <f t="shared" si="177"/>
        <v>0</v>
      </c>
      <c r="AE74" s="171">
        <f t="shared" si="177"/>
        <v>0</v>
      </c>
      <c r="AF74" s="171">
        <f t="shared" si="177"/>
        <v>0</v>
      </c>
      <c r="AG74" s="171">
        <f t="shared" si="177"/>
        <v>0</v>
      </c>
      <c r="AH74" s="171">
        <f t="shared" si="177"/>
        <v>0</v>
      </c>
      <c r="AI74" s="171">
        <f t="shared" si="177"/>
        <v>0</v>
      </c>
      <c r="AJ74" s="171">
        <f t="shared" si="177"/>
        <v>0</v>
      </c>
      <c r="AK74" s="171">
        <f t="shared" si="177"/>
        <v>0</v>
      </c>
      <c r="AL74" s="171">
        <f t="shared" si="177"/>
        <v>0</v>
      </c>
      <c r="AM74" s="171">
        <f t="shared" si="177"/>
        <v>0</v>
      </c>
      <c r="AN74" s="171">
        <f t="shared" si="177"/>
        <v>0</v>
      </c>
      <c r="AO74" s="171">
        <f t="shared" si="177"/>
        <v>0</v>
      </c>
      <c r="AP74" s="171">
        <f t="shared" si="177"/>
        <v>0</v>
      </c>
      <c r="AQ74" s="171">
        <f t="shared" si="177"/>
        <v>0</v>
      </c>
      <c r="AR74" s="171">
        <f t="shared" si="177"/>
        <v>0</v>
      </c>
      <c r="AS74" s="171">
        <f t="shared" si="177"/>
        <v>0</v>
      </c>
      <c r="AT74" s="171">
        <f t="shared" si="177"/>
        <v>0</v>
      </c>
      <c r="AU74" s="171">
        <f t="shared" si="177"/>
        <v>0</v>
      </c>
      <c r="AV74" s="171">
        <f t="shared" si="177"/>
        <v>0</v>
      </c>
      <c r="AW74" s="171">
        <f t="shared" si="177"/>
        <v>0</v>
      </c>
      <c r="AX74" s="171">
        <f t="shared" si="177"/>
        <v>12013864.58</v>
      </c>
      <c r="AY74" s="171">
        <f t="shared" si="177"/>
        <v>8400000</v>
      </c>
      <c r="AZ74" s="171">
        <f t="shared" si="177"/>
        <v>0</v>
      </c>
      <c r="BA74" s="171">
        <f t="shared" si="177"/>
        <v>60660648</v>
      </c>
      <c r="BB74" s="171">
        <f t="shared" si="177"/>
        <v>0</v>
      </c>
      <c r="BC74" s="171">
        <f t="shared" si="177"/>
        <v>0</v>
      </c>
      <c r="BD74" s="171">
        <f t="shared" si="177"/>
        <v>0</v>
      </c>
      <c r="BE74" s="171">
        <f t="shared" si="177"/>
        <v>0</v>
      </c>
      <c r="BF74" s="171">
        <f t="shared" si="177"/>
        <v>0</v>
      </c>
      <c r="BG74" s="171">
        <f t="shared" si="177"/>
        <v>72674512.579999998</v>
      </c>
      <c r="BH74" s="171">
        <f t="shared" si="177"/>
        <v>8400000</v>
      </c>
      <c r="BI74" s="171">
        <f t="shared" si="177"/>
        <v>0</v>
      </c>
    </row>
    <row r="75" spans="1:67" ht="91.5" customHeight="1" x14ac:dyDescent="0.2">
      <c r="A75" s="438"/>
      <c r="B75" s="441"/>
      <c r="C75" s="373"/>
      <c r="D75" s="374"/>
      <c r="E75" s="354" t="s">
        <v>92</v>
      </c>
      <c r="F75" s="356" t="s">
        <v>94</v>
      </c>
      <c r="G75" s="363" t="s">
        <v>290</v>
      </c>
      <c r="H75" s="354" t="s">
        <v>92</v>
      </c>
      <c r="I75" s="356" t="s">
        <v>291</v>
      </c>
      <c r="J75" s="363" t="s">
        <v>292</v>
      </c>
      <c r="K75" s="199" t="s">
        <v>92</v>
      </c>
      <c r="L75" s="356" t="s">
        <v>293</v>
      </c>
      <c r="M75" s="354" t="s">
        <v>98</v>
      </c>
      <c r="N75" s="354">
        <v>4</v>
      </c>
      <c r="O75" s="363">
        <v>4</v>
      </c>
      <c r="P75" s="363">
        <v>0</v>
      </c>
      <c r="Q75" s="421" t="s">
        <v>99</v>
      </c>
      <c r="R75" s="354" t="s">
        <v>208</v>
      </c>
      <c r="S75" s="355" t="s">
        <v>209</v>
      </c>
      <c r="T75" s="198"/>
      <c r="U75" s="198"/>
      <c r="V75" s="198"/>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9">
        <v>12013864.58</v>
      </c>
      <c r="AY75" s="49">
        <v>8400000</v>
      </c>
      <c r="AZ75" s="49">
        <v>0</v>
      </c>
      <c r="BA75" s="49">
        <v>60660648</v>
      </c>
      <c r="BB75" s="204">
        <v>0</v>
      </c>
      <c r="BC75" s="204">
        <v>0</v>
      </c>
      <c r="BD75" s="43"/>
      <c r="BE75" s="43"/>
      <c r="BF75" s="43"/>
      <c r="BG75" s="173">
        <f>+T75+W75+Z75+AC75+AF75+AI75+AL75+AO75+AR75+AU75+AX75+BA75+BD75</f>
        <v>72674512.579999998</v>
      </c>
      <c r="BH75" s="173">
        <f t="shared" ref="BH75:BI75" si="178">+U75+X75+AA75+AD75+AG75+AJ75+AM75+AP75+AS75+AV75+AY75+BB75+BE75</f>
        <v>8400000</v>
      </c>
      <c r="BI75" s="173">
        <f t="shared" si="178"/>
        <v>0</v>
      </c>
    </row>
    <row r="76" spans="1:67" ht="24.75" customHeight="1" x14ac:dyDescent="0.2">
      <c r="A76" s="438"/>
      <c r="B76" s="441"/>
      <c r="C76" s="195">
        <v>42</v>
      </c>
      <c r="D76" s="167">
        <v>4502</v>
      </c>
      <c r="E76" s="357" t="s">
        <v>108</v>
      </c>
      <c r="F76" s="166"/>
      <c r="G76" s="167"/>
      <c r="H76" s="168"/>
      <c r="I76" s="166"/>
      <c r="J76" s="167"/>
      <c r="K76" s="167"/>
      <c r="L76" s="166"/>
      <c r="M76" s="169"/>
      <c r="N76" s="169"/>
      <c r="O76" s="167"/>
      <c r="P76" s="167"/>
      <c r="Q76" s="424"/>
      <c r="R76" s="167"/>
      <c r="S76" s="166"/>
      <c r="T76" s="171">
        <f t="shared" ref="T76:BI76" si="179">T77</f>
        <v>0</v>
      </c>
      <c r="U76" s="171">
        <f t="shared" si="179"/>
        <v>0</v>
      </c>
      <c r="V76" s="171">
        <f t="shared" si="179"/>
        <v>0</v>
      </c>
      <c r="W76" s="171">
        <f t="shared" si="179"/>
        <v>0</v>
      </c>
      <c r="X76" s="171">
        <f t="shared" si="179"/>
        <v>0</v>
      </c>
      <c r="Y76" s="171">
        <f t="shared" si="179"/>
        <v>0</v>
      </c>
      <c r="Z76" s="171">
        <f t="shared" si="179"/>
        <v>0</v>
      </c>
      <c r="AA76" s="171">
        <f t="shared" si="179"/>
        <v>0</v>
      </c>
      <c r="AB76" s="171">
        <f t="shared" si="179"/>
        <v>0</v>
      </c>
      <c r="AC76" s="171">
        <f t="shared" si="179"/>
        <v>0</v>
      </c>
      <c r="AD76" s="171">
        <f t="shared" si="179"/>
        <v>0</v>
      </c>
      <c r="AE76" s="171">
        <f t="shared" si="179"/>
        <v>0</v>
      </c>
      <c r="AF76" s="171">
        <f t="shared" si="179"/>
        <v>0</v>
      </c>
      <c r="AG76" s="171">
        <f t="shared" si="179"/>
        <v>0</v>
      </c>
      <c r="AH76" s="171">
        <f t="shared" si="179"/>
        <v>0</v>
      </c>
      <c r="AI76" s="171">
        <f t="shared" si="179"/>
        <v>0</v>
      </c>
      <c r="AJ76" s="171">
        <f t="shared" si="179"/>
        <v>0</v>
      </c>
      <c r="AK76" s="171">
        <f t="shared" si="179"/>
        <v>0</v>
      </c>
      <c r="AL76" s="171">
        <f t="shared" si="179"/>
        <v>0</v>
      </c>
      <c r="AM76" s="171">
        <f t="shared" si="179"/>
        <v>0</v>
      </c>
      <c r="AN76" s="171">
        <f t="shared" si="179"/>
        <v>0</v>
      </c>
      <c r="AO76" s="171">
        <f t="shared" si="179"/>
        <v>0</v>
      </c>
      <c r="AP76" s="171">
        <f t="shared" si="179"/>
        <v>0</v>
      </c>
      <c r="AQ76" s="171">
        <f t="shared" si="179"/>
        <v>0</v>
      </c>
      <c r="AR76" s="171">
        <f t="shared" si="179"/>
        <v>0</v>
      </c>
      <c r="AS76" s="171">
        <f t="shared" si="179"/>
        <v>0</v>
      </c>
      <c r="AT76" s="171">
        <f t="shared" si="179"/>
        <v>0</v>
      </c>
      <c r="AU76" s="171">
        <f t="shared" si="179"/>
        <v>0</v>
      </c>
      <c r="AV76" s="171">
        <f t="shared" si="179"/>
        <v>0</v>
      </c>
      <c r="AW76" s="171">
        <f t="shared" si="179"/>
        <v>0</v>
      </c>
      <c r="AX76" s="171">
        <f t="shared" si="179"/>
        <v>24027729.16</v>
      </c>
      <c r="AY76" s="171">
        <f t="shared" si="179"/>
        <v>0</v>
      </c>
      <c r="AZ76" s="171">
        <f t="shared" si="179"/>
        <v>0</v>
      </c>
      <c r="BA76" s="171">
        <f t="shared" si="179"/>
        <v>0</v>
      </c>
      <c r="BB76" s="171">
        <f t="shared" si="179"/>
        <v>0</v>
      </c>
      <c r="BC76" s="171">
        <f t="shared" si="179"/>
        <v>0</v>
      </c>
      <c r="BD76" s="171">
        <f t="shared" si="179"/>
        <v>0</v>
      </c>
      <c r="BE76" s="171">
        <f t="shared" si="179"/>
        <v>0</v>
      </c>
      <c r="BF76" s="171">
        <f t="shared" si="179"/>
        <v>0</v>
      </c>
      <c r="BG76" s="171">
        <f t="shared" si="179"/>
        <v>24027729.16</v>
      </c>
      <c r="BH76" s="171">
        <f t="shared" si="179"/>
        <v>0</v>
      </c>
      <c r="BI76" s="171">
        <f t="shared" si="179"/>
        <v>0</v>
      </c>
    </row>
    <row r="77" spans="1:67" ht="47.25" customHeight="1" x14ac:dyDescent="0.2">
      <c r="A77" s="439"/>
      <c r="B77" s="442"/>
      <c r="C77" s="373"/>
      <c r="D77" s="374"/>
      <c r="E77" s="354">
        <v>4502</v>
      </c>
      <c r="F77" s="355" t="s">
        <v>118</v>
      </c>
      <c r="G77" s="199" t="s">
        <v>294</v>
      </c>
      <c r="H77" s="199">
        <v>4502003</v>
      </c>
      <c r="I77" s="47" t="s">
        <v>295</v>
      </c>
      <c r="J77" s="199" t="s">
        <v>296</v>
      </c>
      <c r="K77" s="199">
        <v>450200300</v>
      </c>
      <c r="L77" s="47" t="s">
        <v>295</v>
      </c>
      <c r="M77" s="354" t="s">
        <v>188</v>
      </c>
      <c r="N77" s="354">
        <v>8</v>
      </c>
      <c r="O77" s="199">
        <v>2</v>
      </c>
      <c r="P77" s="199">
        <v>0</v>
      </c>
      <c r="Q77" s="423" t="s">
        <v>114</v>
      </c>
      <c r="R77" s="354" t="s">
        <v>208</v>
      </c>
      <c r="S77" s="355" t="s">
        <v>209</v>
      </c>
      <c r="T77" s="198"/>
      <c r="U77" s="198"/>
      <c r="V77" s="198"/>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9">
        <v>24027729.16</v>
      </c>
      <c r="AY77" s="49">
        <v>0</v>
      </c>
      <c r="AZ77" s="49">
        <v>0</v>
      </c>
      <c r="BA77" s="181"/>
      <c r="BB77" s="181"/>
      <c r="BC77" s="181"/>
      <c r="BD77" s="43"/>
      <c r="BE77" s="43"/>
      <c r="BF77" s="43"/>
      <c r="BG77" s="173">
        <f>+T77+W77+Z77+AC77+AF77+AI77+AL77+AO77+AR77+AU77+AX77+BA77+BD77</f>
        <v>24027729.16</v>
      </c>
      <c r="BH77" s="173">
        <f t="shared" ref="BH77:BI77" si="180">+U77+X77+AA77+AD77+AG77+AJ77+AM77+AP77+AS77+AV77+AY77+BB77+BE77</f>
        <v>0</v>
      </c>
      <c r="BI77" s="173">
        <f t="shared" si="180"/>
        <v>0</v>
      </c>
    </row>
    <row r="78" spans="1:67" s="242" customFormat="1" ht="15.75" x14ac:dyDescent="0.2">
      <c r="A78" s="443"/>
      <c r="B78" s="444"/>
      <c r="C78" s="444"/>
      <c r="D78" s="445"/>
      <c r="E78" s="446"/>
      <c r="F78" s="446"/>
      <c r="G78" s="447"/>
      <c r="H78" s="447"/>
      <c r="I78" s="448"/>
      <c r="J78" s="449"/>
      <c r="K78" s="449"/>
      <c r="L78" s="448"/>
      <c r="M78" s="447"/>
      <c r="N78" s="447"/>
      <c r="O78" s="449"/>
      <c r="P78" s="449"/>
      <c r="Q78" s="447"/>
      <c r="R78" s="447"/>
      <c r="S78" s="448"/>
      <c r="T78" s="450"/>
      <c r="U78" s="450"/>
      <c r="V78" s="450"/>
      <c r="W78" s="450"/>
      <c r="X78" s="450"/>
      <c r="Y78" s="450"/>
      <c r="Z78" s="450"/>
      <c r="AA78" s="450"/>
      <c r="AB78" s="450"/>
      <c r="AC78" s="450"/>
      <c r="AD78" s="450"/>
      <c r="AE78" s="450"/>
      <c r="AF78" s="450"/>
      <c r="AG78" s="450"/>
      <c r="AH78" s="450"/>
      <c r="AI78" s="450"/>
      <c r="AJ78" s="450"/>
      <c r="AK78" s="450"/>
      <c r="AL78" s="450"/>
      <c r="AM78" s="450"/>
      <c r="AN78" s="450"/>
      <c r="AO78" s="450"/>
      <c r="AP78" s="450"/>
      <c r="AQ78" s="450"/>
      <c r="AR78" s="450"/>
      <c r="AS78" s="450"/>
      <c r="AT78" s="450"/>
      <c r="AU78" s="450"/>
      <c r="AV78" s="450"/>
      <c r="AW78" s="450"/>
      <c r="AX78" s="451"/>
      <c r="AY78" s="451"/>
      <c r="AZ78" s="451"/>
      <c r="BA78" s="450"/>
      <c r="BB78" s="450"/>
      <c r="BC78" s="450"/>
      <c r="BD78" s="450"/>
      <c r="BE78" s="450"/>
      <c r="BF78" s="450"/>
      <c r="BG78" s="451"/>
      <c r="BH78" s="451"/>
      <c r="BI78" s="451"/>
    </row>
    <row r="79" spans="1:67" ht="15.75" x14ac:dyDescent="0.2">
      <c r="A79" s="211" t="s">
        <v>297</v>
      </c>
      <c r="B79" s="211"/>
      <c r="C79" s="211"/>
      <c r="D79" s="212"/>
      <c r="E79" s="212"/>
      <c r="F79" s="213"/>
      <c r="G79" s="214"/>
      <c r="H79" s="156"/>
      <c r="I79" s="213"/>
      <c r="J79" s="214"/>
      <c r="K79" s="214"/>
      <c r="L79" s="213"/>
      <c r="M79" s="156"/>
      <c r="N79" s="156"/>
      <c r="O79" s="214"/>
      <c r="P79" s="214"/>
      <c r="Q79" s="212"/>
      <c r="R79" s="214"/>
      <c r="S79" s="213"/>
      <c r="T79" s="188">
        <f>+T80+T101+T109</f>
        <v>0</v>
      </c>
      <c r="U79" s="188"/>
      <c r="V79" s="188"/>
      <c r="W79" s="188">
        <f t="shared" ref="W79:BD79" si="181">+W80+W101+W109</f>
        <v>2192073558.0099998</v>
      </c>
      <c r="X79" s="188">
        <f t="shared" si="181"/>
        <v>118600000</v>
      </c>
      <c r="Y79" s="188">
        <f t="shared" si="181"/>
        <v>12400000</v>
      </c>
      <c r="Z79" s="188">
        <f t="shared" si="181"/>
        <v>0</v>
      </c>
      <c r="AA79" s="188"/>
      <c r="AB79" s="188"/>
      <c r="AC79" s="188">
        <f t="shared" si="181"/>
        <v>0</v>
      </c>
      <c r="AD79" s="188"/>
      <c r="AE79" s="188"/>
      <c r="AF79" s="188">
        <f t="shared" si="181"/>
        <v>0</v>
      </c>
      <c r="AG79" s="188"/>
      <c r="AH79" s="188"/>
      <c r="AI79" s="188">
        <f t="shared" si="181"/>
        <v>0</v>
      </c>
      <c r="AJ79" s="188"/>
      <c r="AK79" s="188"/>
      <c r="AL79" s="188">
        <f t="shared" si="181"/>
        <v>0</v>
      </c>
      <c r="AM79" s="188"/>
      <c r="AN79" s="188"/>
      <c r="AO79" s="188">
        <f t="shared" si="181"/>
        <v>0</v>
      </c>
      <c r="AP79" s="188"/>
      <c r="AQ79" s="188"/>
      <c r="AR79" s="188">
        <f t="shared" si="181"/>
        <v>0</v>
      </c>
      <c r="AS79" s="188"/>
      <c r="AT79" s="188"/>
      <c r="AU79" s="188">
        <f t="shared" si="181"/>
        <v>0</v>
      </c>
      <c r="AV79" s="188"/>
      <c r="AW79" s="188"/>
      <c r="AX79" s="188">
        <f t="shared" si="181"/>
        <v>1638147036.3</v>
      </c>
      <c r="AY79" s="188">
        <f t="shared" si="181"/>
        <v>515443541</v>
      </c>
      <c r="AZ79" s="188">
        <f t="shared" si="181"/>
        <v>214765658</v>
      </c>
      <c r="BA79" s="188">
        <f t="shared" si="181"/>
        <v>0</v>
      </c>
      <c r="BB79" s="188"/>
      <c r="BC79" s="188"/>
      <c r="BD79" s="188">
        <f t="shared" si="181"/>
        <v>0</v>
      </c>
      <c r="BE79" s="188"/>
      <c r="BF79" s="188"/>
      <c r="BG79" s="188">
        <f>+BG80+BG101+BG109</f>
        <v>3830220594.3099999</v>
      </c>
      <c r="BH79" s="188">
        <f t="shared" ref="BH79:BI79" si="182">+BH80+BH101+BH109</f>
        <v>634043541</v>
      </c>
      <c r="BI79" s="188">
        <f t="shared" si="182"/>
        <v>227165658</v>
      </c>
      <c r="BJ79" s="487"/>
      <c r="BK79" s="487"/>
      <c r="BL79" s="487"/>
      <c r="BM79" s="487"/>
      <c r="BN79" s="487"/>
      <c r="BO79" s="487"/>
    </row>
    <row r="80" spans="1:67" ht="15.75" x14ac:dyDescent="0.2">
      <c r="A80" s="452"/>
      <c r="B80" s="259">
        <v>1</v>
      </c>
      <c r="C80" s="159" t="s">
        <v>1</v>
      </c>
      <c r="D80" s="160"/>
      <c r="E80" s="160"/>
      <c r="F80" s="161"/>
      <c r="G80" s="162"/>
      <c r="H80" s="163"/>
      <c r="I80" s="161"/>
      <c r="J80" s="162"/>
      <c r="K80" s="162"/>
      <c r="L80" s="161"/>
      <c r="M80" s="163"/>
      <c r="N80" s="163"/>
      <c r="O80" s="162"/>
      <c r="P80" s="162"/>
      <c r="Q80" s="160"/>
      <c r="R80" s="162"/>
      <c r="S80" s="161"/>
      <c r="T80" s="165">
        <f>+T81+T83+T85+T87+T89+T95+T97</f>
        <v>0</v>
      </c>
      <c r="U80" s="165"/>
      <c r="V80" s="165"/>
      <c r="W80" s="165">
        <f t="shared" ref="W80:BD80" si="183">+W81+W83+W85+W87+W89+W95+W97</f>
        <v>2192073558.0099998</v>
      </c>
      <c r="X80" s="165">
        <f t="shared" si="183"/>
        <v>118600000</v>
      </c>
      <c r="Y80" s="165">
        <f t="shared" si="183"/>
        <v>12400000</v>
      </c>
      <c r="Z80" s="165">
        <f t="shared" si="183"/>
        <v>0</v>
      </c>
      <c r="AA80" s="165"/>
      <c r="AB80" s="165"/>
      <c r="AC80" s="165">
        <f t="shared" si="183"/>
        <v>0</v>
      </c>
      <c r="AD80" s="165"/>
      <c r="AE80" s="165"/>
      <c r="AF80" s="165">
        <f t="shared" si="183"/>
        <v>0</v>
      </c>
      <c r="AG80" s="165"/>
      <c r="AH80" s="165"/>
      <c r="AI80" s="165">
        <f t="shared" si="183"/>
        <v>0</v>
      </c>
      <c r="AJ80" s="165"/>
      <c r="AK80" s="165"/>
      <c r="AL80" s="165">
        <f t="shared" si="183"/>
        <v>0</v>
      </c>
      <c r="AM80" s="165"/>
      <c r="AN80" s="165"/>
      <c r="AO80" s="165">
        <f t="shared" si="183"/>
        <v>0</v>
      </c>
      <c r="AP80" s="165"/>
      <c r="AQ80" s="165"/>
      <c r="AR80" s="165">
        <f t="shared" si="183"/>
        <v>0</v>
      </c>
      <c r="AS80" s="165"/>
      <c r="AT80" s="165"/>
      <c r="AU80" s="165">
        <f t="shared" si="183"/>
        <v>0</v>
      </c>
      <c r="AV80" s="165"/>
      <c r="AW80" s="165"/>
      <c r="AX80" s="165">
        <f t="shared" si="183"/>
        <v>1051464495</v>
      </c>
      <c r="AY80" s="165">
        <f t="shared" si="183"/>
        <v>238185140</v>
      </c>
      <c r="AZ80" s="165">
        <f t="shared" si="183"/>
        <v>82803794</v>
      </c>
      <c r="BA80" s="165">
        <f t="shared" si="183"/>
        <v>0</v>
      </c>
      <c r="BB80" s="165"/>
      <c r="BC80" s="165"/>
      <c r="BD80" s="165">
        <f t="shared" si="183"/>
        <v>0</v>
      </c>
      <c r="BE80" s="165"/>
      <c r="BF80" s="165"/>
      <c r="BG80" s="165">
        <f>+BG81+BG83+BG85+BG87+BG89+BG95+BG97</f>
        <v>3243538053.0099998</v>
      </c>
      <c r="BH80" s="165">
        <f t="shared" ref="BH80:BI80" si="184">+BH81+BH83+BH85+BH87+BH89+BH95+BH97</f>
        <v>356785140</v>
      </c>
      <c r="BI80" s="165">
        <f t="shared" si="184"/>
        <v>95203794</v>
      </c>
    </row>
    <row r="81" spans="1:61" ht="15.75" x14ac:dyDescent="0.2">
      <c r="A81" s="438"/>
      <c r="B81" s="440"/>
      <c r="C81" s="195">
        <v>1</v>
      </c>
      <c r="D81" s="167">
        <v>1202</v>
      </c>
      <c r="E81" s="357" t="s">
        <v>1430</v>
      </c>
      <c r="F81" s="166"/>
      <c r="G81" s="167"/>
      <c r="H81" s="168"/>
      <c r="I81" s="166"/>
      <c r="J81" s="167"/>
      <c r="K81" s="167"/>
      <c r="L81" s="166"/>
      <c r="M81" s="168"/>
      <c r="N81" s="168"/>
      <c r="O81" s="167"/>
      <c r="P81" s="167"/>
      <c r="Q81" s="170"/>
      <c r="R81" s="167"/>
      <c r="S81" s="166"/>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84">
        <f>+AX82</f>
        <v>112128400</v>
      </c>
      <c r="AY81" s="384">
        <f t="shared" ref="AY81:AZ81" si="185">+AY82</f>
        <v>36460000</v>
      </c>
      <c r="AZ81" s="384">
        <f t="shared" si="185"/>
        <v>14000000</v>
      </c>
      <c r="BA81" s="357"/>
      <c r="BB81" s="357"/>
      <c r="BC81" s="357"/>
      <c r="BD81" s="357"/>
      <c r="BE81" s="357"/>
      <c r="BF81" s="357"/>
      <c r="BG81" s="384">
        <f>+BG82</f>
        <v>112128400</v>
      </c>
      <c r="BH81" s="384">
        <f t="shared" ref="BH81:BI81" si="186">+BH82</f>
        <v>36460000</v>
      </c>
      <c r="BI81" s="384">
        <f t="shared" si="186"/>
        <v>14000000</v>
      </c>
    </row>
    <row r="82" spans="1:61" ht="207" customHeight="1" x14ac:dyDescent="0.2">
      <c r="A82" s="438"/>
      <c r="B82" s="441"/>
      <c r="C82" s="373"/>
      <c r="D82" s="374"/>
      <c r="E82" s="354">
        <v>1202</v>
      </c>
      <c r="F82" s="355" t="s">
        <v>183</v>
      </c>
      <c r="G82" s="305" t="s">
        <v>298</v>
      </c>
      <c r="H82" s="363">
        <v>1202004</v>
      </c>
      <c r="I82" s="356" t="s">
        <v>1415</v>
      </c>
      <c r="J82" s="305" t="s">
        <v>299</v>
      </c>
      <c r="K82" s="199">
        <v>120200400</v>
      </c>
      <c r="L82" s="306" t="s">
        <v>300</v>
      </c>
      <c r="M82" s="354" t="s">
        <v>98</v>
      </c>
      <c r="N82" s="354">
        <v>12</v>
      </c>
      <c r="O82" s="363">
        <v>12</v>
      </c>
      <c r="P82" s="336">
        <v>8</v>
      </c>
      <c r="Q82" s="423" t="s">
        <v>301</v>
      </c>
      <c r="R82" s="354" t="s">
        <v>302</v>
      </c>
      <c r="S82" s="355" t="s">
        <v>303</v>
      </c>
      <c r="T82" s="43"/>
      <c r="U82" s="43"/>
      <c r="V82" s="43"/>
      <c r="W82" s="61"/>
      <c r="X82" s="61"/>
      <c r="Y82" s="61"/>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9">
        <v>112128400</v>
      </c>
      <c r="AY82" s="49">
        <v>36460000</v>
      </c>
      <c r="AZ82" s="49">
        <v>14000000</v>
      </c>
      <c r="BA82" s="43"/>
      <c r="BB82" s="43"/>
      <c r="BC82" s="43"/>
      <c r="BD82" s="43"/>
      <c r="BE82" s="43"/>
      <c r="BF82" s="43"/>
      <c r="BG82" s="173">
        <f>+T82+W82+Z82+AC82+AF82+AI82+AL82+AO82+AR82+AU82+AX82+BA82+BD82</f>
        <v>112128400</v>
      </c>
      <c r="BH82" s="173">
        <f t="shared" ref="BH82:BI82" si="187">+U82+X82+AA82+AD82+AG82+AJ82+AM82+AP82+AS82+AV82+AY82+BB82+BE82</f>
        <v>36460000</v>
      </c>
      <c r="BI82" s="173">
        <f t="shared" si="187"/>
        <v>14000000</v>
      </c>
    </row>
    <row r="83" spans="1:61" ht="20.25" customHeight="1" x14ac:dyDescent="0.2">
      <c r="A83" s="438"/>
      <c r="B83" s="441"/>
      <c r="C83" s="195">
        <v>2</v>
      </c>
      <c r="D83" s="167">
        <v>1203</v>
      </c>
      <c r="E83" s="357" t="s">
        <v>304</v>
      </c>
      <c r="F83" s="166"/>
      <c r="G83" s="167"/>
      <c r="H83" s="168"/>
      <c r="I83" s="166"/>
      <c r="J83" s="167"/>
      <c r="K83" s="167"/>
      <c r="L83" s="166"/>
      <c r="M83" s="168"/>
      <c r="N83" s="168"/>
      <c r="O83" s="167"/>
      <c r="P83" s="167"/>
      <c r="Q83" s="424"/>
      <c r="R83" s="167"/>
      <c r="S83" s="166"/>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f>AX84</f>
        <v>15000000</v>
      </c>
      <c r="AY83" s="171">
        <f t="shared" ref="AY83:AZ83" si="188">AY84</f>
        <v>620000</v>
      </c>
      <c r="AZ83" s="171">
        <f t="shared" si="188"/>
        <v>620000</v>
      </c>
      <c r="BA83" s="171"/>
      <c r="BB83" s="171"/>
      <c r="BC83" s="171"/>
      <c r="BD83" s="171"/>
      <c r="BE83" s="171"/>
      <c r="BF83" s="171"/>
      <c r="BG83" s="171">
        <f>+BG84</f>
        <v>15000000</v>
      </c>
      <c r="BH83" s="171">
        <f t="shared" ref="BH83:BI83" si="189">+BH84</f>
        <v>620000</v>
      </c>
      <c r="BI83" s="171">
        <f t="shared" si="189"/>
        <v>620000</v>
      </c>
    </row>
    <row r="84" spans="1:61" ht="120" customHeight="1" x14ac:dyDescent="0.2">
      <c r="A84" s="438"/>
      <c r="B84" s="441"/>
      <c r="C84" s="373"/>
      <c r="D84" s="374"/>
      <c r="E84" s="354">
        <v>1203</v>
      </c>
      <c r="F84" s="355" t="s">
        <v>183</v>
      </c>
      <c r="G84" s="354" t="s">
        <v>305</v>
      </c>
      <c r="H84" s="363">
        <v>1203002</v>
      </c>
      <c r="I84" s="356" t="s">
        <v>306</v>
      </c>
      <c r="J84" s="305" t="s">
        <v>307</v>
      </c>
      <c r="K84" s="199">
        <v>120300200</v>
      </c>
      <c r="L84" s="306" t="s">
        <v>308</v>
      </c>
      <c r="M84" s="358" t="s">
        <v>188</v>
      </c>
      <c r="N84" s="354">
        <v>150</v>
      </c>
      <c r="O84" s="363">
        <v>10</v>
      </c>
      <c r="P84" s="336">
        <v>1</v>
      </c>
      <c r="Q84" s="423" t="s">
        <v>301</v>
      </c>
      <c r="R84" s="354" t="s">
        <v>309</v>
      </c>
      <c r="S84" s="355" t="s">
        <v>310</v>
      </c>
      <c r="T84" s="43"/>
      <c r="U84" s="43"/>
      <c r="V84" s="43"/>
      <c r="W84" s="173"/>
      <c r="X84" s="173"/>
      <c r="Y84" s="17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9">
        <f>15000000</f>
        <v>15000000</v>
      </c>
      <c r="AY84" s="49">
        <v>620000</v>
      </c>
      <c r="AZ84" s="49">
        <v>620000</v>
      </c>
      <c r="BA84" s="43"/>
      <c r="BB84" s="43"/>
      <c r="BC84" s="43"/>
      <c r="BD84" s="385"/>
      <c r="BE84" s="385"/>
      <c r="BF84" s="385"/>
      <c r="BG84" s="173">
        <f>+T84+W84+Z84+AC84+AF84+AI84+AL84+AO84+AR84+AU84+AX84+BA84+BD84</f>
        <v>15000000</v>
      </c>
      <c r="BH84" s="173">
        <f t="shared" ref="BH84:BI84" si="190">+U84+X84+AA84+AD84+AG84+AJ84+AM84+AP84+AS84+AV84+AY84+BB84+BE84</f>
        <v>620000</v>
      </c>
      <c r="BI84" s="173">
        <f t="shared" si="190"/>
        <v>620000</v>
      </c>
    </row>
    <row r="85" spans="1:61" ht="15.75" x14ac:dyDescent="0.2">
      <c r="A85" s="438"/>
      <c r="B85" s="441"/>
      <c r="C85" s="195">
        <v>3</v>
      </c>
      <c r="D85" s="167">
        <v>1206</v>
      </c>
      <c r="E85" s="357" t="s">
        <v>311</v>
      </c>
      <c r="F85" s="166"/>
      <c r="G85" s="167"/>
      <c r="H85" s="168"/>
      <c r="I85" s="166"/>
      <c r="J85" s="167"/>
      <c r="K85" s="167"/>
      <c r="L85" s="166"/>
      <c r="M85" s="168"/>
      <c r="N85" s="168"/>
      <c r="O85" s="167"/>
      <c r="P85" s="167"/>
      <c r="Q85" s="166"/>
      <c r="R85" s="167"/>
      <c r="S85" s="166"/>
      <c r="T85" s="224"/>
      <c r="U85" s="224"/>
      <c r="V85" s="224"/>
      <c r="W85" s="224"/>
      <c r="X85" s="224"/>
      <c r="Y85" s="224"/>
      <c r="Z85" s="224"/>
      <c r="AA85" s="224"/>
      <c r="AB85" s="224"/>
      <c r="AC85" s="224"/>
      <c r="AD85" s="224"/>
      <c r="AE85" s="224"/>
      <c r="AF85" s="224"/>
      <c r="AG85" s="224"/>
      <c r="AH85" s="224"/>
      <c r="AI85" s="224"/>
      <c r="AJ85" s="224"/>
      <c r="AK85" s="224"/>
      <c r="AL85" s="224"/>
      <c r="AM85" s="224"/>
      <c r="AN85" s="224"/>
      <c r="AO85" s="224"/>
      <c r="AP85" s="224"/>
      <c r="AQ85" s="224"/>
      <c r="AR85" s="224"/>
      <c r="AS85" s="224"/>
      <c r="AT85" s="224"/>
      <c r="AU85" s="224"/>
      <c r="AV85" s="224"/>
      <c r="AW85" s="224"/>
      <c r="AX85" s="171">
        <f>+AX86</f>
        <v>15000000</v>
      </c>
      <c r="AY85" s="171">
        <f t="shared" ref="AY85:AZ85" si="191">+AY86</f>
        <v>620000</v>
      </c>
      <c r="AZ85" s="171">
        <f t="shared" si="191"/>
        <v>620000</v>
      </c>
      <c r="BA85" s="224"/>
      <c r="BB85" s="224"/>
      <c r="BC85" s="224"/>
      <c r="BD85" s="224"/>
      <c r="BE85" s="224"/>
      <c r="BF85" s="224"/>
      <c r="BG85" s="171">
        <f>+BG86</f>
        <v>15000000</v>
      </c>
      <c r="BH85" s="171">
        <f t="shared" ref="BH85:BI85" si="192">+BH86</f>
        <v>620000</v>
      </c>
      <c r="BI85" s="171">
        <f t="shared" si="192"/>
        <v>620000</v>
      </c>
    </row>
    <row r="86" spans="1:61" ht="98.25" customHeight="1" x14ac:dyDescent="0.2">
      <c r="A86" s="438"/>
      <c r="B86" s="441"/>
      <c r="C86" s="373"/>
      <c r="D86" s="374"/>
      <c r="E86" s="354">
        <v>1206</v>
      </c>
      <c r="F86" s="355" t="s">
        <v>183</v>
      </c>
      <c r="G86" s="363" t="s">
        <v>312</v>
      </c>
      <c r="H86" s="363">
        <v>1206005</v>
      </c>
      <c r="I86" s="356" t="s">
        <v>313</v>
      </c>
      <c r="J86" s="363" t="s">
        <v>314</v>
      </c>
      <c r="K86" s="199">
        <v>120600500</v>
      </c>
      <c r="L86" s="356" t="s">
        <v>315</v>
      </c>
      <c r="M86" s="358" t="s">
        <v>188</v>
      </c>
      <c r="N86" s="354">
        <v>100</v>
      </c>
      <c r="O86" s="363">
        <v>15</v>
      </c>
      <c r="P86" s="336">
        <v>0</v>
      </c>
      <c r="Q86" s="423" t="s">
        <v>301</v>
      </c>
      <c r="R86" s="354" t="s">
        <v>309</v>
      </c>
      <c r="S86" s="355" t="s">
        <v>310</v>
      </c>
      <c r="T86" s="43"/>
      <c r="U86" s="43"/>
      <c r="V86" s="43"/>
      <c r="W86" s="60"/>
      <c r="X86" s="60"/>
      <c r="Y86" s="60"/>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9">
        <f>15000000</f>
        <v>15000000</v>
      </c>
      <c r="AY86" s="49">
        <v>620000</v>
      </c>
      <c r="AZ86" s="49">
        <v>620000</v>
      </c>
      <c r="BA86" s="43"/>
      <c r="BB86" s="43"/>
      <c r="BC86" s="43"/>
      <c r="BD86" s="43"/>
      <c r="BE86" s="43"/>
      <c r="BF86" s="43"/>
      <c r="BG86" s="173">
        <f>+T86+W86+Z86+AC86+AF86+AI86+AL86+AO86+AR86+AU86+AX86+BA86+BD86</f>
        <v>15000000</v>
      </c>
      <c r="BH86" s="173">
        <f t="shared" ref="BH86:BI86" si="193">+U86+X86+AA86+AD86+AG86+AJ86+AM86+AP86+AS86+AV86+AY86+BB86+BE86</f>
        <v>620000</v>
      </c>
      <c r="BI86" s="173">
        <f t="shared" si="193"/>
        <v>620000</v>
      </c>
    </row>
    <row r="87" spans="1:61" ht="18.75" customHeight="1" x14ac:dyDescent="0.2">
      <c r="A87" s="438"/>
      <c r="B87" s="441"/>
      <c r="C87" s="195">
        <v>15</v>
      </c>
      <c r="D87" s="167">
        <v>2201</v>
      </c>
      <c r="E87" s="357" t="s">
        <v>200</v>
      </c>
      <c r="F87" s="166"/>
      <c r="G87" s="167"/>
      <c r="H87" s="168"/>
      <c r="I87" s="166"/>
      <c r="J87" s="167"/>
      <c r="K87" s="167"/>
      <c r="L87" s="166"/>
      <c r="M87" s="168"/>
      <c r="N87" s="168"/>
      <c r="O87" s="167"/>
      <c r="P87" s="167"/>
      <c r="Q87" s="424"/>
      <c r="R87" s="167"/>
      <c r="S87" s="166"/>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205">
        <f>+AX88</f>
        <v>201866667</v>
      </c>
      <c r="AY87" s="205">
        <f t="shared" ref="AY87:AZ87" si="194">+AY88</f>
        <v>13442666</v>
      </c>
      <c r="AZ87" s="205">
        <f t="shared" si="194"/>
        <v>2800000</v>
      </c>
      <c r="BA87" s="357"/>
      <c r="BB87" s="357"/>
      <c r="BC87" s="357"/>
      <c r="BD87" s="357"/>
      <c r="BE87" s="357"/>
      <c r="BF87" s="357"/>
      <c r="BG87" s="205">
        <f>+BG88</f>
        <v>201866667</v>
      </c>
      <c r="BH87" s="205">
        <f t="shared" ref="BH87:BI87" si="195">+BH88</f>
        <v>13442666</v>
      </c>
      <c r="BI87" s="205">
        <f t="shared" si="195"/>
        <v>2800000</v>
      </c>
    </row>
    <row r="88" spans="1:61" ht="140.25" customHeight="1" x14ac:dyDescent="0.2">
      <c r="A88" s="438"/>
      <c r="B88" s="441"/>
      <c r="C88" s="373"/>
      <c r="D88" s="374"/>
      <c r="E88" s="364">
        <v>2201</v>
      </c>
      <c r="F88" s="355" t="s">
        <v>1416</v>
      </c>
      <c r="G88" s="354" t="s">
        <v>316</v>
      </c>
      <c r="H88" s="48">
        <v>2201068</v>
      </c>
      <c r="I88" s="355" t="s">
        <v>317</v>
      </c>
      <c r="J88" s="354" t="s">
        <v>318</v>
      </c>
      <c r="K88" s="199">
        <v>220106800</v>
      </c>
      <c r="L88" s="355" t="s">
        <v>319</v>
      </c>
      <c r="M88" s="226" t="s">
        <v>188</v>
      </c>
      <c r="N88" s="226">
        <v>266</v>
      </c>
      <c r="O88" s="226">
        <v>40</v>
      </c>
      <c r="P88" s="226">
        <v>0</v>
      </c>
      <c r="Q88" s="421" t="s">
        <v>207</v>
      </c>
      <c r="R88" s="354" t="s">
        <v>320</v>
      </c>
      <c r="S88" s="355" t="s">
        <v>321</v>
      </c>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9">
        <f>21866667+180000000</f>
        <v>201866667</v>
      </c>
      <c r="AY88" s="49">
        <v>13442666</v>
      </c>
      <c r="AZ88" s="49">
        <v>2800000</v>
      </c>
      <c r="BA88" s="43"/>
      <c r="BB88" s="43"/>
      <c r="BC88" s="43"/>
      <c r="BD88" s="43"/>
      <c r="BE88" s="43"/>
      <c r="BF88" s="43"/>
      <c r="BG88" s="173">
        <f>+T88+W88+Z88+AC88+AF88+AI88+AL88+AO88+AR88+AU88+AX88+BA88+BD88</f>
        <v>201866667</v>
      </c>
      <c r="BH88" s="173">
        <f t="shared" ref="BH88:BI88" si="196">+U88+X88+AA88+AD88+AG88+AJ88+AM88+AP88+AS88+AV88+AY88+BB88+BE88</f>
        <v>13442666</v>
      </c>
      <c r="BI88" s="173">
        <f t="shared" si="196"/>
        <v>2800000</v>
      </c>
    </row>
    <row r="89" spans="1:61" ht="15.75" x14ac:dyDescent="0.2">
      <c r="A89" s="438"/>
      <c r="B89" s="441"/>
      <c r="C89" s="195">
        <v>35</v>
      </c>
      <c r="D89" s="167">
        <v>4101</v>
      </c>
      <c r="E89" s="357" t="s">
        <v>322</v>
      </c>
      <c r="F89" s="166"/>
      <c r="G89" s="167"/>
      <c r="H89" s="168"/>
      <c r="I89" s="166"/>
      <c r="J89" s="167"/>
      <c r="K89" s="167"/>
      <c r="L89" s="166"/>
      <c r="M89" s="168"/>
      <c r="N89" s="168"/>
      <c r="O89" s="167"/>
      <c r="P89" s="167"/>
      <c r="Q89" s="424"/>
      <c r="R89" s="167"/>
      <c r="S89" s="166"/>
      <c r="T89" s="171">
        <f>SUM(T90:T94)</f>
        <v>0</v>
      </c>
      <c r="U89" s="171"/>
      <c r="V89" s="171"/>
      <c r="W89" s="171">
        <f t="shared" ref="W89:BD89" si="197">SUM(W90:W94)</f>
        <v>0</v>
      </c>
      <c r="X89" s="171"/>
      <c r="Y89" s="171"/>
      <c r="Z89" s="171">
        <f t="shared" si="197"/>
        <v>0</v>
      </c>
      <c r="AA89" s="171"/>
      <c r="AB89" s="171"/>
      <c r="AC89" s="171">
        <f t="shared" si="197"/>
        <v>0</v>
      </c>
      <c r="AD89" s="171"/>
      <c r="AE89" s="171"/>
      <c r="AF89" s="171">
        <f t="shared" si="197"/>
        <v>0</v>
      </c>
      <c r="AG89" s="171"/>
      <c r="AH89" s="171"/>
      <c r="AI89" s="171">
        <f t="shared" si="197"/>
        <v>0</v>
      </c>
      <c r="AJ89" s="171"/>
      <c r="AK89" s="171"/>
      <c r="AL89" s="171">
        <f t="shared" si="197"/>
        <v>0</v>
      </c>
      <c r="AM89" s="171"/>
      <c r="AN89" s="171"/>
      <c r="AO89" s="171">
        <f t="shared" si="197"/>
        <v>0</v>
      </c>
      <c r="AP89" s="171"/>
      <c r="AQ89" s="171"/>
      <c r="AR89" s="171">
        <f t="shared" si="197"/>
        <v>0</v>
      </c>
      <c r="AS89" s="171"/>
      <c r="AT89" s="171"/>
      <c r="AU89" s="171">
        <f t="shared" si="197"/>
        <v>0</v>
      </c>
      <c r="AV89" s="171"/>
      <c r="AW89" s="171"/>
      <c r="AX89" s="171">
        <f t="shared" si="197"/>
        <v>522730761</v>
      </c>
      <c r="AY89" s="171">
        <f t="shared" si="197"/>
        <v>115701436</v>
      </c>
      <c r="AZ89" s="171">
        <f t="shared" si="197"/>
        <v>45371460</v>
      </c>
      <c r="BA89" s="171"/>
      <c r="BB89" s="171"/>
      <c r="BC89" s="171"/>
      <c r="BD89" s="171">
        <f t="shared" si="197"/>
        <v>0</v>
      </c>
      <c r="BE89" s="171"/>
      <c r="BF89" s="171"/>
      <c r="BG89" s="171">
        <f>SUM(BG90:BG94)</f>
        <v>522730761</v>
      </c>
      <c r="BH89" s="171">
        <f t="shared" ref="BH89:BI89" si="198">SUM(BH90:BH94)</f>
        <v>115701436</v>
      </c>
      <c r="BI89" s="171">
        <f t="shared" si="198"/>
        <v>45371460</v>
      </c>
    </row>
    <row r="90" spans="1:61" ht="89.25" customHeight="1" x14ac:dyDescent="0.2">
      <c r="A90" s="438"/>
      <c r="B90" s="441"/>
      <c r="C90" s="375"/>
      <c r="D90" s="354"/>
      <c r="E90" s="354">
        <v>4101</v>
      </c>
      <c r="F90" s="355" t="s">
        <v>323</v>
      </c>
      <c r="G90" s="298" t="s">
        <v>324</v>
      </c>
      <c r="H90" s="199">
        <v>4101023</v>
      </c>
      <c r="I90" s="355" t="s">
        <v>325</v>
      </c>
      <c r="J90" s="298" t="s">
        <v>326</v>
      </c>
      <c r="K90" s="199">
        <v>410102300</v>
      </c>
      <c r="L90" s="304" t="s">
        <v>327</v>
      </c>
      <c r="M90" s="358" t="s">
        <v>188</v>
      </c>
      <c r="N90" s="354">
        <v>2500</v>
      </c>
      <c r="O90" s="199">
        <v>200</v>
      </c>
      <c r="P90" s="331">
        <v>150</v>
      </c>
      <c r="Q90" s="524" t="s">
        <v>328</v>
      </c>
      <c r="R90" s="517" t="s">
        <v>329</v>
      </c>
      <c r="S90" s="518" t="s">
        <v>330</v>
      </c>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365">
        <v>310730761</v>
      </c>
      <c r="AY90" s="365">
        <v>64653916</v>
      </c>
      <c r="AZ90" s="365">
        <v>21883070</v>
      </c>
      <c r="BA90" s="344"/>
      <c r="BB90" s="43"/>
      <c r="BC90" s="43"/>
      <c r="BD90" s="43"/>
      <c r="BE90" s="43"/>
      <c r="BF90" s="43"/>
      <c r="BG90" s="173">
        <f>+T90+W90+Z90+AC90+AF90+AI90+AL90+AO90+AR90+AU90+AX90+BA90+BD90</f>
        <v>310730761</v>
      </c>
      <c r="BH90" s="173">
        <v>68671265</v>
      </c>
      <c r="BI90" s="173">
        <f t="shared" ref="BH90:BI94" si="199">+V90+Y90+AB90+AE90+AH90+AK90+AN90+AQ90+AT90+AW90+AZ90+BC90+BF90</f>
        <v>21883070</v>
      </c>
    </row>
    <row r="91" spans="1:61" ht="73.5" customHeight="1" x14ac:dyDescent="0.2">
      <c r="A91" s="438"/>
      <c r="B91" s="441"/>
      <c r="C91" s="375"/>
      <c r="D91" s="354"/>
      <c r="E91" s="354">
        <v>4101</v>
      </c>
      <c r="F91" s="355" t="s">
        <v>323</v>
      </c>
      <c r="G91" s="354" t="s">
        <v>331</v>
      </c>
      <c r="H91" s="199">
        <v>4101025</v>
      </c>
      <c r="I91" s="355" t="s">
        <v>332</v>
      </c>
      <c r="J91" s="354" t="s">
        <v>333</v>
      </c>
      <c r="K91" s="199">
        <v>410102511</v>
      </c>
      <c r="L91" s="355" t="s">
        <v>334</v>
      </c>
      <c r="M91" s="358" t="s">
        <v>188</v>
      </c>
      <c r="N91" s="354">
        <v>500</v>
      </c>
      <c r="O91" s="199">
        <v>250</v>
      </c>
      <c r="P91" s="331">
        <v>236</v>
      </c>
      <c r="Q91" s="524"/>
      <c r="R91" s="517"/>
      <c r="S91" s="518"/>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365">
        <v>50000000</v>
      </c>
      <c r="AY91" s="365">
        <v>13800850</v>
      </c>
      <c r="AZ91" s="365">
        <v>4000000</v>
      </c>
      <c r="BA91" s="344"/>
      <c r="BB91" s="43"/>
      <c r="BC91" s="43"/>
      <c r="BD91" s="43"/>
      <c r="BE91" s="43"/>
      <c r="BF91" s="43"/>
      <c r="BG91" s="173">
        <f>+T91+W91+Z91+AC91+AF91+AI91+AL91+AO91+AR91+AU91+AX91+BA91+BD91</f>
        <v>50000000</v>
      </c>
      <c r="BH91" s="173">
        <v>9783501</v>
      </c>
      <c r="BI91" s="173">
        <f t="shared" si="199"/>
        <v>4000000</v>
      </c>
    </row>
    <row r="92" spans="1:61" ht="47.25" customHeight="1" x14ac:dyDescent="0.2">
      <c r="A92" s="438"/>
      <c r="B92" s="441"/>
      <c r="C92" s="375"/>
      <c r="D92" s="354"/>
      <c r="E92" s="354">
        <v>4101</v>
      </c>
      <c r="F92" s="355" t="s">
        <v>323</v>
      </c>
      <c r="G92" s="354" t="s">
        <v>335</v>
      </c>
      <c r="H92" s="199">
        <v>4101038</v>
      </c>
      <c r="I92" s="355" t="s">
        <v>336</v>
      </c>
      <c r="J92" s="354" t="s">
        <v>337</v>
      </c>
      <c r="K92" s="199">
        <v>410103800</v>
      </c>
      <c r="L92" s="355" t="s">
        <v>338</v>
      </c>
      <c r="M92" s="358" t="s">
        <v>188</v>
      </c>
      <c r="N92" s="354">
        <v>48</v>
      </c>
      <c r="O92" s="199">
        <v>12</v>
      </c>
      <c r="P92" s="331">
        <v>9</v>
      </c>
      <c r="Q92" s="524"/>
      <c r="R92" s="517"/>
      <c r="S92" s="518"/>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365">
        <v>42000000</v>
      </c>
      <c r="AY92" s="365">
        <v>15688337</v>
      </c>
      <c r="AZ92" s="365">
        <v>4663390</v>
      </c>
      <c r="BA92" s="344"/>
      <c r="BB92" s="43"/>
      <c r="BC92" s="43"/>
      <c r="BD92" s="43"/>
      <c r="BE92" s="43"/>
      <c r="BF92" s="43"/>
      <c r="BG92" s="173">
        <f>+T92+W92+Z92+AC92+AF92+AI92+AL92+AO92+AR92+AU92+AX92+BA92+BD92</f>
        <v>42000000</v>
      </c>
      <c r="BH92" s="173">
        <f t="shared" si="199"/>
        <v>15688337</v>
      </c>
      <c r="BI92" s="173">
        <f t="shared" si="199"/>
        <v>4663390</v>
      </c>
    </row>
    <row r="93" spans="1:61" ht="46.5" customHeight="1" x14ac:dyDescent="0.2">
      <c r="A93" s="438"/>
      <c r="B93" s="441"/>
      <c r="C93" s="375"/>
      <c r="D93" s="354"/>
      <c r="E93" s="354">
        <v>4101</v>
      </c>
      <c r="F93" s="355" t="s">
        <v>339</v>
      </c>
      <c r="G93" s="354" t="s">
        <v>340</v>
      </c>
      <c r="H93" s="199">
        <v>4101073</v>
      </c>
      <c r="I93" s="355" t="s">
        <v>341</v>
      </c>
      <c r="J93" s="354" t="s">
        <v>342</v>
      </c>
      <c r="K93" s="199">
        <v>410107300</v>
      </c>
      <c r="L93" s="355" t="s">
        <v>343</v>
      </c>
      <c r="M93" s="298" t="s">
        <v>188</v>
      </c>
      <c r="N93" s="298">
        <v>200</v>
      </c>
      <c r="O93" s="298">
        <v>20</v>
      </c>
      <c r="P93" s="332">
        <v>0</v>
      </c>
      <c r="Q93" s="524"/>
      <c r="R93" s="517"/>
      <c r="S93" s="518"/>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365">
        <v>65000000</v>
      </c>
      <c r="AY93" s="365">
        <v>9400000</v>
      </c>
      <c r="AZ93" s="365">
        <v>9400000</v>
      </c>
      <c r="BA93" s="344"/>
      <c r="BB93" s="43"/>
      <c r="BC93" s="43"/>
      <c r="BD93" s="43"/>
      <c r="BE93" s="43"/>
      <c r="BF93" s="43"/>
      <c r="BG93" s="173">
        <f>+T93+W93+Z93+AC93+AF93+AI93+AL93+AO93+AR93+AU93+AX93+BA93+BD93</f>
        <v>65000000</v>
      </c>
      <c r="BH93" s="173">
        <f t="shared" si="199"/>
        <v>9400000</v>
      </c>
      <c r="BI93" s="173">
        <f t="shared" si="199"/>
        <v>9400000</v>
      </c>
    </row>
    <row r="94" spans="1:61" ht="90.75" customHeight="1" x14ac:dyDescent="0.2">
      <c r="A94" s="438"/>
      <c r="B94" s="441"/>
      <c r="C94" s="375"/>
      <c r="D94" s="354"/>
      <c r="E94" s="354">
        <v>4101</v>
      </c>
      <c r="F94" s="355" t="s">
        <v>344</v>
      </c>
      <c r="G94" s="354" t="s">
        <v>345</v>
      </c>
      <c r="H94" s="199">
        <v>4101011</v>
      </c>
      <c r="I94" s="355" t="s">
        <v>346</v>
      </c>
      <c r="J94" s="354" t="s">
        <v>347</v>
      </c>
      <c r="K94" s="199">
        <v>410101100</v>
      </c>
      <c r="L94" s="355" t="s">
        <v>348</v>
      </c>
      <c r="M94" s="358" t="s">
        <v>188</v>
      </c>
      <c r="N94" s="354">
        <v>10</v>
      </c>
      <c r="O94" s="199">
        <v>2</v>
      </c>
      <c r="P94" s="331">
        <v>1</v>
      </c>
      <c r="Q94" s="524"/>
      <c r="R94" s="517"/>
      <c r="S94" s="518"/>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365">
        <v>55000000</v>
      </c>
      <c r="AY94" s="365">
        <v>12158333</v>
      </c>
      <c r="AZ94" s="365">
        <v>5425000</v>
      </c>
      <c r="BA94" s="344"/>
      <c r="BB94" s="43"/>
      <c r="BC94" s="43"/>
      <c r="BD94" s="43"/>
      <c r="BE94" s="43"/>
      <c r="BF94" s="43"/>
      <c r="BG94" s="173">
        <f>+T94+W94+Z94+AC94+AF94+AI94+AL94+AO94+AR94+AU94+AX94+BA94+BD94</f>
        <v>55000000</v>
      </c>
      <c r="BH94" s="173">
        <v>12158333</v>
      </c>
      <c r="BI94" s="173">
        <f t="shared" si="199"/>
        <v>5425000</v>
      </c>
    </row>
    <row r="95" spans="1:61" ht="17.25" customHeight="1" x14ac:dyDescent="0.2">
      <c r="A95" s="438"/>
      <c r="B95" s="441"/>
      <c r="C95" s="195">
        <v>37</v>
      </c>
      <c r="D95" s="167">
        <v>4103</v>
      </c>
      <c r="E95" s="357" t="s">
        <v>349</v>
      </c>
      <c r="F95" s="166"/>
      <c r="G95" s="167"/>
      <c r="H95" s="168"/>
      <c r="I95" s="166"/>
      <c r="J95" s="167"/>
      <c r="K95" s="167"/>
      <c r="L95" s="166"/>
      <c r="M95" s="168"/>
      <c r="N95" s="168"/>
      <c r="O95" s="167"/>
      <c r="P95" s="167"/>
      <c r="Q95" s="424"/>
      <c r="R95" s="167"/>
      <c r="S95" s="166"/>
      <c r="T95" s="384">
        <f>+T96</f>
        <v>0</v>
      </c>
      <c r="U95" s="384"/>
      <c r="V95" s="384"/>
      <c r="W95" s="384">
        <f t="shared" ref="W95:BD95" si="200">+W96</f>
        <v>0</v>
      </c>
      <c r="X95" s="384"/>
      <c r="Y95" s="384"/>
      <c r="Z95" s="384">
        <f t="shared" si="200"/>
        <v>0</v>
      </c>
      <c r="AA95" s="384"/>
      <c r="AB95" s="384"/>
      <c r="AC95" s="384">
        <f t="shared" si="200"/>
        <v>0</v>
      </c>
      <c r="AD95" s="384"/>
      <c r="AE95" s="384"/>
      <c r="AF95" s="384">
        <f t="shared" si="200"/>
        <v>0</v>
      </c>
      <c r="AG95" s="384"/>
      <c r="AH95" s="384"/>
      <c r="AI95" s="384">
        <f t="shared" si="200"/>
        <v>0</v>
      </c>
      <c r="AJ95" s="384"/>
      <c r="AK95" s="384"/>
      <c r="AL95" s="384">
        <f t="shared" si="200"/>
        <v>0</v>
      </c>
      <c r="AM95" s="384"/>
      <c r="AN95" s="384"/>
      <c r="AO95" s="384">
        <f t="shared" si="200"/>
        <v>0</v>
      </c>
      <c r="AP95" s="384"/>
      <c r="AQ95" s="384"/>
      <c r="AR95" s="384">
        <f t="shared" si="200"/>
        <v>0</v>
      </c>
      <c r="AS95" s="384"/>
      <c r="AT95" s="384"/>
      <c r="AU95" s="384">
        <f t="shared" si="200"/>
        <v>0</v>
      </c>
      <c r="AV95" s="384"/>
      <c r="AW95" s="384"/>
      <c r="AX95" s="384">
        <f t="shared" si="200"/>
        <v>15738667</v>
      </c>
      <c r="AY95" s="384">
        <f t="shared" si="200"/>
        <v>1238667</v>
      </c>
      <c r="AZ95" s="384">
        <f t="shared" si="200"/>
        <v>0</v>
      </c>
      <c r="BA95" s="384">
        <f t="shared" si="200"/>
        <v>0</v>
      </c>
      <c r="BB95" s="384"/>
      <c r="BC95" s="384"/>
      <c r="BD95" s="384">
        <f t="shared" si="200"/>
        <v>0</v>
      </c>
      <c r="BE95" s="384"/>
      <c r="BF95" s="384"/>
      <c r="BG95" s="384">
        <f>+BG96</f>
        <v>15738667</v>
      </c>
      <c r="BH95" s="384">
        <f t="shared" ref="BH95:BI95" si="201">+BH96</f>
        <v>1238667</v>
      </c>
      <c r="BI95" s="384">
        <f t="shared" si="201"/>
        <v>0</v>
      </c>
    </row>
    <row r="96" spans="1:61" ht="77.25" customHeight="1" x14ac:dyDescent="0.2">
      <c r="A96" s="438"/>
      <c r="B96" s="441"/>
      <c r="C96" s="375"/>
      <c r="D96" s="354"/>
      <c r="E96" s="354">
        <v>4103</v>
      </c>
      <c r="F96" s="355" t="s">
        <v>350</v>
      </c>
      <c r="G96" s="298" t="s">
        <v>351</v>
      </c>
      <c r="H96" s="354" t="s">
        <v>1417</v>
      </c>
      <c r="I96" s="355" t="s">
        <v>352</v>
      </c>
      <c r="J96" s="354" t="s">
        <v>353</v>
      </c>
      <c r="K96" s="199" t="s">
        <v>1389</v>
      </c>
      <c r="L96" s="355" t="s">
        <v>354</v>
      </c>
      <c r="M96" s="226" t="s">
        <v>188</v>
      </c>
      <c r="N96" s="226">
        <v>125</v>
      </c>
      <c r="O96" s="226">
        <v>50</v>
      </c>
      <c r="P96" s="226">
        <v>40</v>
      </c>
      <c r="Q96" s="423" t="s">
        <v>301</v>
      </c>
      <c r="R96" s="354" t="s">
        <v>355</v>
      </c>
      <c r="S96" s="355" t="s">
        <v>356</v>
      </c>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9">
        <v>15738667</v>
      </c>
      <c r="AY96" s="49">
        <v>1238667</v>
      </c>
      <c r="AZ96" s="49">
        <v>0</v>
      </c>
      <c r="BA96" s="43"/>
      <c r="BB96" s="43"/>
      <c r="BC96" s="43"/>
      <c r="BD96" s="43"/>
      <c r="BE96" s="43"/>
      <c r="BF96" s="43"/>
      <c r="BG96" s="173">
        <f>+T96+W96+Z96+AC96+AF96+AI96+AL96+AO96+AR96+AU96+AX96+BA96+BD96</f>
        <v>15738667</v>
      </c>
      <c r="BH96" s="173">
        <f t="shared" ref="BH96:BI96" si="202">+U96+X96+AA96+AD96+AG96+AJ96+AM96+AP96+AS96+AV96+AY96+BB96+BE96</f>
        <v>1238667</v>
      </c>
      <c r="BI96" s="173">
        <f t="shared" si="202"/>
        <v>0</v>
      </c>
    </row>
    <row r="97" spans="1:61" ht="15.75" x14ac:dyDescent="0.2">
      <c r="A97" s="438"/>
      <c r="B97" s="441"/>
      <c r="C97" s="195">
        <v>41</v>
      </c>
      <c r="D97" s="167">
        <v>4501</v>
      </c>
      <c r="E97" s="357" t="s">
        <v>357</v>
      </c>
      <c r="F97" s="166"/>
      <c r="G97" s="167"/>
      <c r="H97" s="168"/>
      <c r="I97" s="166"/>
      <c r="J97" s="167"/>
      <c r="K97" s="167"/>
      <c r="L97" s="166"/>
      <c r="M97" s="168"/>
      <c r="N97" s="168"/>
      <c r="O97" s="167"/>
      <c r="P97" s="167"/>
      <c r="Q97" s="424"/>
      <c r="R97" s="167"/>
      <c r="S97" s="166"/>
      <c r="T97" s="384">
        <f>SUM(T98:T100)</f>
        <v>0</v>
      </c>
      <c r="U97" s="384"/>
      <c r="V97" s="384"/>
      <c r="W97" s="384">
        <f t="shared" ref="W97:BD97" si="203">SUM(W98:W100)</f>
        <v>2192073558.0099998</v>
      </c>
      <c r="X97" s="384">
        <f t="shared" si="203"/>
        <v>118600000</v>
      </c>
      <c r="Y97" s="384">
        <f t="shared" si="203"/>
        <v>12400000</v>
      </c>
      <c r="Z97" s="384">
        <f t="shared" si="203"/>
        <v>0</v>
      </c>
      <c r="AA97" s="384"/>
      <c r="AB97" s="384"/>
      <c r="AC97" s="384">
        <f t="shared" si="203"/>
        <v>0</v>
      </c>
      <c r="AD97" s="384"/>
      <c r="AE97" s="384"/>
      <c r="AF97" s="384">
        <f t="shared" si="203"/>
        <v>0</v>
      </c>
      <c r="AG97" s="384"/>
      <c r="AH97" s="384"/>
      <c r="AI97" s="384">
        <f t="shared" si="203"/>
        <v>0</v>
      </c>
      <c r="AJ97" s="384"/>
      <c r="AK97" s="384"/>
      <c r="AL97" s="384">
        <f t="shared" si="203"/>
        <v>0</v>
      </c>
      <c r="AM97" s="384"/>
      <c r="AN97" s="384"/>
      <c r="AO97" s="384">
        <f t="shared" si="203"/>
        <v>0</v>
      </c>
      <c r="AP97" s="384"/>
      <c r="AQ97" s="384"/>
      <c r="AR97" s="384">
        <f t="shared" si="203"/>
        <v>0</v>
      </c>
      <c r="AS97" s="384"/>
      <c r="AT97" s="384"/>
      <c r="AU97" s="384">
        <f t="shared" si="203"/>
        <v>0</v>
      </c>
      <c r="AV97" s="384"/>
      <c r="AW97" s="384"/>
      <c r="AX97" s="384">
        <f t="shared" si="203"/>
        <v>169000000</v>
      </c>
      <c r="AY97" s="384">
        <f t="shared" si="203"/>
        <v>70102371</v>
      </c>
      <c r="AZ97" s="384">
        <f t="shared" si="203"/>
        <v>19392334</v>
      </c>
      <c r="BA97" s="384"/>
      <c r="BB97" s="384"/>
      <c r="BC97" s="384"/>
      <c r="BD97" s="384">
        <f t="shared" si="203"/>
        <v>0</v>
      </c>
      <c r="BE97" s="384"/>
      <c r="BF97" s="384"/>
      <c r="BG97" s="384">
        <f>SUM(BG98:BG100)</f>
        <v>2361073558.0099998</v>
      </c>
      <c r="BH97" s="384">
        <f t="shared" ref="BH97:BI97" si="204">SUM(BH98:BH100)</f>
        <v>188702371</v>
      </c>
      <c r="BI97" s="384">
        <f t="shared" si="204"/>
        <v>31792334</v>
      </c>
    </row>
    <row r="98" spans="1:61" ht="198" customHeight="1" x14ac:dyDescent="0.2">
      <c r="A98" s="438"/>
      <c r="B98" s="441"/>
      <c r="C98" s="373"/>
      <c r="D98" s="374"/>
      <c r="E98" s="354">
        <v>4501</v>
      </c>
      <c r="F98" s="355" t="s">
        <v>183</v>
      </c>
      <c r="G98" s="354" t="s">
        <v>358</v>
      </c>
      <c r="H98" s="354" t="s">
        <v>1417</v>
      </c>
      <c r="I98" s="355" t="s">
        <v>359</v>
      </c>
      <c r="J98" s="354" t="s">
        <v>360</v>
      </c>
      <c r="K98" s="354" t="s">
        <v>92</v>
      </c>
      <c r="L98" s="355" t="s">
        <v>361</v>
      </c>
      <c r="M98" s="358" t="s">
        <v>98</v>
      </c>
      <c r="N98" s="354">
        <v>5</v>
      </c>
      <c r="O98" s="354">
        <v>5</v>
      </c>
      <c r="P98" s="226">
        <v>4</v>
      </c>
      <c r="Q98" s="423" t="s">
        <v>301</v>
      </c>
      <c r="R98" s="354" t="s">
        <v>309</v>
      </c>
      <c r="S98" s="355" t="s">
        <v>310</v>
      </c>
      <c r="T98" s="43"/>
      <c r="U98" s="43"/>
      <c r="V98" s="43"/>
      <c r="W98" s="60">
        <f>5428613946.86-3236540388.85</f>
        <v>2192073558.0099998</v>
      </c>
      <c r="X98" s="60">
        <v>118600000</v>
      </c>
      <c r="Y98" s="60">
        <v>12400000</v>
      </c>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9"/>
      <c r="AY98" s="49"/>
      <c r="AZ98" s="49"/>
      <c r="BA98" s="43"/>
      <c r="BB98" s="43"/>
      <c r="BC98" s="43"/>
      <c r="BD98" s="43"/>
      <c r="BE98" s="43"/>
      <c r="BF98" s="43"/>
      <c r="BG98" s="173">
        <f>+T98+W98+Z98+AC98+AF98+AI98+AL98+AO98+AR98+AU98+AX98+BA98+BD98</f>
        <v>2192073558.0099998</v>
      </c>
      <c r="BH98" s="173">
        <f t="shared" ref="BH98:BI100" si="205">+U98+X98+AA98+AD98+AG98+AJ98+AM98+AP98+AS98+AV98+AY98+BB98+BE98</f>
        <v>118600000</v>
      </c>
      <c r="BI98" s="173">
        <f t="shared" si="205"/>
        <v>12400000</v>
      </c>
    </row>
    <row r="99" spans="1:61" ht="119.25" customHeight="1" x14ac:dyDescent="0.2">
      <c r="A99" s="438"/>
      <c r="B99" s="441"/>
      <c r="C99" s="375"/>
      <c r="D99" s="354"/>
      <c r="E99" s="354">
        <v>4501</v>
      </c>
      <c r="F99" s="355" t="s">
        <v>1434</v>
      </c>
      <c r="G99" s="301" t="s">
        <v>362</v>
      </c>
      <c r="H99" s="354">
        <v>4501024</v>
      </c>
      <c r="I99" s="355" t="s">
        <v>363</v>
      </c>
      <c r="J99" s="301" t="s">
        <v>364</v>
      </c>
      <c r="K99" s="298">
        <v>450102400</v>
      </c>
      <c r="L99" s="304" t="s">
        <v>365</v>
      </c>
      <c r="M99" s="354" t="s">
        <v>98</v>
      </c>
      <c r="N99" s="354">
        <v>10</v>
      </c>
      <c r="O99" s="354">
        <v>10</v>
      </c>
      <c r="P99" s="226">
        <v>7</v>
      </c>
      <c r="Q99" s="423" t="s">
        <v>301</v>
      </c>
      <c r="R99" s="354" t="s">
        <v>355</v>
      </c>
      <c r="S99" s="355" t="s">
        <v>356</v>
      </c>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9">
        <v>94000000</v>
      </c>
      <c r="AY99" s="49">
        <v>35472371</v>
      </c>
      <c r="AZ99" s="49">
        <v>19392334</v>
      </c>
      <c r="BA99" s="43"/>
      <c r="BB99" s="43"/>
      <c r="BC99" s="43"/>
      <c r="BD99" s="43"/>
      <c r="BE99" s="43"/>
      <c r="BF99" s="43"/>
      <c r="BG99" s="173">
        <f>+T99+W99+Z99+AC99+AF99+AI99+AL99+AO99+AR99+AU99+AX99+BA99+BD99</f>
        <v>94000000</v>
      </c>
      <c r="BH99" s="173">
        <f t="shared" si="205"/>
        <v>35472371</v>
      </c>
      <c r="BI99" s="173">
        <f t="shared" si="205"/>
        <v>19392334</v>
      </c>
    </row>
    <row r="100" spans="1:61" ht="180.75" customHeight="1" x14ac:dyDescent="0.2">
      <c r="A100" s="438"/>
      <c r="B100" s="458"/>
      <c r="C100" s="375"/>
      <c r="D100" s="354"/>
      <c r="E100" s="354">
        <v>4501</v>
      </c>
      <c r="F100" s="355" t="s">
        <v>183</v>
      </c>
      <c r="G100" s="354" t="s">
        <v>366</v>
      </c>
      <c r="H100" s="354">
        <v>4501001</v>
      </c>
      <c r="I100" s="355" t="s">
        <v>367</v>
      </c>
      <c r="J100" s="354" t="s">
        <v>368</v>
      </c>
      <c r="K100" s="354">
        <v>450100100</v>
      </c>
      <c r="L100" s="355" t="s">
        <v>369</v>
      </c>
      <c r="M100" s="358" t="s">
        <v>98</v>
      </c>
      <c r="N100" s="354">
        <v>12</v>
      </c>
      <c r="O100" s="354">
        <v>12</v>
      </c>
      <c r="P100" s="226">
        <v>8</v>
      </c>
      <c r="Q100" s="423" t="s">
        <v>114</v>
      </c>
      <c r="R100" s="354" t="s">
        <v>370</v>
      </c>
      <c r="S100" s="355" t="s">
        <v>371</v>
      </c>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9">
        <f>96923000-21923000</f>
        <v>75000000</v>
      </c>
      <c r="AY100" s="49">
        <v>34630000</v>
      </c>
      <c r="AZ100" s="49">
        <v>0</v>
      </c>
      <c r="BA100" s="43"/>
      <c r="BB100" s="43"/>
      <c r="BC100" s="43"/>
      <c r="BD100" s="43"/>
      <c r="BE100" s="43"/>
      <c r="BF100" s="43"/>
      <c r="BG100" s="173">
        <f>+T100+W100+Z100+AC100+AF100+AI100+AL100+AO100+AR100+AU100+AX100+BA100+BD100</f>
        <v>75000000</v>
      </c>
      <c r="BH100" s="296">
        <f t="shared" si="205"/>
        <v>34630000</v>
      </c>
      <c r="BI100" s="173">
        <f t="shared" si="205"/>
        <v>0</v>
      </c>
    </row>
    <row r="101" spans="1:61" ht="15.75" x14ac:dyDescent="0.2">
      <c r="A101" s="438"/>
      <c r="B101" s="259">
        <v>3</v>
      </c>
      <c r="C101" s="159" t="s">
        <v>3</v>
      </c>
      <c r="D101" s="160"/>
      <c r="E101" s="160"/>
      <c r="F101" s="161"/>
      <c r="G101" s="162"/>
      <c r="H101" s="163"/>
      <c r="I101" s="161"/>
      <c r="J101" s="162"/>
      <c r="K101" s="162"/>
      <c r="L101" s="161"/>
      <c r="M101" s="163"/>
      <c r="N101" s="163"/>
      <c r="O101" s="162"/>
      <c r="P101" s="162"/>
      <c r="Q101" s="160"/>
      <c r="R101" s="162"/>
      <c r="S101" s="161"/>
      <c r="T101" s="165">
        <f>+T102+T105</f>
        <v>0</v>
      </c>
      <c r="U101" s="165"/>
      <c r="V101" s="165"/>
      <c r="W101" s="165">
        <f t="shared" ref="W101:BD101" si="206">+W102+W105</f>
        <v>0</v>
      </c>
      <c r="X101" s="165"/>
      <c r="Y101" s="165"/>
      <c r="Z101" s="165">
        <f t="shared" si="206"/>
        <v>0</v>
      </c>
      <c r="AA101" s="165"/>
      <c r="AB101" s="165"/>
      <c r="AC101" s="165">
        <f t="shared" si="206"/>
        <v>0</v>
      </c>
      <c r="AD101" s="165"/>
      <c r="AE101" s="165"/>
      <c r="AF101" s="165">
        <f t="shared" si="206"/>
        <v>0</v>
      </c>
      <c r="AG101" s="165"/>
      <c r="AH101" s="165"/>
      <c r="AI101" s="165">
        <f t="shared" si="206"/>
        <v>0</v>
      </c>
      <c r="AJ101" s="165"/>
      <c r="AK101" s="165"/>
      <c r="AL101" s="165">
        <f t="shared" si="206"/>
        <v>0</v>
      </c>
      <c r="AM101" s="165"/>
      <c r="AN101" s="165"/>
      <c r="AO101" s="165">
        <f t="shared" si="206"/>
        <v>0</v>
      </c>
      <c r="AP101" s="165"/>
      <c r="AQ101" s="165"/>
      <c r="AR101" s="165">
        <f t="shared" si="206"/>
        <v>0</v>
      </c>
      <c r="AS101" s="165"/>
      <c r="AT101" s="165"/>
      <c r="AU101" s="165">
        <f t="shared" si="206"/>
        <v>0</v>
      </c>
      <c r="AV101" s="165"/>
      <c r="AW101" s="165"/>
      <c r="AX101" s="165">
        <f t="shared" si="206"/>
        <v>436511874.30000001</v>
      </c>
      <c r="AY101" s="165">
        <f t="shared" si="206"/>
        <v>188137734</v>
      </c>
      <c r="AZ101" s="165">
        <f t="shared" si="206"/>
        <v>90591197</v>
      </c>
      <c r="BA101" s="165">
        <f t="shared" si="206"/>
        <v>0</v>
      </c>
      <c r="BB101" s="165"/>
      <c r="BC101" s="165"/>
      <c r="BD101" s="165">
        <f t="shared" si="206"/>
        <v>0</v>
      </c>
      <c r="BE101" s="165"/>
      <c r="BF101" s="165"/>
      <c r="BG101" s="165">
        <f>+BG102+BG105</f>
        <v>436511874.30000001</v>
      </c>
      <c r="BH101" s="165">
        <f t="shared" ref="BH101:BI101" si="207">+BH102+BH105</f>
        <v>188137734</v>
      </c>
      <c r="BI101" s="165">
        <f t="shared" si="207"/>
        <v>90591197</v>
      </c>
    </row>
    <row r="102" spans="1:61" ht="15.75" x14ac:dyDescent="0.2">
      <c r="A102" s="438"/>
      <c r="B102" s="440"/>
      <c r="C102" s="195">
        <v>23</v>
      </c>
      <c r="D102" s="167">
        <v>3205</v>
      </c>
      <c r="E102" s="357" t="s">
        <v>255</v>
      </c>
      <c r="F102" s="166"/>
      <c r="G102" s="167"/>
      <c r="H102" s="168"/>
      <c r="I102" s="166"/>
      <c r="J102" s="167"/>
      <c r="K102" s="167"/>
      <c r="L102" s="166"/>
      <c r="M102" s="168"/>
      <c r="N102" s="168"/>
      <c r="O102" s="167"/>
      <c r="P102" s="167"/>
      <c r="Q102" s="170"/>
      <c r="R102" s="167"/>
      <c r="S102" s="166"/>
      <c r="T102" s="384">
        <f>SUM(T103:T104)</f>
        <v>0</v>
      </c>
      <c r="U102" s="384"/>
      <c r="V102" s="384"/>
      <c r="W102" s="384">
        <f t="shared" ref="W102:BD102" si="208">SUM(W103:W104)</f>
        <v>0</v>
      </c>
      <c r="X102" s="384"/>
      <c r="Y102" s="384"/>
      <c r="Z102" s="384">
        <f t="shared" si="208"/>
        <v>0</v>
      </c>
      <c r="AA102" s="384"/>
      <c r="AB102" s="384"/>
      <c r="AC102" s="384">
        <f t="shared" si="208"/>
        <v>0</v>
      </c>
      <c r="AD102" s="384"/>
      <c r="AE102" s="384"/>
      <c r="AF102" s="384">
        <f t="shared" si="208"/>
        <v>0</v>
      </c>
      <c r="AG102" s="384"/>
      <c r="AH102" s="384"/>
      <c r="AI102" s="384">
        <f t="shared" si="208"/>
        <v>0</v>
      </c>
      <c r="AJ102" s="384"/>
      <c r="AK102" s="384"/>
      <c r="AL102" s="384">
        <f t="shared" si="208"/>
        <v>0</v>
      </c>
      <c r="AM102" s="384"/>
      <c r="AN102" s="384"/>
      <c r="AO102" s="384">
        <f t="shared" si="208"/>
        <v>0</v>
      </c>
      <c r="AP102" s="384"/>
      <c r="AQ102" s="384"/>
      <c r="AR102" s="384">
        <f t="shared" si="208"/>
        <v>0</v>
      </c>
      <c r="AS102" s="384"/>
      <c r="AT102" s="384"/>
      <c r="AU102" s="384">
        <f t="shared" si="208"/>
        <v>0</v>
      </c>
      <c r="AV102" s="384"/>
      <c r="AW102" s="384"/>
      <c r="AX102" s="384">
        <f t="shared" si="208"/>
        <v>37702666</v>
      </c>
      <c r="AY102" s="384">
        <f t="shared" si="208"/>
        <v>20533333</v>
      </c>
      <c r="AZ102" s="384">
        <f t="shared" si="208"/>
        <v>0</v>
      </c>
      <c r="BA102" s="384">
        <f t="shared" si="208"/>
        <v>0</v>
      </c>
      <c r="BB102" s="384"/>
      <c r="BC102" s="384"/>
      <c r="BD102" s="384">
        <f t="shared" si="208"/>
        <v>0</v>
      </c>
      <c r="BE102" s="384"/>
      <c r="BF102" s="384"/>
      <c r="BG102" s="384">
        <f>SUM(BG103:BG104)</f>
        <v>37702666</v>
      </c>
      <c r="BH102" s="384">
        <f t="shared" ref="BH102:BI102" si="209">SUM(BH103:BH104)</f>
        <v>20533333</v>
      </c>
      <c r="BI102" s="384">
        <f t="shared" si="209"/>
        <v>0</v>
      </c>
    </row>
    <row r="103" spans="1:61" ht="130.5" customHeight="1" x14ac:dyDescent="0.2">
      <c r="A103" s="438"/>
      <c r="B103" s="441"/>
      <c r="C103" s="373"/>
      <c r="D103" s="386"/>
      <c r="E103" s="226">
        <v>3205</v>
      </c>
      <c r="F103" s="225" t="s">
        <v>1435</v>
      </c>
      <c r="G103" s="226" t="s">
        <v>372</v>
      </c>
      <c r="H103" s="226">
        <v>3205002</v>
      </c>
      <c r="I103" s="225" t="s">
        <v>373</v>
      </c>
      <c r="J103" s="226" t="s">
        <v>374</v>
      </c>
      <c r="K103" s="226">
        <v>320500200</v>
      </c>
      <c r="L103" s="225" t="s">
        <v>375</v>
      </c>
      <c r="M103" s="332" t="s">
        <v>188</v>
      </c>
      <c r="N103" s="332">
        <v>10</v>
      </c>
      <c r="O103" s="332">
        <v>1</v>
      </c>
      <c r="P103" s="332">
        <v>1</v>
      </c>
      <c r="Q103" s="524" t="s">
        <v>376</v>
      </c>
      <c r="R103" s="517" t="s">
        <v>320</v>
      </c>
      <c r="S103" s="518" t="s">
        <v>321</v>
      </c>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365">
        <f>12866668+20000000</f>
        <v>32866668</v>
      </c>
      <c r="AY103" s="365">
        <v>17200001</v>
      </c>
      <c r="AZ103" s="365">
        <v>0</v>
      </c>
      <c r="BA103" s="43"/>
      <c r="BB103" s="43"/>
      <c r="BC103" s="43"/>
      <c r="BD103" s="43"/>
      <c r="BE103" s="43"/>
      <c r="BF103" s="43"/>
      <c r="BG103" s="173">
        <f>+T103+W103+Z103+AC103+AF103+AI103+AL103+AO103+AR103+AU103+AX103+BA103+BD103</f>
        <v>32866668</v>
      </c>
      <c r="BH103" s="173">
        <f t="shared" ref="BH103:BI104" si="210">+U103+X103+AA103+AD103+AG103+AJ103+AM103+AP103+AS103+AV103+AY103+BB103+BE103</f>
        <v>17200001</v>
      </c>
      <c r="BI103" s="173">
        <f t="shared" si="210"/>
        <v>0</v>
      </c>
    </row>
    <row r="104" spans="1:61" ht="137.25" customHeight="1" x14ac:dyDescent="0.2">
      <c r="A104" s="438"/>
      <c r="B104" s="441"/>
      <c r="C104" s="373"/>
      <c r="D104" s="386"/>
      <c r="E104" s="226">
        <v>3205</v>
      </c>
      <c r="F104" s="225" t="s">
        <v>1436</v>
      </c>
      <c r="G104" s="226" t="s">
        <v>377</v>
      </c>
      <c r="H104" s="226">
        <v>3205021</v>
      </c>
      <c r="I104" s="225" t="s">
        <v>257</v>
      </c>
      <c r="J104" s="226" t="s">
        <v>256</v>
      </c>
      <c r="K104" s="226">
        <v>320502100</v>
      </c>
      <c r="L104" s="225" t="s">
        <v>258</v>
      </c>
      <c r="M104" s="226" t="s">
        <v>188</v>
      </c>
      <c r="N104" s="226">
        <v>4</v>
      </c>
      <c r="O104" s="226">
        <v>1</v>
      </c>
      <c r="P104" s="226">
        <v>0</v>
      </c>
      <c r="Q104" s="524"/>
      <c r="R104" s="517"/>
      <c r="S104" s="518"/>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365">
        <v>4835998</v>
      </c>
      <c r="AY104" s="365">
        <v>3333332</v>
      </c>
      <c r="AZ104" s="365">
        <v>0</v>
      </c>
      <c r="BA104" s="43"/>
      <c r="BB104" s="43"/>
      <c r="BC104" s="43"/>
      <c r="BD104" s="43"/>
      <c r="BE104" s="43"/>
      <c r="BF104" s="43"/>
      <c r="BG104" s="173">
        <f>+T104+W104+Z104+AC104+AF104+AI104+AL104+AO104+AR104+AU104+AX104+BA104+BD104</f>
        <v>4835998</v>
      </c>
      <c r="BH104" s="173">
        <f t="shared" si="210"/>
        <v>3333332</v>
      </c>
      <c r="BI104" s="173">
        <f t="shared" si="210"/>
        <v>0</v>
      </c>
    </row>
    <row r="105" spans="1:61" ht="15.75" x14ac:dyDescent="0.2">
      <c r="A105" s="438"/>
      <c r="B105" s="441"/>
      <c r="C105" s="195">
        <v>43</v>
      </c>
      <c r="D105" s="167">
        <v>4503</v>
      </c>
      <c r="E105" s="357" t="s">
        <v>378</v>
      </c>
      <c r="F105" s="166"/>
      <c r="G105" s="167"/>
      <c r="H105" s="168"/>
      <c r="I105" s="166"/>
      <c r="J105" s="167"/>
      <c r="K105" s="167"/>
      <c r="L105" s="166"/>
      <c r="M105" s="168"/>
      <c r="N105" s="168"/>
      <c r="O105" s="167"/>
      <c r="P105" s="167"/>
      <c r="Q105" s="424"/>
      <c r="R105" s="167"/>
      <c r="S105" s="166"/>
      <c r="T105" s="384">
        <f>SUM(T106:T108)</f>
        <v>0</v>
      </c>
      <c r="U105" s="384"/>
      <c r="V105" s="384"/>
      <c r="W105" s="384">
        <f t="shared" ref="W105:BD105" si="211">SUM(W106:W108)</f>
        <v>0</v>
      </c>
      <c r="X105" s="384"/>
      <c r="Y105" s="384"/>
      <c r="Z105" s="384">
        <f t="shared" si="211"/>
        <v>0</v>
      </c>
      <c r="AA105" s="384"/>
      <c r="AB105" s="384"/>
      <c r="AC105" s="384">
        <f t="shared" si="211"/>
        <v>0</v>
      </c>
      <c r="AD105" s="384"/>
      <c r="AE105" s="384"/>
      <c r="AF105" s="384">
        <f t="shared" si="211"/>
        <v>0</v>
      </c>
      <c r="AG105" s="384"/>
      <c r="AH105" s="384"/>
      <c r="AI105" s="384">
        <f t="shared" si="211"/>
        <v>0</v>
      </c>
      <c r="AJ105" s="384"/>
      <c r="AK105" s="384"/>
      <c r="AL105" s="384">
        <f t="shared" si="211"/>
        <v>0</v>
      </c>
      <c r="AM105" s="384"/>
      <c r="AN105" s="384"/>
      <c r="AO105" s="384">
        <f t="shared" si="211"/>
        <v>0</v>
      </c>
      <c r="AP105" s="384"/>
      <c r="AQ105" s="384"/>
      <c r="AR105" s="384">
        <f t="shared" si="211"/>
        <v>0</v>
      </c>
      <c r="AS105" s="384"/>
      <c r="AT105" s="384"/>
      <c r="AU105" s="384">
        <f t="shared" si="211"/>
        <v>0</v>
      </c>
      <c r="AV105" s="384"/>
      <c r="AW105" s="384"/>
      <c r="AX105" s="384">
        <f t="shared" si="211"/>
        <v>398809208.30000001</v>
      </c>
      <c r="AY105" s="384">
        <f t="shared" si="211"/>
        <v>167604401</v>
      </c>
      <c r="AZ105" s="384">
        <f t="shared" si="211"/>
        <v>90591197</v>
      </c>
      <c r="BA105" s="384">
        <f t="shared" si="211"/>
        <v>0</v>
      </c>
      <c r="BB105" s="384"/>
      <c r="BC105" s="384"/>
      <c r="BD105" s="384">
        <f t="shared" si="211"/>
        <v>0</v>
      </c>
      <c r="BE105" s="384"/>
      <c r="BF105" s="384"/>
      <c r="BG105" s="384">
        <f>SUM(BG106:BG108)</f>
        <v>398809208.30000001</v>
      </c>
      <c r="BH105" s="384">
        <f t="shared" ref="BH105:BI105" si="212">SUM(BH106:BH108)</f>
        <v>167604401</v>
      </c>
      <c r="BI105" s="384">
        <f t="shared" si="212"/>
        <v>90591197</v>
      </c>
    </row>
    <row r="106" spans="1:61" ht="108" customHeight="1" x14ac:dyDescent="0.2">
      <c r="A106" s="438"/>
      <c r="B106" s="441"/>
      <c r="C106" s="373"/>
      <c r="D106" s="374"/>
      <c r="E106" s="340">
        <v>4503</v>
      </c>
      <c r="F106" s="225" t="s">
        <v>1437</v>
      </c>
      <c r="G106" s="226" t="s">
        <v>379</v>
      </c>
      <c r="H106" s="226">
        <v>4503002</v>
      </c>
      <c r="I106" s="225" t="s">
        <v>380</v>
      </c>
      <c r="J106" s="226" t="s">
        <v>381</v>
      </c>
      <c r="K106" s="226">
        <v>450300200</v>
      </c>
      <c r="L106" s="225" t="s">
        <v>382</v>
      </c>
      <c r="M106" s="226" t="s">
        <v>188</v>
      </c>
      <c r="N106" s="226">
        <v>15000</v>
      </c>
      <c r="O106" s="226">
        <v>1000</v>
      </c>
      <c r="P106" s="226">
        <v>270</v>
      </c>
      <c r="Q106" s="541" t="s">
        <v>376</v>
      </c>
      <c r="R106" s="517" t="s">
        <v>320</v>
      </c>
      <c r="S106" s="518" t="s">
        <v>1418</v>
      </c>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9">
        <f>3733333+4390667+33000000</f>
        <v>41124000</v>
      </c>
      <c r="AY106" s="365">
        <v>14984006</v>
      </c>
      <c r="AZ106" s="365">
        <v>0</v>
      </c>
      <c r="BA106" s="43"/>
      <c r="BB106" s="43"/>
      <c r="BC106" s="43"/>
      <c r="BD106" s="43"/>
      <c r="BE106" s="43"/>
      <c r="BF106" s="43"/>
      <c r="BG106" s="173">
        <f>+T106+W106+Z106+AC106+AF106+AI106+AL106+AO106+AR106+AU106+AX106+BA106+BD106</f>
        <v>41124000</v>
      </c>
      <c r="BH106" s="173">
        <v>14984006</v>
      </c>
      <c r="BI106" s="173">
        <f t="shared" ref="BH106:BI108" si="213">+V106+Y106+AB106+AE106+AH106+AK106+AN106+AQ106+AT106+AW106+AZ106+BC106+BF106</f>
        <v>0</v>
      </c>
    </row>
    <row r="107" spans="1:61" ht="93.75" customHeight="1" x14ac:dyDescent="0.2">
      <c r="A107" s="438"/>
      <c r="B107" s="441"/>
      <c r="C107" s="373"/>
      <c r="D107" s="374"/>
      <c r="E107" s="340">
        <v>4503</v>
      </c>
      <c r="F107" s="225" t="s">
        <v>383</v>
      </c>
      <c r="G107" s="226" t="s">
        <v>384</v>
      </c>
      <c r="H107" s="226">
        <v>4503003</v>
      </c>
      <c r="I107" s="225" t="s">
        <v>367</v>
      </c>
      <c r="J107" s="226" t="s">
        <v>385</v>
      </c>
      <c r="K107" s="226">
        <v>450300300</v>
      </c>
      <c r="L107" s="225" t="s">
        <v>386</v>
      </c>
      <c r="M107" s="226" t="s">
        <v>98</v>
      </c>
      <c r="N107" s="226">
        <v>12</v>
      </c>
      <c r="O107" s="226">
        <v>12</v>
      </c>
      <c r="P107" s="226">
        <v>12</v>
      </c>
      <c r="Q107" s="541"/>
      <c r="R107" s="517"/>
      <c r="S107" s="518"/>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9">
        <f>84753736+22122264+177579598</f>
        <v>284455598</v>
      </c>
      <c r="AY107" s="365">
        <v>140953729</v>
      </c>
      <c r="AZ107" s="365">
        <f>6000000+79591197</f>
        <v>85591197</v>
      </c>
      <c r="BA107" s="43"/>
      <c r="BB107" s="43"/>
      <c r="BC107" s="43"/>
      <c r="BD107" s="43"/>
      <c r="BE107" s="43"/>
      <c r="BF107" s="43"/>
      <c r="BG107" s="173">
        <f>+T107+W107+Z107+AC107+AF107+AI107+AL107+AO107+AR107+AU107+AX107+BA107+BD107</f>
        <v>284455598</v>
      </c>
      <c r="BH107" s="173">
        <v>140953729</v>
      </c>
      <c r="BI107" s="173">
        <f t="shared" si="213"/>
        <v>85591197</v>
      </c>
    </row>
    <row r="108" spans="1:61" ht="87.75" customHeight="1" x14ac:dyDescent="0.2">
      <c r="A108" s="438"/>
      <c r="B108" s="442"/>
      <c r="C108" s="373"/>
      <c r="D108" s="374"/>
      <c r="E108" s="340">
        <v>4503</v>
      </c>
      <c r="F108" s="225" t="s">
        <v>383</v>
      </c>
      <c r="G108" s="226" t="s">
        <v>387</v>
      </c>
      <c r="H108" s="226">
        <v>4503004</v>
      </c>
      <c r="I108" s="225" t="s">
        <v>388</v>
      </c>
      <c r="J108" s="226" t="s">
        <v>389</v>
      </c>
      <c r="K108" s="226" t="s">
        <v>92</v>
      </c>
      <c r="L108" s="225" t="s">
        <v>390</v>
      </c>
      <c r="M108" s="226" t="s">
        <v>98</v>
      </c>
      <c r="N108" s="226">
        <v>1</v>
      </c>
      <c r="O108" s="226">
        <v>1</v>
      </c>
      <c r="P108" s="226">
        <v>0</v>
      </c>
      <c r="Q108" s="335" t="s">
        <v>376</v>
      </c>
      <c r="R108" s="354" t="s">
        <v>391</v>
      </c>
      <c r="S108" s="355" t="s">
        <v>392</v>
      </c>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9">
        <f>13229610.3+60000000</f>
        <v>73229610.299999997</v>
      </c>
      <c r="AY108" s="49">
        <f>5000000+6666666</f>
        <v>11666666</v>
      </c>
      <c r="AZ108" s="49">
        <v>5000000</v>
      </c>
      <c r="BA108" s="43"/>
      <c r="BB108" s="43"/>
      <c r="BC108" s="43"/>
      <c r="BD108" s="43"/>
      <c r="BE108" s="43"/>
      <c r="BF108" s="43"/>
      <c r="BG108" s="173">
        <f>+T108+W108+Z108+AC108+AF108+AI108+AL108+AO108+AR108+AU108+AX108+BA108+BD108</f>
        <v>73229610.299999997</v>
      </c>
      <c r="BH108" s="173">
        <f t="shared" si="213"/>
        <v>11666666</v>
      </c>
      <c r="BI108" s="173">
        <f t="shared" si="213"/>
        <v>5000000</v>
      </c>
    </row>
    <row r="109" spans="1:61" ht="15.75" x14ac:dyDescent="0.2">
      <c r="A109" s="438"/>
      <c r="B109" s="259">
        <v>4</v>
      </c>
      <c r="C109" s="159" t="s">
        <v>117</v>
      </c>
      <c r="D109" s="160"/>
      <c r="E109" s="160"/>
      <c r="F109" s="161"/>
      <c r="G109" s="162"/>
      <c r="H109" s="163"/>
      <c r="I109" s="161"/>
      <c r="J109" s="162"/>
      <c r="K109" s="162"/>
      <c r="L109" s="161"/>
      <c r="M109" s="163"/>
      <c r="N109" s="163"/>
      <c r="O109" s="162"/>
      <c r="P109" s="162"/>
      <c r="Q109" s="426"/>
      <c r="R109" s="162"/>
      <c r="S109" s="161"/>
      <c r="T109" s="165">
        <f>+T110</f>
        <v>0</v>
      </c>
      <c r="U109" s="165"/>
      <c r="V109" s="165"/>
      <c r="W109" s="165">
        <f t="shared" ref="W109:BD109" si="214">+W110</f>
        <v>0</v>
      </c>
      <c r="X109" s="165"/>
      <c r="Y109" s="165"/>
      <c r="Z109" s="165">
        <f t="shared" si="214"/>
        <v>0</v>
      </c>
      <c r="AA109" s="165"/>
      <c r="AB109" s="165"/>
      <c r="AC109" s="165">
        <f t="shared" si="214"/>
        <v>0</v>
      </c>
      <c r="AD109" s="165"/>
      <c r="AE109" s="165"/>
      <c r="AF109" s="165">
        <f t="shared" si="214"/>
        <v>0</v>
      </c>
      <c r="AG109" s="165"/>
      <c r="AH109" s="165"/>
      <c r="AI109" s="165">
        <f t="shared" si="214"/>
        <v>0</v>
      </c>
      <c r="AJ109" s="165"/>
      <c r="AK109" s="165"/>
      <c r="AL109" s="165">
        <f t="shared" si="214"/>
        <v>0</v>
      </c>
      <c r="AM109" s="165"/>
      <c r="AN109" s="165"/>
      <c r="AO109" s="165">
        <f t="shared" si="214"/>
        <v>0</v>
      </c>
      <c r="AP109" s="165"/>
      <c r="AQ109" s="165"/>
      <c r="AR109" s="165">
        <f t="shared" si="214"/>
        <v>0</v>
      </c>
      <c r="AS109" s="165"/>
      <c r="AT109" s="165"/>
      <c r="AU109" s="165">
        <f t="shared" si="214"/>
        <v>0</v>
      </c>
      <c r="AV109" s="165"/>
      <c r="AW109" s="165"/>
      <c r="AX109" s="165">
        <f t="shared" si="214"/>
        <v>150170667</v>
      </c>
      <c r="AY109" s="165">
        <f t="shared" si="214"/>
        <v>89120667</v>
      </c>
      <c r="AZ109" s="165">
        <f t="shared" si="214"/>
        <v>41370667</v>
      </c>
      <c r="BA109" s="165">
        <f t="shared" si="214"/>
        <v>0</v>
      </c>
      <c r="BB109" s="165"/>
      <c r="BC109" s="165"/>
      <c r="BD109" s="165">
        <f t="shared" si="214"/>
        <v>0</v>
      </c>
      <c r="BE109" s="165"/>
      <c r="BF109" s="165"/>
      <c r="BG109" s="165">
        <f>+BG110</f>
        <v>150170667</v>
      </c>
      <c r="BH109" s="165">
        <f t="shared" ref="BH109:BI109" si="215">+BH110</f>
        <v>89120667</v>
      </c>
      <c r="BI109" s="165">
        <f t="shared" si="215"/>
        <v>41370667</v>
      </c>
    </row>
    <row r="110" spans="1:61" ht="15.75" x14ac:dyDescent="0.2">
      <c r="A110" s="438"/>
      <c r="B110" s="459"/>
      <c r="C110" s="195">
        <v>42</v>
      </c>
      <c r="D110" s="167">
        <v>4502</v>
      </c>
      <c r="E110" s="224" t="s">
        <v>108</v>
      </c>
      <c r="F110" s="166"/>
      <c r="G110" s="167"/>
      <c r="H110" s="168"/>
      <c r="I110" s="166"/>
      <c r="J110" s="167"/>
      <c r="K110" s="167"/>
      <c r="L110" s="166"/>
      <c r="M110" s="168"/>
      <c r="N110" s="168"/>
      <c r="O110" s="167"/>
      <c r="P110" s="167"/>
      <c r="Q110" s="424"/>
      <c r="R110" s="167"/>
      <c r="S110" s="166"/>
      <c r="T110" s="171">
        <f>SUM(T111:T115)</f>
        <v>0</v>
      </c>
      <c r="U110" s="171"/>
      <c r="V110" s="171"/>
      <c r="W110" s="171">
        <f t="shared" ref="W110:BD110" si="216">SUM(W111:W115)</f>
        <v>0</v>
      </c>
      <c r="X110" s="171"/>
      <c r="Y110" s="171"/>
      <c r="Z110" s="171">
        <f t="shared" si="216"/>
        <v>0</v>
      </c>
      <c r="AA110" s="171"/>
      <c r="AB110" s="171"/>
      <c r="AC110" s="171">
        <f t="shared" si="216"/>
        <v>0</v>
      </c>
      <c r="AD110" s="171"/>
      <c r="AE110" s="171"/>
      <c r="AF110" s="171">
        <f t="shared" si="216"/>
        <v>0</v>
      </c>
      <c r="AG110" s="171"/>
      <c r="AH110" s="171"/>
      <c r="AI110" s="171">
        <f t="shared" si="216"/>
        <v>0</v>
      </c>
      <c r="AJ110" s="171"/>
      <c r="AK110" s="171"/>
      <c r="AL110" s="171">
        <f t="shared" si="216"/>
        <v>0</v>
      </c>
      <c r="AM110" s="171"/>
      <c r="AN110" s="171"/>
      <c r="AO110" s="171">
        <f t="shared" si="216"/>
        <v>0</v>
      </c>
      <c r="AP110" s="171"/>
      <c r="AQ110" s="171"/>
      <c r="AR110" s="171">
        <f t="shared" si="216"/>
        <v>0</v>
      </c>
      <c r="AS110" s="171"/>
      <c r="AT110" s="171"/>
      <c r="AU110" s="171">
        <f t="shared" si="216"/>
        <v>0</v>
      </c>
      <c r="AV110" s="171"/>
      <c r="AW110" s="171"/>
      <c r="AX110" s="171">
        <f t="shared" si="216"/>
        <v>150170667</v>
      </c>
      <c r="AY110" s="171">
        <f t="shared" si="216"/>
        <v>89120667</v>
      </c>
      <c r="AZ110" s="171">
        <f t="shared" si="216"/>
        <v>41370667</v>
      </c>
      <c r="BA110" s="171">
        <f t="shared" si="216"/>
        <v>0</v>
      </c>
      <c r="BB110" s="171"/>
      <c r="BC110" s="171"/>
      <c r="BD110" s="171">
        <f t="shared" si="216"/>
        <v>0</v>
      </c>
      <c r="BE110" s="171"/>
      <c r="BF110" s="171"/>
      <c r="BG110" s="171">
        <f>SUM(BG111:BG115)</f>
        <v>150170667</v>
      </c>
      <c r="BH110" s="171">
        <f t="shared" ref="BH110:BI110" si="217">SUM(BH111:BH115)</f>
        <v>89120667</v>
      </c>
      <c r="BI110" s="171">
        <f t="shared" si="217"/>
        <v>41370667</v>
      </c>
    </row>
    <row r="111" spans="1:61" ht="99.75" customHeight="1" x14ac:dyDescent="0.2">
      <c r="A111" s="438"/>
      <c r="B111" s="460"/>
      <c r="C111" s="375"/>
      <c r="D111" s="354"/>
      <c r="E111" s="226">
        <v>4502</v>
      </c>
      <c r="F111" s="225" t="s">
        <v>109</v>
      </c>
      <c r="G111" s="226" t="s">
        <v>393</v>
      </c>
      <c r="H111" s="334">
        <v>4502001</v>
      </c>
      <c r="I111" s="335" t="s">
        <v>394</v>
      </c>
      <c r="J111" s="336" t="s">
        <v>395</v>
      </c>
      <c r="K111" s="226">
        <v>450200100</v>
      </c>
      <c r="L111" s="335" t="s">
        <v>396</v>
      </c>
      <c r="M111" s="337" t="s">
        <v>98</v>
      </c>
      <c r="N111" s="226">
        <v>3</v>
      </c>
      <c r="O111" s="336">
        <v>3</v>
      </c>
      <c r="P111" s="336">
        <v>2</v>
      </c>
      <c r="Q111" s="541" t="s">
        <v>114</v>
      </c>
      <c r="R111" s="517" t="s">
        <v>370</v>
      </c>
      <c r="S111" s="518" t="s">
        <v>371</v>
      </c>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365">
        <f>207796636-100000000-79525969+35000000</f>
        <v>63270667</v>
      </c>
      <c r="AY111" s="365">
        <v>36930667</v>
      </c>
      <c r="AZ111" s="365">
        <v>26970667</v>
      </c>
      <c r="BA111" s="43"/>
      <c r="BB111" s="43"/>
      <c r="BC111" s="43"/>
      <c r="BD111" s="43"/>
      <c r="BE111" s="43"/>
      <c r="BF111" s="43"/>
      <c r="BG111" s="173">
        <f>+T111+W111+Z111+AC111+AF111+AI111+AL111+AO111+AR111+AU111+AX111+BA111+BD111</f>
        <v>63270667</v>
      </c>
      <c r="BH111" s="201">
        <f t="shared" ref="BH111:BI115" si="218">+U111+X111+AA111+AD111+AG111+AJ111+AM111+AP111+AS111+AV111+AY111+BB111+BE111</f>
        <v>36930667</v>
      </c>
      <c r="BI111" s="173">
        <f t="shared" si="218"/>
        <v>26970667</v>
      </c>
    </row>
    <row r="112" spans="1:61" ht="54.75" customHeight="1" x14ac:dyDescent="0.2">
      <c r="A112" s="438"/>
      <c r="B112" s="460"/>
      <c r="C112" s="375"/>
      <c r="D112" s="354"/>
      <c r="E112" s="226">
        <v>4502</v>
      </c>
      <c r="F112" s="225" t="s">
        <v>109</v>
      </c>
      <c r="G112" s="338" t="s">
        <v>397</v>
      </c>
      <c r="H112" s="226" t="s">
        <v>92</v>
      </c>
      <c r="I112" s="339" t="s">
        <v>398</v>
      </c>
      <c r="J112" s="338" t="s">
        <v>399</v>
      </c>
      <c r="K112" s="338" t="s">
        <v>92</v>
      </c>
      <c r="L112" s="339" t="s">
        <v>400</v>
      </c>
      <c r="M112" s="337" t="s">
        <v>98</v>
      </c>
      <c r="N112" s="226">
        <v>1</v>
      </c>
      <c r="O112" s="338">
        <v>1</v>
      </c>
      <c r="P112" s="338">
        <v>0.3</v>
      </c>
      <c r="Q112" s="541"/>
      <c r="R112" s="517"/>
      <c r="S112" s="518"/>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9">
        <f>70000000-35000000</f>
        <v>35000000</v>
      </c>
      <c r="AY112" s="49">
        <v>14653334</v>
      </c>
      <c r="AZ112" s="49">
        <v>0</v>
      </c>
      <c r="BA112" s="43"/>
      <c r="BB112" s="43"/>
      <c r="BC112" s="43"/>
      <c r="BD112" s="43"/>
      <c r="BE112" s="43"/>
      <c r="BF112" s="43"/>
      <c r="BG112" s="173">
        <f>+T112+W112+Z112+AC112+AF112+AI112+AL112+AO112+AR112+AU112+AX112+BA112+BD112</f>
        <v>35000000</v>
      </c>
      <c r="BH112" s="173">
        <f t="shared" si="218"/>
        <v>14653334</v>
      </c>
      <c r="BI112" s="173">
        <f t="shared" si="218"/>
        <v>0</v>
      </c>
    </row>
    <row r="113" spans="1:67" ht="95.25" customHeight="1" x14ac:dyDescent="0.2">
      <c r="A113" s="438"/>
      <c r="B113" s="460"/>
      <c r="C113" s="375"/>
      <c r="D113" s="354"/>
      <c r="E113" s="226">
        <v>4502</v>
      </c>
      <c r="F113" s="225" t="s">
        <v>109</v>
      </c>
      <c r="G113" s="336" t="s">
        <v>401</v>
      </c>
      <c r="H113" s="226" t="s">
        <v>92</v>
      </c>
      <c r="I113" s="335" t="s">
        <v>402</v>
      </c>
      <c r="J113" s="336" t="s">
        <v>403</v>
      </c>
      <c r="K113" s="336" t="s">
        <v>92</v>
      </c>
      <c r="L113" s="335" t="s">
        <v>1438</v>
      </c>
      <c r="M113" s="337" t="s">
        <v>98</v>
      </c>
      <c r="N113" s="226">
        <v>12</v>
      </c>
      <c r="O113" s="336">
        <v>12</v>
      </c>
      <c r="P113" s="336">
        <v>9</v>
      </c>
      <c r="Q113" s="541" t="s">
        <v>114</v>
      </c>
      <c r="R113" s="517" t="s">
        <v>404</v>
      </c>
      <c r="S113" s="518" t="s">
        <v>405</v>
      </c>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9">
        <f>40000000-20100000</f>
        <v>19900000</v>
      </c>
      <c r="AY113" s="365">
        <v>13160000</v>
      </c>
      <c r="AZ113" s="49">
        <v>10400000</v>
      </c>
      <c r="BA113" s="43"/>
      <c r="BB113" s="43"/>
      <c r="BC113" s="43"/>
      <c r="BD113" s="43"/>
      <c r="BE113" s="43"/>
      <c r="BF113" s="43"/>
      <c r="BG113" s="173">
        <f>+T113+W113+Z113+AC113+AF113+AI113+AL113+AO113+AR113+AU113+AX113+BA113+BD113</f>
        <v>19900000</v>
      </c>
      <c r="BH113" s="173">
        <v>13160000</v>
      </c>
      <c r="BI113" s="173">
        <f t="shared" si="218"/>
        <v>10400000</v>
      </c>
    </row>
    <row r="114" spans="1:67" ht="63.75" customHeight="1" x14ac:dyDescent="0.2">
      <c r="A114" s="438"/>
      <c r="B114" s="460"/>
      <c r="C114" s="375"/>
      <c r="D114" s="354"/>
      <c r="E114" s="226">
        <v>4502</v>
      </c>
      <c r="F114" s="225" t="s">
        <v>109</v>
      </c>
      <c r="G114" s="338" t="s">
        <v>406</v>
      </c>
      <c r="H114" s="226" t="s">
        <v>1417</v>
      </c>
      <c r="I114" s="339" t="s">
        <v>407</v>
      </c>
      <c r="J114" s="338" t="s">
        <v>408</v>
      </c>
      <c r="K114" s="338" t="s">
        <v>92</v>
      </c>
      <c r="L114" s="339" t="s">
        <v>409</v>
      </c>
      <c r="M114" s="337" t="s">
        <v>188</v>
      </c>
      <c r="N114" s="226">
        <v>1</v>
      </c>
      <c r="O114" s="338">
        <v>0.2</v>
      </c>
      <c r="P114" s="338">
        <v>0.1</v>
      </c>
      <c r="Q114" s="541"/>
      <c r="R114" s="517"/>
      <c r="S114" s="518"/>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9">
        <v>10000000</v>
      </c>
      <c r="AY114" s="365">
        <v>9986666</v>
      </c>
      <c r="AZ114" s="49">
        <v>0</v>
      </c>
      <c r="BA114" s="43"/>
      <c r="BB114" s="43"/>
      <c r="BC114" s="43"/>
      <c r="BD114" s="43"/>
      <c r="BE114" s="43"/>
      <c r="BF114" s="43"/>
      <c r="BG114" s="173">
        <f>+T114+W114+Z114+AC114+AF114+AI114+AL114+AO114+AR114+AU114+AX114+BA114+BD114</f>
        <v>10000000</v>
      </c>
      <c r="BH114" s="173">
        <v>9986666</v>
      </c>
      <c r="BI114" s="173">
        <f t="shared" si="218"/>
        <v>0</v>
      </c>
    </row>
    <row r="115" spans="1:67" ht="46.5" customHeight="1" x14ac:dyDescent="0.2">
      <c r="A115" s="439"/>
      <c r="B115" s="458"/>
      <c r="C115" s="375"/>
      <c r="D115" s="354"/>
      <c r="E115" s="226">
        <v>4502</v>
      </c>
      <c r="F115" s="225" t="s">
        <v>109</v>
      </c>
      <c r="G115" s="226" t="s">
        <v>393</v>
      </c>
      <c r="H115" s="331">
        <v>4502001</v>
      </c>
      <c r="I115" s="225" t="s">
        <v>394</v>
      </c>
      <c r="J115" s="226" t="s">
        <v>395</v>
      </c>
      <c r="K115" s="226">
        <v>450200100</v>
      </c>
      <c r="L115" s="225" t="s">
        <v>396</v>
      </c>
      <c r="M115" s="337" t="s">
        <v>98</v>
      </c>
      <c r="N115" s="226">
        <v>3</v>
      </c>
      <c r="O115" s="226">
        <v>3</v>
      </c>
      <c r="P115" s="226">
        <v>2</v>
      </c>
      <c r="Q115" s="335" t="s">
        <v>114</v>
      </c>
      <c r="R115" s="354" t="s">
        <v>410</v>
      </c>
      <c r="S115" s="355" t="s">
        <v>1439</v>
      </c>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9">
        <f>50000000-28000000</f>
        <v>22000000</v>
      </c>
      <c r="AY115" s="49">
        <f>10390000+4000000</f>
        <v>14390000</v>
      </c>
      <c r="AZ115" s="49">
        <v>4000000</v>
      </c>
      <c r="BA115" s="43"/>
      <c r="BB115" s="43"/>
      <c r="BC115" s="43"/>
      <c r="BD115" s="43"/>
      <c r="BE115" s="43"/>
      <c r="BF115" s="43"/>
      <c r="BG115" s="173">
        <f>+T115+W115+Z115+AC115+AF115+AI115+AL115+AO115+AR115+AU115+AX115+BA115+BD115</f>
        <v>22000000</v>
      </c>
      <c r="BH115" s="173">
        <f t="shared" si="218"/>
        <v>14390000</v>
      </c>
      <c r="BI115" s="173">
        <f t="shared" si="218"/>
        <v>4000000</v>
      </c>
    </row>
    <row r="116" spans="1:67" s="242" customFormat="1" ht="15.75" x14ac:dyDescent="0.2">
      <c r="A116" s="443"/>
      <c r="B116" s="444"/>
      <c r="C116" s="444"/>
      <c r="D116" s="445"/>
      <c r="E116" s="446"/>
      <c r="F116" s="446"/>
      <c r="G116" s="447"/>
      <c r="H116" s="447"/>
      <c r="I116" s="448"/>
      <c r="J116" s="449"/>
      <c r="K116" s="449"/>
      <c r="L116" s="448"/>
      <c r="M116" s="447"/>
      <c r="N116" s="447"/>
      <c r="O116" s="449"/>
      <c r="P116" s="449"/>
      <c r="Q116" s="447"/>
      <c r="R116" s="447"/>
      <c r="S116" s="448"/>
      <c r="T116" s="450"/>
      <c r="U116" s="450"/>
      <c r="V116" s="450"/>
      <c r="W116" s="450"/>
      <c r="X116" s="450"/>
      <c r="Y116" s="450"/>
      <c r="Z116" s="450"/>
      <c r="AA116" s="450"/>
      <c r="AB116" s="450"/>
      <c r="AC116" s="450"/>
      <c r="AD116" s="450"/>
      <c r="AE116" s="450"/>
      <c r="AF116" s="450"/>
      <c r="AG116" s="450"/>
      <c r="AH116" s="450"/>
      <c r="AI116" s="450"/>
      <c r="AJ116" s="450"/>
      <c r="AK116" s="450"/>
      <c r="AL116" s="450"/>
      <c r="AM116" s="450"/>
      <c r="AN116" s="450"/>
      <c r="AO116" s="450"/>
      <c r="AP116" s="450"/>
      <c r="AQ116" s="450"/>
      <c r="AR116" s="450"/>
      <c r="AS116" s="450"/>
      <c r="AT116" s="450"/>
      <c r="AU116" s="450"/>
      <c r="AV116" s="450"/>
      <c r="AW116" s="450"/>
      <c r="AX116" s="451"/>
      <c r="AY116" s="451"/>
      <c r="AZ116" s="451"/>
      <c r="BA116" s="450"/>
      <c r="BB116" s="450"/>
      <c r="BC116" s="450"/>
      <c r="BD116" s="450"/>
      <c r="BE116" s="450"/>
      <c r="BF116" s="450"/>
      <c r="BG116" s="451"/>
      <c r="BH116" s="451"/>
      <c r="BI116" s="451"/>
    </row>
    <row r="117" spans="1:67" ht="15.75" x14ac:dyDescent="0.2">
      <c r="A117" s="211" t="s">
        <v>412</v>
      </c>
      <c r="B117" s="211"/>
      <c r="C117" s="211"/>
      <c r="D117" s="212"/>
      <c r="E117" s="212"/>
      <c r="F117" s="213"/>
      <c r="G117" s="214"/>
      <c r="H117" s="156"/>
      <c r="I117" s="213"/>
      <c r="J117" s="214"/>
      <c r="K117" s="214"/>
      <c r="L117" s="213"/>
      <c r="M117" s="156"/>
      <c r="N117" s="156"/>
      <c r="O117" s="214"/>
      <c r="P117" s="214"/>
      <c r="Q117" s="425"/>
      <c r="R117" s="214"/>
      <c r="S117" s="213"/>
      <c r="T117" s="188">
        <f t="shared" ref="T117:BI117" si="219">T118</f>
        <v>2235170761.02</v>
      </c>
      <c r="U117" s="188">
        <f t="shared" si="219"/>
        <v>109900000</v>
      </c>
      <c r="V117" s="188">
        <f t="shared" si="219"/>
        <v>31040000</v>
      </c>
      <c r="W117" s="188">
        <f t="shared" si="219"/>
        <v>0</v>
      </c>
      <c r="X117" s="188">
        <f t="shared" si="219"/>
        <v>0</v>
      </c>
      <c r="Y117" s="188">
        <f t="shared" si="219"/>
        <v>0</v>
      </c>
      <c r="Z117" s="188">
        <f t="shared" si="219"/>
        <v>0</v>
      </c>
      <c r="AA117" s="188">
        <f t="shared" si="219"/>
        <v>0</v>
      </c>
      <c r="AB117" s="188">
        <f t="shared" si="219"/>
        <v>0</v>
      </c>
      <c r="AC117" s="188">
        <f t="shared" si="219"/>
        <v>0</v>
      </c>
      <c r="AD117" s="188">
        <f t="shared" si="219"/>
        <v>0</v>
      </c>
      <c r="AE117" s="188">
        <f t="shared" si="219"/>
        <v>0</v>
      </c>
      <c r="AF117" s="188">
        <f t="shared" si="219"/>
        <v>0</v>
      </c>
      <c r="AG117" s="188">
        <f t="shared" si="219"/>
        <v>0</v>
      </c>
      <c r="AH117" s="188">
        <f t="shared" si="219"/>
        <v>0</v>
      </c>
      <c r="AI117" s="188">
        <f t="shared" si="219"/>
        <v>0</v>
      </c>
      <c r="AJ117" s="188">
        <f t="shared" si="219"/>
        <v>0</v>
      </c>
      <c r="AK117" s="188">
        <f t="shared" si="219"/>
        <v>0</v>
      </c>
      <c r="AL117" s="188">
        <f t="shared" si="219"/>
        <v>0</v>
      </c>
      <c r="AM117" s="188">
        <f t="shared" si="219"/>
        <v>0</v>
      </c>
      <c r="AN117" s="188">
        <f t="shared" si="219"/>
        <v>0</v>
      </c>
      <c r="AO117" s="188">
        <f t="shared" si="219"/>
        <v>0</v>
      </c>
      <c r="AP117" s="188">
        <f t="shared" si="219"/>
        <v>0</v>
      </c>
      <c r="AQ117" s="188">
        <f t="shared" si="219"/>
        <v>0</v>
      </c>
      <c r="AR117" s="188">
        <f t="shared" si="219"/>
        <v>0</v>
      </c>
      <c r="AS117" s="188">
        <f t="shared" si="219"/>
        <v>0</v>
      </c>
      <c r="AT117" s="188">
        <f t="shared" si="219"/>
        <v>0</v>
      </c>
      <c r="AU117" s="188">
        <f t="shared" si="219"/>
        <v>0</v>
      </c>
      <c r="AV117" s="188">
        <f t="shared" si="219"/>
        <v>0</v>
      </c>
      <c r="AW117" s="188">
        <f t="shared" si="219"/>
        <v>0</v>
      </c>
      <c r="AX117" s="188">
        <f t="shared" si="219"/>
        <v>425949741</v>
      </c>
      <c r="AY117" s="188">
        <f t="shared" si="219"/>
        <v>128200000</v>
      </c>
      <c r="AZ117" s="188">
        <f t="shared" si="219"/>
        <v>98200000</v>
      </c>
      <c r="BA117" s="188">
        <f t="shared" si="219"/>
        <v>342754433.30000001</v>
      </c>
      <c r="BB117" s="188">
        <f t="shared" si="219"/>
        <v>342720000</v>
      </c>
      <c r="BC117" s="188">
        <f t="shared" si="219"/>
        <v>228480000</v>
      </c>
      <c r="BD117" s="188">
        <f t="shared" si="219"/>
        <v>0</v>
      </c>
      <c r="BE117" s="188">
        <f t="shared" si="219"/>
        <v>0</v>
      </c>
      <c r="BF117" s="188">
        <f t="shared" si="219"/>
        <v>0</v>
      </c>
      <c r="BG117" s="188">
        <f t="shared" si="219"/>
        <v>3003874935.3200002</v>
      </c>
      <c r="BH117" s="188">
        <f t="shared" si="219"/>
        <v>580820000</v>
      </c>
      <c r="BI117" s="188">
        <f t="shared" si="219"/>
        <v>357720000</v>
      </c>
      <c r="BJ117" s="487"/>
      <c r="BK117" s="487"/>
      <c r="BL117" s="487"/>
      <c r="BM117" s="487"/>
      <c r="BN117" s="487"/>
      <c r="BO117" s="487"/>
    </row>
    <row r="118" spans="1:67" ht="15.75" x14ac:dyDescent="0.2">
      <c r="A118" s="452"/>
      <c r="B118" s="259">
        <v>1</v>
      </c>
      <c r="C118" s="159" t="s">
        <v>1</v>
      </c>
      <c r="D118" s="160"/>
      <c r="E118" s="160"/>
      <c r="F118" s="161"/>
      <c r="G118" s="162"/>
      <c r="H118" s="163"/>
      <c r="I118" s="161"/>
      <c r="J118" s="162"/>
      <c r="K118" s="162"/>
      <c r="L118" s="161"/>
      <c r="M118" s="164"/>
      <c r="N118" s="164"/>
      <c r="O118" s="162"/>
      <c r="P118" s="162"/>
      <c r="Q118" s="426"/>
      <c r="R118" s="162"/>
      <c r="S118" s="161"/>
      <c r="T118" s="165">
        <f t="shared" ref="T118:BI118" si="220">T119+T126</f>
        <v>2235170761.02</v>
      </c>
      <c r="U118" s="165">
        <f t="shared" si="220"/>
        <v>109900000</v>
      </c>
      <c r="V118" s="165">
        <f t="shared" si="220"/>
        <v>31040000</v>
      </c>
      <c r="W118" s="165">
        <f t="shared" si="220"/>
        <v>0</v>
      </c>
      <c r="X118" s="165">
        <f t="shared" si="220"/>
        <v>0</v>
      </c>
      <c r="Y118" s="165">
        <f t="shared" si="220"/>
        <v>0</v>
      </c>
      <c r="Z118" s="165">
        <f t="shared" si="220"/>
        <v>0</v>
      </c>
      <c r="AA118" s="165">
        <f t="shared" si="220"/>
        <v>0</v>
      </c>
      <c r="AB118" s="165">
        <f t="shared" si="220"/>
        <v>0</v>
      </c>
      <c r="AC118" s="165">
        <f t="shared" si="220"/>
        <v>0</v>
      </c>
      <c r="AD118" s="165">
        <f t="shared" si="220"/>
        <v>0</v>
      </c>
      <c r="AE118" s="165">
        <f t="shared" si="220"/>
        <v>0</v>
      </c>
      <c r="AF118" s="165">
        <f t="shared" si="220"/>
        <v>0</v>
      </c>
      <c r="AG118" s="165">
        <f t="shared" si="220"/>
        <v>0</v>
      </c>
      <c r="AH118" s="165">
        <f t="shared" si="220"/>
        <v>0</v>
      </c>
      <c r="AI118" s="165">
        <f t="shared" si="220"/>
        <v>0</v>
      </c>
      <c r="AJ118" s="165">
        <f t="shared" si="220"/>
        <v>0</v>
      </c>
      <c r="AK118" s="165">
        <f t="shared" si="220"/>
        <v>0</v>
      </c>
      <c r="AL118" s="165">
        <f t="shared" si="220"/>
        <v>0</v>
      </c>
      <c r="AM118" s="165">
        <f t="shared" si="220"/>
        <v>0</v>
      </c>
      <c r="AN118" s="165">
        <f t="shared" si="220"/>
        <v>0</v>
      </c>
      <c r="AO118" s="165">
        <f t="shared" si="220"/>
        <v>0</v>
      </c>
      <c r="AP118" s="165">
        <f t="shared" si="220"/>
        <v>0</v>
      </c>
      <c r="AQ118" s="165">
        <f t="shared" si="220"/>
        <v>0</v>
      </c>
      <c r="AR118" s="165">
        <f t="shared" si="220"/>
        <v>0</v>
      </c>
      <c r="AS118" s="165">
        <f t="shared" si="220"/>
        <v>0</v>
      </c>
      <c r="AT118" s="165">
        <f t="shared" si="220"/>
        <v>0</v>
      </c>
      <c r="AU118" s="165">
        <f t="shared" si="220"/>
        <v>0</v>
      </c>
      <c r="AV118" s="165">
        <f t="shared" si="220"/>
        <v>0</v>
      </c>
      <c r="AW118" s="165">
        <f t="shared" si="220"/>
        <v>0</v>
      </c>
      <c r="AX118" s="165">
        <f t="shared" si="220"/>
        <v>425949741</v>
      </c>
      <c r="AY118" s="165">
        <f t="shared" si="220"/>
        <v>128200000</v>
      </c>
      <c r="AZ118" s="165">
        <f t="shared" si="220"/>
        <v>98200000</v>
      </c>
      <c r="BA118" s="165">
        <f t="shared" si="220"/>
        <v>342754433.30000001</v>
      </c>
      <c r="BB118" s="165">
        <f t="shared" si="220"/>
        <v>342720000</v>
      </c>
      <c r="BC118" s="165">
        <f t="shared" si="220"/>
        <v>228480000</v>
      </c>
      <c r="BD118" s="165">
        <f t="shared" si="220"/>
        <v>0</v>
      </c>
      <c r="BE118" s="165">
        <f t="shared" si="220"/>
        <v>0</v>
      </c>
      <c r="BF118" s="165">
        <f t="shared" si="220"/>
        <v>0</v>
      </c>
      <c r="BG118" s="165">
        <f t="shared" si="220"/>
        <v>3003874935.3200002</v>
      </c>
      <c r="BH118" s="165">
        <f t="shared" si="220"/>
        <v>580820000</v>
      </c>
      <c r="BI118" s="165">
        <f t="shared" si="220"/>
        <v>357720000</v>
      </c>
    </row>
    <row r="119" spans="1:67" ht="15.75" x14ac:dyDescent="0.2">
      <c r="A119" s="438"/>
      <c r="B119" s="440"/>
      <c r="C119" s="195">
        <v>25</v>
      </c>
      <c r="D119" s="167">
        <v>3301</v>
      </c>
      <c r="E119" s="357" t="s">
        <v>210</v>
      </c>
      <c r="F119" s="166"/>
      <c r="G119" s="167"/>
      <c r="H119" s="168"/>
      <c r="I119" s="166"/>
      <c r="J119" s="167"/>
      <c r="K119" s="167"/>
      <c r="L119" s="166"/>
      <c r="M119" s="169"/>
      <c r="N119" s="169"/>
      <c r="O119" s="167"/>
      <c r="P119" s="167"/>
      <c r="Q119" s="424"/>
      <c r="R119" s="167"/>
      <c r="S119" s="166"/>
      <c r="T119" s="171">
        <f t="shared" ref="T119:BG119" si="221">SUM(T120:T125)</f>
        <v>2235170761.02</v>
      </c>
      <c r="U119" s="171">
        <f t="shared" ref="U119:BF119" si="222">SUM(U120:U125)</f>
        <v>109900000</v>
      </c>
      <c r="V119" s="171">
        <f t="shared" si="222"/>
        <v>31040000</v>
      </c>
      <c r="W119" s="171">
        <f t="shared" si="222"/>
        <v>0</v>
      </c>
      <c r="X119" s="171">
        <f t="shared" si="222"/>
        <v>0</v>
      </c>
      <c r="Y119" s="171">
        <f t="shared" si="222"/>
        <v>0</v>
      </c>
      <c r="Z119" s="171">
        <f t="shared" si="222"/>
        <v>0</v>
      </c>
      <c r="AA119" s="171">
        <f t="shared" si="222"/>
        <v>0</v>
      </c>
      <c r="AB119" s="171">
        <f t="shared" si="222"/>
        <v>0</v>
      </c>
      <c r="AC119" s="171">
        <f t="shared" si="222"/>
        <v>0</v>
      </c>
      <c r="AD119" s="171">
        <f t="shared" si="222"/>
        <v>0</v>
      </c>
      <c r="AE119" s="171">
        <f t="shared" si="222"/>
        <v>0</v>
      </c>
      <c r="AF119" s="171">
        <f t="shared" si="222"/>
        <v>0</v>
      </c>
      <c r="AG119" s="171">
        <f t="shared" si="222"/>
        <v>0</v>
      </c>
      <c r="AH119" s="171">
        <f t="shared" si="222"/>
        <v>0</v>
      </c>
      <c r="AI119" s="171">
        <f t="shared" si="222"/>
        <v>0</v>
      </c>
      <c r="AJ119" s="171">
        <f t="shared" si="222"/>
        <v>0</v>
      </c>
      <c r="AK119" s="171">
        <f t="shared" si="222"/>
        <v>0</v>
      </c>
      <c r="AL119" s="171">
        <f t="shared" si="222"/>
        <v>0</v>
      </c>
      <c r="AM119" s="171">
        <f t="shared" si="222"/>
        <v>0</v>
      </c>
      <c r="AN119" s="171">
        <f t="shared" si="222"/>
        <v>0</v>
      </c>
      <c r="AO119" s="171">
        <f t="shared" si="222"/>
        <v>0</v>
      </c>
      <c r="AP119" s="171">
        <f t="shared" si="222"/>
        <v>0</v>
      </c>
      <c r="AQ119" s="171">
        <f t="shared" si="222"/>
        <v>0</v>
      </c>
      <c r="AR119" s="171">
        <f t="shared" si="222"/>
        <v>0</v>
      </c>
      <c r="AS119" s="171">
        <f t="shared" si="222"/>
        <v>0</v>
      </c>
      <c r="AT119" s="171">
        <f t="shared" si="222"/>
        <v>0</v>
      </c>
      <c r="AU119" s="171">
        <f t="shared" si="222"/>
        <v>0</v>
      </c>
      <c r="AV119" s="171">
        <f t="shared" si="222"/>
        <v>0</v>
      </c>
      <c r="AW119" s="171">
        <f t="shared" si="222"/>
        <v>0</v>
      </c>
      <c r="AX119" s="171">
        <f t="shared" si="222"/>
        <v>392149741</v>
      </c>
      <c r="AY119" s="171">
        <f t="shared" si="222"/>
        <v>94400000</v>
      </c>
      <c r="AZ119" s="171">
        <f t="shared" si="222"/>
        <v>84400000</v>
      </c>
      <c r="BA119" s="171">
        <f t="shared" si="222"/>
        <v>0</v>
      </c>
      <c r="BB119" s="171">
        <f t="shared" si="222"/>
        <v>0</v>
      </c>
      <c r="BC119" s="171">
        <f t="shared" si="222"/>
        <v>0</v>
      </c>
      <c r="BD119" s="171">
        <f t="shared" si="222"/>
        <v>0</v>
      </c>
      <c r="BE119" s="171">
        <f t="shared" si="222"/>
        <v>0</v>
      </c>
      <c r="BF119" s="171">
        <f t="shared" si="222"/>
        <v>0</v>
      </c>
      <c r="BG119" s="171">
        <f t="shared" si="221"/>
        <v>2627320502.02</v>
      </c>
      <c r="BH119" s="171">
        <f t="shared" ref="BH119:BI119" si="223">SUM(BH120:BH125)</f>
        <v>204300000</v>
      </c>
      <c r="BI119" s="171">
        <f t="shared" si="223"/>
        <v>115440000</v>
      </c>
    </row>
    <row r="120" spans="1:67" ht="69.75" customHeight="1" x14ac:dyDescent="0.2">
      <c r="A120" s="438"/>
      <c r="B120" s="441"/>
      <c r="C120" s="373"/>
      <c r="D120" s="374"/>
      <c r="E120" s="364">
        <v>3301</v>
      </c>
      <c r="F120" s="356" t="s">
        <v>1393</v>
      </c>
      <c r="G120" s="336" t="s">
        <v>413</v>
      </c>
      <c r="H120" s="354">
        <v>3301087</v>
      </c>
      <c r="I120" s="355" t="s">
        <v>414</v>
      </c>
      <c r="J120" s="354" t="s">
        <v>415</v>
      </c>
      <c r="K120" s="354">
        <v>330108701</v>
      </c>
      <c r="L120" s="355" t="s">
        <v>382</v>
      </c>
      <c r="M120" s="354" t="s">
        <v>188</v>
      </c>
      <c r="N120" s="354">
        <v>18785</v>
      </c>
      <c r="O120" s="354">
        <v>1600</v>
      </c>
      <c r="P120" s="226">
        <v>172</v>
      </c>
      <c r="Q120" s="518" t="s">
        <v>217</v>
      </c>
      <c r="R120" s="517" t="s">
        <v>416</v>
      </c>
      <c r="S120" s="518" t="s">
        <v>417</v>
      </c>
      <c r="T120" s="387"/>
      <c r="U120" s="387"/>
      <c r="V120" s="387"/>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196">
        <f>774149741-400000000-210749741</f>
        <v>163400000</v>
      </c>
      <c r="AY120" s="196">
        <v>84400000</v>
      </c>
      <c r="AZ120" s="196">
        <v>84400000</v>
      </c>
      <c r="BA120" s="43"/>
      <c r="BB120" s="43"/>
      <c r="BC120" s="43"/>
      <c r="BD120" s="43"/>
      <c r="BE120" s="43"/>
      <c r="BF120" s="43"/>
      <c r="BG120" s="173">
        <f t="shared" ref="BG120:BI125" si="224">+T120+W120+Z120+AC120+AF120+AI120+AL120+AO120+AR120+AU120+AX120+BA120+BD120</f>
        <v>163400000</v>
      </c>
      <c r="BH120" s="173">
        <f t="shared" si="224"/>
        <v>84400000</v>
      </c>
      <c r="BI120" s="173">
        <f t="shared" si="224"/>
        <v>84400000</v>
      </c>
    </row>
    <row r="121" spans="1:67" ht="114" customHeight="1" x14ac:dyDescent="0.2">
      <c r="A121" s="438"/>
      <c r="B121" s="441"/>
      <c r="C121" s="373"/>
      <c r="D121" s="374"/>
      <c r="E121" s="364">
        <v>3301</v>
      </c>
      <c r="F121" s="356" t="s">
        <v>1512</v>
      </c>
      <c r="G121" s="336" t="s">
        <v>418</v>
      </c>
      <c r="H121" s="354">
        <v>3301073</v>
      </c>
      <c r="I121" s="355" t="s">
        <v>419</v>
      </c>
      <c r="J121" s="354" t="s">
        <v>420</v>
      </c>
      <c r="K121" s="354">
        <v>330107301</v>
      </c>
      <c r="L121" s="355" t="s">
        <v>421</v>
      </c>
      <c r="M121" s="354" t="s">
        <v>188</v>
      </c>
      <c r="N121" s="354">
        <v>1800</v>
      </c>
      <c r="O121" s="354">
        <v>200</v>
      </c>
      <c r="P121" s="226">
        <v>7</v>
      </c>
      <c r="Q121" s="518"/>
      <c r="R121" s="517"/>
      <c r="S121" s="518"/>
      <c r="T121" s="206">
        <f>1308657774.35-151977347.27-151977347</f>
        <v>1004703080.0799999</v>
      </c>
      <c r="U121" s="206">
        <v>109900000</v>
      </c>
      <c r="V121" s="206">
        <v>31040000</v>
      </c>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9">
        <f>0+210749741</f>
        <v>210749741</v>
      </c>
      <c r="AY121" s="49">
        <v>10000000</v>
      </c>
      <c r="AZ121" s="49">
        <v>0</v>
      </c>
      <c r="BA121" s="43"/>
      <c r="BB121" s="43"/>
      <c r="BC121" s="43"/>
      <c r="BD121" s="43"/>
      <c r="BE121" s="43"/>
      <c r="BF121" s="43"/>
      <c r="BG121" s="173">
        <f t="shared" si="224"/>
        <v>1215452821.0799999</v>
      </c>
      <c r="BH121" s="173">
        <f t="shared" si="224"/>
        <v>119900000</v>
      </c>
      <c r="BI121" s="173">
        <f t="shared" si="224"/>
        <v>31040000</v>
      </c>
    </row>
    <row r="122" spans="1:67" ht="72.75" customHeight="1" x14ac:dyDescent="0.2">
      <c r="A122" s="438"/>
      <c r="B122" s="441"/>
      <c r="C122" s="373"/>
      <c r="D122" s="374"/>
      <c r="E122" s="364">
        <v>3301</v>
      </c>
      <c r="F122" s="356" t="s">
        <v>1513</v>
      </c>
      <c r="G122" s="336" t="s">
        <v>422</v>
      </c>
      <c r="H122" s="354">
        <v>3301085</v>
      </c>
      <c r="I122" s="355" t="s">
        <v>423</v>
      </c>
      <c r="J122" s="354" t="s">
        <v>424</v>
      </c>
      <c r="K122" s="354" t="s">
        <v>425</v>
      </c>
      <c r="L122" s="355" t="s">
        <v>426</v>
      </c>
      <c r="M122" s="354" t="s">
        <v>188</v>
      </c>
      <c r="N122" s="354">
        <v>270958</v>
      </c>
      <c r="O122" s="354">
        <v>958</v>
      </c>
      <c r="P122" s="226">
        <v>0</v>
      </c>
      <c r="Q122" s="518" t="s">
        <v>217</v>
      </c>
      <c r="R122" s="517" t="s">
        <v>427</v>
      </c>
      <c r="S122" s="518" t="s">
        <v>1440</v>
      </c>
      <c r="T122" s="206">
        <v>110000000</v>
      </c>
      <c r="U122" s="206">
        <v>0</v>
      </c>
      <c r="V122" s="206">
        <v>0</v>
      </c>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9"/>
      <c r="AY122" s="49"/>
      <c r="AZ122" s="49"/>
      <c r="BA122" s="43"/>
      <c r="BB122" s="43"/>
      <c r="BC122" s="43"/>
      <c r="BD122" s="43"/>
      <c r="BE122" s="43"/>
      <c r="BF122" s="43"/>
      <c r="BG122" s="173">
        <f t="shared" si="224"/>
        <v>110000000</v>
      </c>
      <c r="BH122" s="173">
        <f t="shared" si="224"/>
        <v>0</v>
      </c>
      <c r="BI122" s="173">
        <f t="shared" si="224"/>
        <v>0</v>
      </c>
    </row>
    <row r="123" spans="1:67" ht="101.25" customHeight="1" x14ac:dyDescent="0.2">
      <c r="A123" s="438"/>
      <c r="B123" s="441"/>
      <c r="C123" s="373"/>
      <c r="D123" s="374"/>
      <c r="E123" s="364">
        <v>3301</v>
      </c>
      <c r="F123" s="356" t="s">
        <v>1394</v>
      </c>
      <c r="G123" s="336" t="s">
        <v>429</v>
      </c>
      <c r="H123" s="354">
        <v>3301100</v>
      </c>
      <c r="I123" s="355" t="s">
        <v>430</v>
      </c>
      <c r="J123" s="298" t="s">
        <v>431</v>
      </c>
      <c r="K123" s="307" t="s">
        <v>432</v>
      </c>
      <c r="L123" s="304" t="s">
        <v>433</v>
      </c>
      <c r="M123" s="354" t="s">
        <v>188</v>
      </c>
      <c r="N123" s="354">
        <v>40</v>
      </c>
      <c r="O123" s="354">
        <v>5</v>
      </c>
      <c r="P123" s="354">
        <v>0</v>
      </c>
      <c r="Q123" s="518"/>
      <c r="R123" s="517"/>
      <c r="S123" s="518"/>
      <c r="T123" s="207">
        <f>94814219-0.26</f>
        <v>94814218.739999995</v>
      </c>
      <c r="U123" s="207">
        <v>0</v>
      </c>
      <c r="V123" s="207">
        <v>0</v>
      </c>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173">
        <f t="shared" si="224"/>
        <v>94814218.739999995</v>
      </c>
      <c r="BH123" s="173">
        <f t="shared" si="224"/>
        <v>0</v>
      </c>
      <c r="BI123" s="173">
        <f t="shared" si="224"/>
        <v>0</v>
      </c>
    </row>
    <row r="124" spans="1:67" ht="99.75" customHeight="1" x14ac:dyDescent="0.2">
      <c r="A124" s="438"/>
      <c r="B124" s="441"/>
      <c r="C124" s="373"/>
      <c r="D124" s="374"/>
      <c r="E124" s="364">
        <v>3301</v>
      </c>
      <c r="F124" s="355" t="s">
        <v>1512</v>
      </c>
      <c r="G124" s="226" t="s">
        <v>434</v>
      </c>
      <c r="H124" s="354">
        <v>3301099</v>
      </c>
      <c r="I124" s="355" t="s">
        <v>435</v>
      </c>
      <c r="J124" s="298" t="s">
        <v>436</v>
      </c>
      <c r="K124" s="307" t="s">
        <v>437</v>
      </c>
      <c r="L124" s="304" t="s">
        <v>438</v>
      </c>
      <c r="M124" s="298" t="s">
        <v>98</v>
      </c>
      <c r="N124" s="298">
        <v>1</v>
      </c>
      <c r="O124" s="354">
        <v>1</v>
      </c>
      <c r="P124" s="354">
        <v>0</v>
      </c>
      <c r="Q124" s="421" t="s">
        <v>217</v>
      </c>
      <c r="R124" s="354" t="s">
        <v>439</v>
      </c>
      <c r="S124" s="355" t="s">
        <v>1441</v>
      </c>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9">
        <f>80000000-62000000</f>
        <v>18000000</v>
      </c>
      <c r="AY124" s="49">
        <v>0</v>
      </c>
      <c r="AZ124" s="49">
        <v>0</v>
      </c>
      <c r="BA124" s="43"/>
      <c r="BB124" s="43"/>
      <c r="BC124" s="43"/>
      <c r="BD124" s="43"/>
      <c r="BE124" s="43"/>
      <c r="BF124" s="43"/>
      <c r="BG124" s="173">
        <f t="shared" si="224"/>
        <v>18000000</v>
      </c>
      <c r="BH124" s="173">
        <f t="shared" si="224"/>
        <v>0</v>
      </c>
      <c r="BI124" s="173">
        <f t="shared" si="224"/>
        <v>0</v>
      </c>
    </row>
    <row r="125" spans="1:67" ht="141" customHeight="1" x14ac:dyDescent="0.2">
      <c r="A125" s="438"/>
      <c r="B125" s="441"/>
      <c r="C125" s="373"/>
      <c r="D125" s="374"/>
      <c r="E125" s="364">
        <v>3301</v>
      </c>
      <c r="F125" s="356" t="s">
        <v>1391</v>
      </c>
      <c r="G125" s="336" t="s">
        <v>441</v>
      </c>
      <c r="H125" s="354">
        <v>3301095</v>
      </c>
      <c r="I125" s="355" t="s">
        <v>442</v>
      </c>
      <c r="J125" s="354" t="s">
        <v>443</v>
      </c>
      <c r="K125" s="354" t="s">
        <v>444</v>
      </c>
      <c r="L125" s="355" t="s">
        <v>445</v>
      </c>
      <c r="M125" s="298" t="s">
        <v>188</v>
      </c>
      <c r="N125" s="298">
        <v>480</v>
      </c>
      <c r="O125" s="298">
        <v>30</v>
      </c>
      <c r="P125" s="298">
        <v>0</v>
      </c>
      <c r="Q125" s="421" t="s">
        <v>217</v>
      </c>
      <c r="R125" s="354" t="s">
        <v>446</v>
      </c>
      <c r="S125" s="355" t="s">
        <v>447</v>
      </c>
      <c r="T125" s="208">
        <f>1063903990.74-38250528.54</f>
        <v>1025653462.2</v>
      </c>
      <c r="U125" s="208">
        <v>0</v>
      </c>
      <c r="V125" s="208">
        <v>0</v>
      </c>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196"/>
      <c r="AY125" s="196"/>
      <c r="AZ125" s="196"/>
      <c r="BA125" s="43"/>
      <c r="BB125" s="43"/>
      <c r="BC125" s="43"/>
      <c r="BD125" s="43"/>
      <c r="BE125" s="43"/>
      <c r="BF125" s="43"/>
      <c r="BG125" s="173">
        <f t="shared" si="224"/>
        <v>1025653462.2</v>
      </c>
      <c r="BH125" s="173">
        <f t="shared" si="224"/>
        <v>0</v>
      </c>
      <c r="BI125" s="173">
        <f t="shared" si="224"/>
        <v>0</v>
      </c>
    </row>
    <row r="126" spans="1:67" ht="25.5" customHeight="1" x14ac:dyDescent="0.2">
      <c r="A126" s="438"/>
      <c r="B126" s="441"/>
      <c r="C126" s="195">
        <v>26</v>
      </c>
      <c r="D126" s="167">
        <v>3302</v>
      </c>
      <c r="E126" s="224" t="s">
        <v>448</v>
      </c>
      <c r="F126" s="166"/>
      <c r="G126" s="167"/>
      <c r="H126" s="168"/>
      <c r="I126" s="166"/>
      <c r="J126" s="167"/>
      <c r="K126" s="167"/>
      <c r="L126" s="166"/>
      <c r="M126" s="169"/>
      <c r="N126" s="169"/>
      <c r="O126" s="167"/>
      <c r="P126" s="167"/>
      <c r="Q126" s="424"/>
      <c r="R126" s="167"/>
      <c r="S126" s="166"/>
      <c r="T126" s="171">
        <f t="shared" ref="T126:BG126" si="225">SUM(T127:T128)</f>
        <v>0</v>
      </c>
      <c r="U126" s="171">
        <f t="shared" si="225"/>
        <v>0</v>
      </c>
      <c r="V126" s="171">
        <f t="shared" si="225"/>
        <v>0</v>
      </c>
      <c r="W126" s="171">
        <f t="shared" si="225"/>
        <v>0</v>
      </c>
      <c r="X126" s="171">
        <f t="shared" si="225"/>
        <v>0</v>
      </c>
      <c r="Y126" s="171">
        <f t="shared" si="225"/>
        <v>0</v>
      </c>
      <c r="Z126" s="171">
        <f t="shared" si="225"/>
        <v>0</v>
      </c>
      <c r="AA126" s="171">
        <f t="shared" si="225"/>
        <v>0</v>
      </c>
      <c r="AB126" s="171">
        <f t="shared" si="225"/>
        <v>0</v>
      </c>
      <c r="AC126" s="171">
        <f t="shared" si="225"/>
        <v>0</v>
      </c>
      <c r="AD126" s="171">
        <f t="shared" si="225"/>
        <v>0</v>
      </c>
      <c r="AE126" s="171">
        <f t="shared" si="225"/>
        <v>0</v>
      </c>
      <c r="AF126" s="171">
        <f t="shared" si="225"/>
        <v>0</v>
      </c>
      <c r="AG126" s="171">
        <f t="shared" si="225"/>
        <v>0</v>
      </c>
      <c r="AH126" s="171">
        <f t="shared" si="225"/>
        <v>0</v>
      </c>
      <c r="AI126" s="171">
        <f t="shared" si="225"/>
        <v>0</v>
      </c>
      <c r="AJ126" s="171">
        <f t="shared" si="225"/>
        <v>0</v>
      </c>
      <c r="AK126" s="171">
        <f t="shared" si="225"/>
        <v>0</v>
      </c>
      <c r="AL126" s="171">
        <f t="shared" si="225"/>
        <v>0</v>
      </c>
      <c r="AM126" s="171">
        <f t="shared" si="225"/>
        <v>0</v>
      </c>
      <c r="AN126" s="171">
        <f t="shared" si="225"/>
        <v>0</v>
      </c>
      <c r="AO126" s="171">
        <f t="shared" si="225"/>
        <v>0</v>
      </c>
      <c r="AP126" s="171">
        <f t="shared" si="225"/>
        <v>0</v>
      </c>
      <c r="AQ126" s="171">
        <f t="shared" si="225"/>
        <v>0</v>
      </c>
      <c r="AR126" s="171">
        <f t="shared" si="225"/>
        <v>0</v>
      </c>
      <c r="AS126" s="171">
        <f t="shared" si="225"/>
        <v>0</v>
      </c>
      <c r="AT126" s="171">
        <f t="shared" si="225"/>
        <v>0</v>
      </c>
      <c r="AU126" s="171">
        <f t="shared" si="225"/>
        <v>0</v>
      </c>
      <c r="AV126" s="171">
        <f t="shared" si="225"/>
        <v>0</v>
      </c>
      <c r="AW126" s="171">
        <f t="shared" si="225"/>
        <v>0</v>
      </c>
      <c r="AX126" s="171">
        <f t="shared" si="225"/>
        <v>33800000</v>
      </c>
      <c r="AY126" s="171">
        <f t="shared" si="225"/>
        <v>33800000</v>
      </c>
      <c r="AZ126" s="171">
        <f t="shared" si="225"/>
        <v>13800000</v>
      </c>
      <c r="BA126" s="171">
        <f t="shared" si="225"/>
        <v>342754433.30000001</v>
      </c>
      <c r="BB126" s="171">
        <f t="shared" si="225"/>
        <v>342720000</v>
      </c>
      <c r="BC126" s="171">
        <f t="shared" si="225"/>
        <v>228480000</v>
      </c>
      <c r="BD126" s="171">
        <f t="shared" si="225"/>
        <v>0</v>
      </c>
      <c r="BE126" s="171">
        <f t="shared" si="225"/>
        <v>0</v>
      </c>
      <c r="BF126" s="171">
        <f t="shared" si="225"/>
        <v>0</v>
      </c>
      <c r="BG126" s="171">
        <f t="shared" si="225"/>
        <v>376554433.30000001</v>
      </c>
      <c r="BH126" s="171">
        <f t="shared" ref="BH126:BI126" si="226">SUM(BH127:BH128)</f>
        <v>376520000</v>
      </c>
      <c r="BI126" s="171">
        <f t="shared" si="226"/>
        <v>242280000</v>
      </c>
    </row>
    <row r="127" spans="1:67" ht="99" customHeight="1" x14ac:dyDescent="0.2">
      <c r="A127" s="438"/>
      <c r="B127" s="441"/>
      <c r="C127" s="373"/>
      <c r="D127" s="374"/>
      <c r="E127" s="364">
        <v>3302</v>
      </c>
      <c r="F127" s="356" t="s">
        <v>1514</v>
      </c>
      <c r="G127" s="226" t="s">
        <v>449</v>
      </c>
      <c r="H127" s="48">
        <v>3302042</v>
      </c>
      <c r="I127" s="355" t="s">
        <v>450</v>
      </c>
      <c r="J127" s="354" t="s">
        <v>451</v>
      </c>
      <c r="K127" s="354" t="s">
        <v>452</v>
      </c>
      <c r="L127" s="355" t="s">
        <v>453</v>
      </c>
      <c r="M127" s="354" t="s">
        <v>188</v>
      </c>
      <c r="N127" s="354">
        <v>48</v>
      </c>
      <c r="O127" s="354">
        <v>12</v>
      </c>
      <c r="P127" s="354">
        <v>6</v>
      </c>
      <c r="Q127" s="518" t="s">
        <v>217</v>
      </c>
      <c r="R127" s="517" t="s">
        <v>454</v>
      </c>
      <c r="S127" s="518" t="s">
        <v>455</v>
      </c>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9">
        <f>80000000-46200000</f>
        <v>33800000</v>
      </c>
      <c r="AY127" s="49">
        <v>33800000</v>
      </c>
      <c r="AZ127" s="49">
        <v>13800000</v>
      </c>
      <c r="BA127" s="43"/>
      <c r="BB127" s="43"/>
      <c r="BC127" s="43"/>
      <c r="BD127" s="385"/>
      <c r="BE127" s="385"/>
      <c r="BF127" s="385"/>
      <c r="BG127" s="173">
        <f>+T127+W127+Z127+AC127+AF127+AI127+AL127+AO127+AR127+AU127+AX127+BA127+BD127</f>
        <v>33800000</v>
      </c>
      <c r="BH127" s="173">
        <f t="shared" ref="BH127:BI128" si="227">+U127+X127+AA127+AD127+AG127+AJ127+AM127+AP127+AS127+AV127+AY127+BB127+BE127</f>
        <v>33800000</v>
      </c>
      <c r="BI127" s="173">
        <f t="shared" si="227"/>
        <v>13800000</v>
      </c>
    </row>
    <row r="128" spans="1:67" ht="100.5" customHeight="1" x14ac:dyDescent="0.2">
      <c r="A128" s="439"/>
      <c r="B128" s="442"/>
      <c r="C128" s="373"/>
      <c r="D128" s="374"/>
      <c r="E128" s="364">
        <v>3302</v>
      </c>
      <c r="F128" s="356" t="s">
        <v>1515</v>
      </c>
      <c r="G128" s="332" t="s">
        <v>456</v>
      </c>
      <c r="H128" s="48">
        <v>3302070</v>
      </c>
      <c r="I128" s="355" t="s">
        <v>457</v>
      </c>
      <c r="J128" s="298" t="s">
        <v>458</v>
      </c>
      <c r="K128" s="307" t="s">
        <v>459</v>
      </c>
      <c r="L128" s="304" t="s">
        <v>433</v>
      </c>
      <c r="M128" s="354" t="s">
        <v>98</v>
      </c>
      <c r="N128" s="354">
        <v>4</v>
      </c>
      <c r="O128" s="354">
        <v>4</v>
      </c>
      <c r="P128" s="354">
        <v>0</v>
      </c>
      <c r="Q128" s="518"/>
      <c r="R128" s="517"/>
      <c r="S128" s="518"/>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9"/>
      <c r="AY128" s="49"/>
      <c r="AZ128" s="49"/>
      <c r="BA128" s="209">
        <f>287355981.3+55398452</f>
        <v>342754433.30000001</v>
      </c>
      <c r="BB128" s="209">
        <v>342720000</v>
      </c>
      <c r="BC128" s="209">
        <v>228480000</v>
      </c>
      <c r="BD128" s="385"/>
      <c r="BE128" s="385"/>
      <c r="BF128" s="385"/>
      <c r="BG128" s="173">
        <f>+T128+W128+Z128+AC128+AF128+AI128+AL128+AO128+AR128+AU128+AX128+BA128+BD128</f>
        <v>342754433.30000001</v>
      </c>
      <c r="BH128" s="173">
        <f t="shared" si="227"/>
        <v>342720000</v>
      </c>
      <c r="BI128" s="173">
        <f t="shared" si="227"/>
        <v>228480000</v>
      </c>
    </row>
    <row r="129" spans="1:67" s="242" customFormat="1" ht="15.75" x14ac:dyDescent="0.2">
      <c r="A129" s="443"/>
      <c r="B129" s="444"/>
      <c r="C129" s="444"/>
      <c r="D129" s="445"/>
      <c r="E129" s="446"/>
      <c r="F129" s="446"/>
      <c r="G129" s="447"/>
      <c r="H129" s="447"/>
      <c r="I129" s="448"/>
      <c r="J129" s="449"/>
      <c r="K129" s="449"/>
      <c r="L129" s="448"/>
      <c r="M129" s="447"/>
      <c r="N129" s="447"/>
      <c r="O129" s="449"/>
      <c r="P129" s="449"/>
      <c r="Q129" s="447"/>
      <c r="R129" s="447"/>
      <c r="S129" s="448"/>
      <c r="T129" s="450"/>
      <c r="U129" s="450"/>
      <c r="V129" s="450"/>
      <c r="W129" s="450"/>
      <c r="X129" s="450"/>
      <c r="Y129" s="450"/>
      <c r="Z129" s="450"/>
      <c r="AA129" s="450"/>
      <c r="AB129" s="450"/>
      <c r="AC129" s="450"/>
      <c r="AD129" s="450"/>
      <c r="AE129" s="450"/>
      <c r="AF129" s="450"/>
      <c r="AG129" s="450"/>
      <c r="AH129" s="450"/>
      <c r="AI129" s="450"/>
      <c r="AJ129" s="450"/>
      <c r="AK129" s="450"/>
      <c r="AL129" s="450"/>
      <c r="AM129" s="450"/>
      <c r="AN129" s="450"/>
      <c r="AO129" s="450"/>
      <c r="AP129" s="450"/>
      <c r="AQ129" s="450"/>
      <c r="AR129" s="450"/>
      <c r="AS129" s="450"/>
      <c r="AT129" s="450"/>
      <c r="AU129" s="450"/>
      <c r="AV129" s="450"/>
      <c r="AW129" s="450"/>
      <c r="AX129" s="451"/>
      <c r="AY129" s="451"/>
      <c r="AZ129" s="451"/>
      <c r="BA129" s="450"/>
      <c r="BB129" s="450"/>
      <c r="BC129" s="450"/>
      <c r="BD129" s="450"/>
      <c r="BE129" s="450"/>
      <c r="BF129" s="450"/>
      <c r="BG129" s="451"/>
      <c r="BH129" s="451"/>
      <c r="BI129" s="451"/>
    </row>
    <row r="130" spans="1:67" ht="15.75" x14ac:dyDescent="0.2">
      <c r="A130" s="211" t="s">
        <v>460</v>
      </c>
      <c r="B130" s="211"/>
      <c r="C130" s="211"/>
      <c r="D130" s="212"/>
      <c r="E130" s="212"/>
      <c r="F130" s="213"/>
      <c r="G130" s="214"/>
      <c r="H130" s="156"/>
      <c r="I130" s="213"/>
      <c r="J130" s="214"/>
      <c r="K130" s="214"/>
      <c r="L130" s="213"/>
      <c r="M130" s="156"/>
      <c r="N130" s="156"/>
      <c r="O130" s="214"/>
      <c r="P130" s="214"/>
      <c r="Q130" s="425"/>
      <c r="R130" s="214"/>
      <c r="S130" s="213"/>
      <c r="T130" s="188">
        <f t="shared" ref="T130:BI130" si="228">T131</f>
        <v>0</v>
      </c>
      <c r="U130" s="188"/>
      <c r="V130" s="188"/>
      <c r="W130" s="188">
        <f t="shared" si="228"/>
        <v>0</v>
      </c>
      <c r="X130" s="188"/>
      <c r="Y130" s="188"/>
      <c r="Z130" s="188">
        <f t="shared" si="228"/>
        <v>0</v>
      </c>
      <c r="AA130" s="188"/>
      <c r="AB130" s="188"/>
      <c r="AC130" s="188">
        <f t="shared" si="228"/>
        <v>0</v>
      </c>
      <c r="AD130" s="188"/>
      <c r="AE130" s="188"/>
      <c r="AF130" s="188">
        <f t="shared" si="228"/>
        <v>0</v>
      </c>
      <c r="AG130" s="188"/>
      <c r="AH130" s="188"/>
      <c r="AI130" s="188">
        <f t="shared" si="228"/>
        <v>0</v>
      </c>
      <c r="AJ130" s="188"/>
      <c r="AK130" s="188"/>
      <c r="AL130" s="188">
        <f t="shared" si="228"/>
        <v>0</v>
      </c>
      <c r="AM130" s="188"/>
      <c r="AN130" s="188"/>
      <c r="AO130" s="188">
        <f t="shared" si="228"/>
        <v>0</v>
      </c>
      <c r="AP130" s="188"/>
      <c r="AQ130" s="188"/>
      <c r="AR130" s="188">
        <f t="shared" si="228"/>
        <v>0</v>
      </c>
      <c r="AS130" s="188"/>
      <c r="AT130" s="188"/>
      <c r="AU130" s="188">
        <f t="shared" si="228"/>
        <v>0</v>
      </c>
      <c r="AV130" s="188"/>
      <c r="AW130" s="188"/>
      <c r="AX130" s="188">
        <f t="shared" si="228"/>
        <v>2205292436</v>
      </c>
      <c r="AY130" s="188">
        <f t="shared" si="228"/>
        <v>1358006658</v>
      </c>
      <c r="AZ130" s="188">
        <f t="shared" si="228"/>
        <v>185853332</v>
      </c>
      <c r="BA130" s="188">
        <f t="shared" si="228"/>
        <v>516877904.85000002</v>
      </c>
      <c r="BB130" s="188">
        <f t="shared" si="228"/>
        <v>263943331</v>
      </c>
      <c r="BC130" s="188">
        <f t="shared" si="228"/>
        <v>234826666</v>
      </c>
      <c r="BD130" s="188">
        <f t="shared" si="228"/>
        <v>0</v>
      </c>
      <c r="BE130" s="188">
        <f t="shared" si="228"/>
        <v>0</v>
      </c>
      <c r="BF130" s="188">
        <f t="shared" si="228"/>
        <v>0</v>
      </c>
      <c r="BG130" s="188">
        <f t="shared" si="228"/>
        <v>2722170340.8499999</v>
      </c>
      <c r="BH130" s="188">
        <f t="shared" si="228"/>
        <v>1621949989</v>
      </c>
      <c r="BI130" s="188">
        <f t="shared" si="228"/>
        <v>420679998</v>
      </c>
      <c r="BJ130" s="487"/>
      <c r="BK130" s="487"/>
      <c r="BL130" s="487"/>
      <c r="BM130" s="487"/>
      <c r="BN130" s="487"/>
      <c r="BO130" s="487"/>
    </row>
    <row r="131" spans="1:67" ht="15.75" x14ac:dyDescent="0.2">
      <c r="A131" s="452"/>
      <c r="B131" s="159">
        <v>2</v>
      </c>
      <c r="C131" s="159" t="s">
        <v>2</v>
      </c>
      <c r="D131" s="160"/>
      <c r="E131" s="388"/>
      <c r="F131" s="161"/>
      <c r="G131" s="162"/>
      <c r="H131" s="163"/>
      <c r="I131" s="161"/>
      <c r="J131" s="162"/>
      <c r="K131" s="162"/>
      <c r="L131" s="161"/>
      <c r="M131" s="164"/>
      <c r="N131" s="164"/>
      <c r="O131" s="162"/>
      <c r="P131" s="162"/>
      <c r="Q131" s="426"/>
      <c r="R131" s="162"/>
      <c r="S131" s="161"/>
      <c r="T131" s="165">
        <f t="shared" ref="T131:BI131" si="229">T132+T141</f>
        <v>0</v>
      </c>
      <c r="U131" s="165"/>
      <c r="V131" s="165"/>
      <c r="W131" s="165">
        <f t="shared" si="229"/>
        <v>0</v>
      </c>
      <c r="X131" s="165"/>
      <c r="Y131" s="165"/>
      <c r="Z131" s="165">
        <f t="shared" si="229"/>
        <v>0</v>
      </c>
      <c r="AA131" s="165"/>
      <c r="AB131" s="165"/>
      <c r="AC131" s="165">
        <f t="shared" si="229"/>
        <v>0</v>
      </c>
      <c r="AD131" s="165"/>
      <c r="AE131" s="165"/>
      <c r="AF131" s="165">
        <f t="shared" si="229"/>
        <v>0</v>
      </c>
      <c r="AG131" s="165"/>
      <c r="AH131" s="165"/>
      <c r="AI131" s="165">
        <f t="shared" si="229"/>
        <v>0</v>
      </c>
      <c r="AJ131" s="165"/>
      <c r="AK131" s="165"/>
      <c r="AL131" s="165">
        <f t="shared" si="229"/>
        <v>0</v>
      </c>
      <c r="AM131" s="165"/>
      <c r="AN131" s="165"/>
      <c r="AO131" s="165">
        <f t="shared" si="229"/>
        <v>0</v>
      </c>
      <c r="AP131" s="165"/>
      <c r="AQ131" s="165"/>
      <c r="AR131" s="165">
        <f t="shared" si="229"/>
        <v>0</v>
      </c>
      <c r="AS131" s="165"/>
      <c r="AT131" s="165"/>
      <c r="AU131" s="165">
        <f t="shared" si="229"/>
        <v>0</v>
      </c>
      <c r="AV131" s="165"/>
      <c r="AW131" s="165"/>
      <c r="AX131" s="165">
        <f t="shared" si="229"/>
        <v>2205292436</v>
      </c>
      <c r="AY131" s="165">
        <f t="shared" si="229"/>
        <v>1358006658</v>
      </c>
      <c r="AZ131" s="165">
        <f t="shared" si="229"/>
        <v>185853332</v>
      </c>
      <c r="BA131" s="165">
        <f t="shared" si="229"/>
        <v>516877904.85000002</v>
      </c>
      <c r="BB131" s="165">
        <f t="shared" si="229"/>
        <v>263943331</v>
      </c>
      <c r="BC131" s="165">
        <f t="shared" si="229"/>
        <v>234826666</v>
      </c>
      <c r="BD131" s="165">
        <f t="shared" si="229"/>
        <v>0</v>
      </c>
      <c r="BE131" s="165">
        <f t="shared" si="229"/>
        <v>0</v>
      </c>
      <c r="BF131" s="165">
        <f t="shared" si="229"/>
        <v>0</v>
      </c>
      <c r="BG131" s="165">
        <f t="shared" si="229"/>
        <v>2722170340.8499999</v>
      </c>
      <c r="BH131" s="165">
        <f t="shared" si="229"/>
        <v>1621949989</v>
      </c>
      <c r="BI131" s="165">
        <f t="shared" si="229"/>
        <v>420679998</v>
      </c>
    </row>
    <row r="132" spans="1:67" ht="15.75" x14ac:dyDescent="0.2">
      <c r="A132" s="438"/>
      <c r="B132" s="540"/>
      <c r="C132" s="357">
        <v>27</v>
      </c>
      <c r="D132" s="170">
        <v>3502</v>
      </c>
      <c r="E132" s="357" t="s">
        <v>237</v>
      </c>
      <c r="F132" s="166"/>
      <c r="G132" s="167"/>
      <c r="H132" s="168"/>
      <c r="I132" s="166"/>
      <c r="J132" s="167"/>
      <c r="K132" s="167"/>
      <c r="L132" s="166"/>
      <c r="M132" s="169"/>
      <c r="N132" s="169"/>
      <c r="O132" s="167"/>
      <c r="P132" s="167"/>
      <c r="Q132" s="424"/>
      <c r="R132" s="167"/>
      <c r="S132" s="166"/>
      <c r="T132" s="171">
        <f t="shared" ref="T132:BI132" si="230">SUM(T133:T140)</f>
        <v>0</v>
      </c>
      <c r="U132" s="171"/>
      <c r="V132" s="171"/>
      <c r="W132" s="171">
        <f t="shared" si="230"/>
        <v>0</v>
      </c>
      <c r="X132" s="171"/>
      <c r="Y132" s="171"/>
      <c r="Z132" s="171">
        <f t="shared" si="230"/>
        <v>0</v>
      </c>
      <c r="AA132" s="171"/>
      <c r="AB132" s="171"/>
      <c r="AC132" s="171">
        <f t="shared" si="230"/>
        <v>0</v>
      </c>
      <c r="AD132" s="171"/>
      <c r="AE132" s="171"/>
      <c r="AF132" s="171">
        <f t="shared" si="230"/>
        <v>0</v>
      </c>
      <c r="AG132" s="171"/>
      <c r="AH132" s="171"/>
      <c r="AI132" s="171">
        <f t="shared" si="230"/>
        <v>0</v>
      </c>
      <c r="AJ132" s="171"/>
      <c r="AK132" s="171"/>
      <c r="AL132" s="171">
        <f t="shared" si="230"/>
        <v>0</v>
      </c>
      <c r="AM132" s="171"/>
      <c r="AN132" s="171"/>
      <c r="AO132" s="171">
        <f t="shared" si="230"/>
        <v>0</v>
      </c>
      <c r="AP132" s="171"/>
      <c r="AQ132" s="171"/>
      <c r="AR132" s="171">
        <f t="shared" si="230"/>
        <v>0</v>
      </c>
      <c r="AS132" s="171"/>
      <c r="AT132" s="171"/>
      <c r="AU132" s="171">
        <f t="shared" si="230"/>
        <v>0</v>
      </c>
      <c r="AV132" s="171"/>
      <c r="AW132" s="171"/>
      <c r="AX132" s="171">
        <f t="shared" si="230"/>
        <v>969607436</v>
      </c>
      <c r="AY132" s="171">
        <f t="shared" si="230"/>
        <v>290979993</v>
      </c>
      <c r="AZ132" s="171">
        <f t="shared" si="230"/>
        <v>151453332</v>
      </c>
      <c r="BA132" s="171">
        <f t="shared" si="230"/>
        <v>516877904.85000002</v>
      </c>
      <c r="BB132" s="171">
        <f t="shared" si="230"/>
        <v>263943331</v>
      </c>
      <c r="BC132" s="171">
        <f t="shared" si="230"/>
        <v>234826666</v>
      </c>
      <c r="BD132" s="171">
        <f t="shared" si="230"/>
        <v>0</v>
      </c>
      <c r="BE132" s="171">
        <f t="shared" si="230"/>
        <v>0</v>
      </c>
      <c r="BF132" s="171">
        <f t="shared" si="230"/>
        <v>0</v>
      </c>
      <c r="BG132" s="171">
        <f t="shared" si="230"/>
        <v>1486485340.8499999</v>
      </c>
      <c r="BH132" s="171">
        <f t="shared" si="230"/>
        <v>554923324</v>
      </c>
      <c r="BI132" s="171">
        <f t="shared" si="230"/>
        <v>386279998</v>
      </c>
    </row>
    <row r="133" spans="1:67" ht="56.25" customHeight="1" x14ac:dyDescent="0.2">
      <c r="A133" s="438"/>
      <c r="B133" s="540"/>
      <c r="C133" s="373"/>
      <c r="D133" s="374"/>
      <c r="E133" s="340">
        <v>3502</v>
      </c>
      <c r="F133" s="225" t="s">
        <v>1395</v>
      </c>
      <c r="G133" s="226" t="s">
        <v>461</v>
      </c>
      <c r="H133" s="340">
        <v>3502006</v>
      </c>
      <c r="I133" s="225" t="s">
        <v>462</v>
      </c>
      <c r="J133" s="226" t="s">
        <v>463</v>
      </c>
      <c r="K133" s="226" t="s">
        <v>464</v>
      </c>
      <c r="L133" s="225" t="s">
        <v>465</v>
      </c>
      <c r="M133" s="337" t="s">
        <v>188</v>
      </c>
      <c r="N133" s="226">
        <v>4</v>
      </c>
      <c r="O133" s="226">
        <v>1</v>
      </c>
      <c r="P133" s="226">
        <v>0.45</v>
      </c>
      <c r="Q133" s="541" t="s">
        <v>234</v>
      </c>
      <c r="R133" s="517" t="s">
        <v>466</v>
      </c>
      <c r="S133" s="518" t="s">
        <v>467</v>
      </c>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365">
        <f>20000000+10000000</f>
        <v>30000000</v>
      </c>
      <c r="AY133" s="365">
        <v>18666666</v>
      </c>
      <c r="AZ133" s="365"/>
      <c r="BA133" s="43"/>
      <c r="BB133" s="43"/>
      <c r="BC133" s="43"/>
      <c r="BD133" s="43"/>
      <c r="BE133" s="43"/>
      <c r="BF133" s="43"/>
      <c r="BG133" s="173">
        <f t="shared" ref="BG133:BI140" si="231">+T133+W133+Z133+AC133+AF133+AI133+AL133+AO133+AR133+AU133+AX133+BA133+BD133</f>
        <v>30000000</v>
      </c>
      <c r="BH133" s="173">
        <f t="shared" si="231"/>
        <v>18666666</v>
      </c>
      <c r="BI133" s="173">
        <f t="shared" si="231"/>
        <v>0</v>
      </c>
    </row>
    <row r="134" spans="1:67" ht="47.25" customHeight="1" x14ac:dyDescent="0.2">
      <c r="A134" s="438"/>
      <c r="B134" s="540"/>
      <c r="C134" s="373"/>
      <c r="D134" s="374"/>
      <c r="E134" s="340">
        <v>3502</v>
      </c>
      <c r="F134" s="225" t="s">
        <v>1395</v>
      </c>
      <c r="G134" s="226" t="s">
        <v>468</v>
      </c>
      <c r="H134" s="340">
        <v>3502007</v>
      </c>
      <c r="I134" s="225" t="s">
        <v>1442</v>
      </c>
      <c r="J134" s="226" t="s">
        <v>469</v>
      </c>
      <c r="K134" s="226" t="s">
        <v>470</v>
      </c>
      <c r="L134" s="225" t="s">
        <v>471</v>
      </c>
      <c r="M134" s="337" t="s">
        <v>98</v>
      </c>
      <c r="N134" s="226">
        <v>7</v>
      </c>
      <c r="O134" s="226">
        <v>7</v>
      </c>
      <c r="P134" s="226">
        <v>7</v>
      </c>
      <c r="Q134" s="541"/>
      <c r="R134" s="517"/>
      <c r="S134" s="518"/>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365">
        <f>30000000+15000000</f>
        <v>45000000</v>
      </c>
      <c r="AY134" s="365">
        <v>0</v>
      </c>
      <c r="AZ134" s="365">
        <v>0</v>
      </c>
      <c r="BA134" s="43"/>
      <c r="BB134" s="43"/>
      <c r="BC134" s="43"/>
      <c r="BD134" s="43"/>
      <c r="BE134" s="43"/>
      <c r="BF134" s="43"/>
      <c r="BG134" s="173">
        <f t="shared" si="231"/>
        <v>45000000</v>
      </c>
      <c r="BH134" s="173">
        <f t="shared" si="231"/>
        <v>0</v>
      </c>
      <c r="BI134" s="173">
        <f t="shared" si="231"/>
        <v>0</v>
      </c>
    </row>
    <row r="135" spans="1:67" ht="43.5" customHeight="1" x14ac:dyDescent="0.2">
      <c r="A135" s="438"/>
      <c r="B135" s="540"/>
      <c r="C135" s="523"/>
      <c r="D135" s="374"/>
      <c r="E135" s="226">
        <v>3502</v>
      </c>
      <c r="F135" s="225" t="s">
        <v>1395</v>
      </c>
      <c r="G135" s="226" t="s">
        <v>472</v>
      </c>
      <c r="H135" s="331">
        <v>3502022</v>
      </c>
      <c r="I135" s="225" t="s">
        <v>473</v>
      </c>
      <c r="J135" s="332" t="s">
        <v>474</v>
      </c>
      <c r="K135" s="341" t="s">
        <v>475</v>
      </c>
      <c r="L135" s="342" t="s">
        <v>476</v>
      </c>
      <c r="M135" s="332" t="s">
        <v>98</v>
      </c>
      <c r="N135" s="332">
        <v>14</v>
      </c>
      <c r="O135" s="332">
        <v>14</v>
      </c>
      <c r="P135" s="332">
        <v>15</v>
      </c>
      <c r="Q135" s="541" t="s">
        <v>234</v>
      </c>
      <c r="R135" s="517" t="s">
        <v>477</v>
      </c>
      <c r="S135" s="518" t="s">
        <v>478</v>
      </c>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365">
        <f>100000000+89600000-23586667</f>
        <v>166013333</v>
      </c>
      <c r="AY135" s="365">
        <v>63679999</v>
      </c>
      <c r="AZ135" s="365">
        <v>52013333</v>
      </c>
      <c r="BA135" s="43"/>
      <c r="BB135" s="43"/>
      <c r="BC135" s="43"/>
      <c r="BD135" s="43"/>
      <c r="BE135" s="43"/>
      <c r="BF135" s="43"/>
      <c r="BG135" s="173">
        <f t="shared" si="231"/>
        <v>166013333</v>
      </c>
      <c r="BH135" s="173">
        <f t="shared" si="231"/>
        <v>63679999</v>
      </c>
      <c r="BI135" s="173">
        <f t="shared" si="231"/>
        <v>52013333</v>
      </c>
    </row>
    <row r="136" spans="1:67" ht="39.75" customHeight="1" x14ac:dyDescent="0.2">
      <c r="A136" s="438"/>
      <c r="B136" s="540"/>
      <c r="C136" s="523"/>
      <c r="D136" s="374"/>
      <c r="E136" s="340">
        <v>3502</v>
      </c>
      <c r="F136" s="225" t="s">
        <v>1395</v>
      </c>
      <c r="G136" s="226" t="s">
        <v>479</v>
      </c>
      <c r="H136" s="331">
        <v>3502047</v>
      </c>
      <c r="I136" s="225" t="s">
        <v>480</v>
      </c>
      <c r="J136" s="332" t="s">
        <v>481</v>
      </c>
      <c r="K136" s="341" t="s">
        <v>482</v>
      </c>
      <c r="L136" s="342" t="s">
        <v>483</v>
      </c>
      <c r="M136" s="226" t="s">
        <v>188</v>
      </c>
      <c r="N136" s="226">
        <v>1</v>
      </c>
      <c r="O136" s="226">
        <v>0.3</v>
      </c>
      <c r="P136" s="226">
        <v>0.15</v>
      </c>
      <c r="Q136" s="541"/>
      <c r="R136" s="517"/>
      <c r="S136" s="518"/>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365">
        <f>20000000+23586667</f>
        <v>43586667</v>
      </c>
      <c r="AY136" s="365">
        <v>12500000</v>
      </c>
      <c r="AZ136" s="365"/>
      <c r="BA136" s="43"/>
      <c r="BB136" s="43"/>
      <c r="BC136" s="43"/>
      <c r="BD136" s="43"/>
      <c r="BE136" s="43"/>
      <c r="BF136" s="43"/>
      <c r="BG136" s="173">
        <f t="shared" si="231"/>
        <v>43586667</v>
      </c>
      <c r="BH136" s="173">
        <f t="shared" si="231"/>
        <v>12500000</v>
      </c>
      <c r="BI136" s="173">
        <f t="shared" si="231"/>
        <v>0</v>
      </c>
    </row>
    <row r="137" spans="1:67" ht="62.25" customHeight="1" x14ac:dyDescent="0.2">
      <c r="A137" s="438"/>
      <c r="B137" s="540"/>
      <c r="C137" s="523"/>
      <c r="D137" s="374"/>
      <c r="E137" s="340">
        <v>3502</v>
      </c>
      <c r="F137" s="225" t="s">
        <v>1443</v>
      </c>
      <c r="G137" s="226" t="s">
        <v>484</v>
      </c>
      <c r="H137" s="331">
        <v>3502039</v>
      </c>
      <c r="I137" s="225" t="s">
        <v>485</v>
      </c>
      <c r="J137" s="226" t="s">
        <v>486</v>
      </c>
      <c r="K137" s="226" t="s">
        <v>487</v>
      </c>
      <c r="L137" s="225" t="s">
        <v>300</v>
      </c>
      <c r="M137" s="226" t="s">
        <v>98</v>
      </c>
      <c r="N137" s="226">
        <v>12</v>
      </c>
      <c r="O137" s="226">
        <v>12</v>
      </c>
      <c r="P137" s="226">
        <v>12</v>
      </c>
      <c r="Q137" s="541" t="s">
        <v>234</v>
      </c>
      <c r="R137" s="517" t="s">
        <v>488</v>
      </c>
      <c r="S137" s="518" t="s">
        <v>1419</v>
      </c>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9">
        <f>434485000-14600000-236245001-43639999+93839999</f>
        <v>233839999</v>
      </c>
      <c r="AY137" s="49">
        <v>194133328</v>
      </c>
      <c r="AZ137" s="49">
        <v>99439999</v>
      </c>
      <c r="BA137" s="43"/>
      <c r="BB137" s="43"/>
      <c r="BC137" s="43"/>
      <c r="BD137" s="43"/>
      <c r="BE137" s="43"/>
      <c r="BF137" s="43"/>
      <c r="BG137" s="173">
        <f t="shared" si="231"/>
        <v>233839999</v>
      </c>
      <c r="BH137" s="173">
        <f t="shared" si="231"/>
        <v>194133328</v>
      </c>
      <c r="BI137" s="173">
        <f t="shared" si="231"/>
        <v>99439999</v>
      </c>
    </row>
    <row r="138" spans="1:67" ht="62.25" customHeight="1" x14ac:dyDescent="0.2">
      <c r="A138" s="438"/>
      <c r="B138" s="540"/>
      <c r="C138" s="523"/>
      <c r="D138" s="374"/>
      <c r="E138" s="226">
        <v>3502</v>
      </c>
      <c r="F138" s="225" t="s">
        <v>1443</v>
      </c>
      <c r="G138" s="226" t="s">
        <v>484</v>
      </c>
      <c r="H138" s="331">
        <v>3502039</v>
      </c>
      <c r="I138" s="225" t="s">
        <v>485</v>
      </c>
      <c r="J138" s="332" t="s">
        <v>490</v>
      </c>
      <c r="K138" s="341" t="s">
        <v>491</v>
      </c>
      <c r="L138" s="342" t="s">
        <v>492</v>
      </c>
      <c r="M138" s="226" t="s">
        <v>188</v>
      </c>
      <c r="N138" s="226">
        <v>6</v>
      </c>
      <c r="O138" s="226">
        <v>1</v>
      </c>
      <c r="P138" s="226">
        <v>0</v>
      </c>
      <c r="Q138" s="541"/>
      <c r="R138" s="517"/>
      <c r="S138" s="518"/>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9">
        <f>236245001-87757502-61320062</f>
        <v>87167437</v>
      </c>
      <c r="AY138" s="49"/>
      <c r="AZ138" s="49"/>
      <c r="BA138" s="43"/>
      <c r="BB138" s="43"/>
      <c r="BC138" s="43"/>
      <c r="BD138" s="43"/>
      <c r="BE138" s="43"/>
      <c r="BF138" s="43"/>
      <c r="BG138" s="173">
        <f t="shared" si="231"/>
        <v>87167437</v>
      </c>
      <c r="BH138" s="173">
        <f t="shared" si="231"/>
        <v>0</v>
      </c>
      <c r="BI138" s="173">
        <f t="shared" si="231"/>
        <v>0</v>
      </c>
    </row>
    <row r="139" spans="1:67" ht="56.25" customHeight="1" x14ac:dyDescent="0.2">
      <c r="A139" s="438"/>
      <c r="B139" s="540"/>
      <c r="C139" s="523"/>
      <c r="D139" s="374"/>
      <c r="E139" s="226">
        <v>3502</v>
      </c>
      <c r="F139" s="225" t="s">
        <v>1395</v>
      </c>
      <c r="G139" s="226" t="s">
        <v>479</v>
      </c>
      <c r="H139" s="331">
        <v>3502047</v>
      </c>
      <c r="I139" s="225" t="s">
        <v>480</v>
      </c>
      <c r="J139" s="226" t="s">
        <v>481</v>
      </c>
      <c r="K139" s="226" t="s">
        <v>482</v>
      </c>
      <c r="L139" s="225" t="s">
        <v>483</v>
      </c>
      <c r="M139" s="226" t="s">
        <v>188</v>
      </c>
      <c r="N139" s="226">
        <v>1</v>
      </c>
      <c r="O139" s="226">
        <v>0.3</v>
      </c>
      <c r="P139" s="226">
        <v>0.15</v>
      </c>
      <c r="Q139" s="541"/>
      <c r="R139" s="517"/>
      <c r="S139" s="518"/>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9">
        <f>36519937-32519937</f>
        <v>4000000</v>
      </c>
      <c r="AY139" s="49">
        <v>2000000</v>
      </c>
      <c r="AZ139" s="49"/>
      <c r="BA139" s="43"/>
      <c r="BB139" s="43"/>
      <c r="BC139" s="43"/>
      <c r="BD139" s="43"/>
      <c r="BE139" s="43"/>
      <c r="BF139" s="43"/>
      <c r="BG139" s="173">
        <f t="shared" si="231"/>
        <v>4000000</v>
      </c>
      <c r="BH139" s="173">
        <f t="shared" si="231"/>
        <v>2000000</v>
      </c>
      <c r="BI139" s="173">
        <f t="shared" si="231"/>
        <v>0</v>
      </c>
    </row>
    <row r="140" spans="1:67" s="210" customFormat="1" ht="90.75" customHeight="1" x14ac:dyDescent="0.25">
      <c r="A140" s="461"/>
      <c r="B140" s="540"/>
      <c r="C140" s="523"/>
      <c r="D140" s="374"/>
      <c r="E140" s="226">
        <v>3502</v>
      </c>
      <c r="F140" s="335" t="s">
        <v>1443</v>
      </c>
      <c r="G140" s="336" t="s">
        <v>493</v>
      </c>
      <c r="H140" s="331">
        <v>3502046</v>
      </c>
      <c r="I140" s="225" t="s">
        <v>494</v>
      </c>
      <c r="J140" s="226" t="s">
        <v>495</v>
      </c>
      <c r="K140" s="226" t="s">
        <v>496</v>
      </c>
      <c r="L140" s="225" t="s">
        <v>497</v>
      </c>
      <c r="M140" s="226" t="s">
        <v>188</v>
      </c>
      <c r="N140" s="226">
        <v>4</v>
      </c>
      <c r="O140" s="226">
        <v>1</v>
      </c>
      <c r="P140" s="226">
        <v>0.42</v>
      </c>
      <c r="Q140" s="335" t="s">
        <v>234</v>
      </c>
      <c r="R140" s="354" t="s">
        <v>498</v>
      </c>
      <c r="S140" s="355" t="s">
        <v>1444</v>
      </c>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9">
        <f>0+360000000</f>
        <v>360000000</v>
      </c>
      <c r="AY140" s="49"/>
      <c r="AZ140" s="49"/>
      <c r="BA140" s="61">
        <f>291845334+22109904.85+232026666-29104000</f>
        <v>516877904.85000002</v>
      </c>
      <c r="BB140" s="61">
        <v>263943331</v>
      </c>
      <c r="BC140" s="61">
        <v>234826666</v>
      </c>
      <c r="BD140" s="61"/>
      <c r="BE140" s="61"/>
      <c r="BF140" s="61"/>
      <c r="BG140" s="173">
        <f t="shared" si="231"/>
        <v>876877904.85000002</v>
      </c>
      <c r="BH140" s="173">
        <f t="shared" si="231"/>
        <v>263943331</v>
      </c>
      <c r="BI140" s="173">
        <f t="shared" si="231"/>
        <v>234826666</v>
      </c>
    </row>
    <row r="141" spans="1:67" ht="15.75" x14ac:dyDescent="0.2">
      <c r="A141" s="438"/>
      <c r="B141" s="540"/>
      <c r="C141" s="357">
        <v>28</v>
      </c>
      <c r="D141" s="170">
        <v>3602</v>
      </c>
      <c r="E141" s="357" t="s">
        <v>500</v>
      </c>
      <c r="F141" s="166"/>
      <c r="G141" s="167"/>
      <c r="H141" s="168"/>
      <c r="I141" s="166"/>
      <c r="J141" s="167"/>
      <c r="K141" s="167"/>
      <c r="L141" s="166"/>
      <c r="M141" s="169"/>
      <c r="N141" s="169"/>
      <c r="O141" s="167"/>
      <c r="P141" s="167"/>
      <c r="Q141" s="424"/>
      <c r="R141" s="167"/>
      <c r="S141" s="166"/>
      <c r="T141" s="171">
        <f t="shared" ref="T141:BF141" si="232">SUM(T142:T145)</f>
        <v>0</v>
      </c>
      <c r="U141" s="171"/>
      <c r="V141" s="171"/>
      <c r="W141" s="171">
        <f t="shared" si="232"/>
        <v>0</v>
      </c>
      <c r="X141" s="171"/>
      <c r="Y141" s="171"/>
      <c r="Z141" s="171">
        <f t="shared" si="232"/>
        <v>0</v>
      </c>
      <c r="AA141" s="171"/>
      <c r="AB141" s="171"/>
      <c r="AC141" s="171">
        <f t="shared" si="232"/>
        <v>0</v>
      </c>
      <c r="AD141" s="171"/>
      <c r="AE141" s="171"/>
      <c r="AF141" s="171">
        <f t="shared" si="232"/>
        <v>0</v>
      </c>
      <c r="AG141" s="171"/>
      <c r="AH141" s="171"/>
      <c r="AI141" s="171">
        <f t="shared" si="232"/>
        <v>0</v>
      </c>
      <c r="AJ141" s="171"/>
      <c r="AK141" s="171"/>
      <c r="AL141" s="171">
        <f t="shared" si="232"/>
        <v>0</v>
      </c>
      <c r="AM141" s="171"/>
      <c r="AN141" s="171"/>
      <c r="AO141" s="171">
        <f t="shared" si="232"/>
        <v>0</v>
      </c>
      <c r="AP141" s="171"/>
      <c r="AQ141" s="171"/>
      <c r="AR141" s="171">
        <f t="shared" si="232"/>
        <v>0</v>
      </c>
      <c r="AS141" s="171"/>
      <c r="AT141" s="171"/>
      <c r="AU141" s="171">
        <f t="shared" si="232"/>
        <v>0</v>
      </c>
      <c r="AV141" s="171"/>
      <c r="AW141" s="171"/>
      <c r="AX141" s="171">
        <f t="shared" si="232"/>
        <v>1235685000</v>
      </c>
      <c r="AY141" s="171">
        <f t="shared" si="232"/>
        <v>1067026665</v>
      </c>
      <c r="AZ141" s="171">
        <f t="shared" si="232"/>
        <v>34400000</v>
      </c>
      <c r="BA141" s="171">
        <f t="shared" si="232"/>
        <v>0</v>
      </c>
      <c r="BB141" s="171">
        <f t="shared" si="232"/>
        <v>0</v>
      </c>
      <c r="BC141" s="171">
        <f t="shared" si="232"/>
        <v>0</v>
      </c>
      <c r="BD141" s="171">
        <f t="shared" si="232"/>
        <v>0</v>
      </c>
      <c r="BE141" s="171">
        <f t="shared" si="232"/>
        <v>0</v>
      </c>
      <c r="BF141" s="171">
        <f t="shared" si="232"/>
        <v>0</v>
      </c>
      <c r="BG141" s="171">
        <f>SUM(BG142:BG145)</f>
        <v>1235685000</v>
      </c>
      <c r="BH141" s="171">
        <f t="shared" ref="BH141:BI141" si="233">SUM(BH142:BH145)</f>
        <v>1067026665</v>
      </c>
      <c r="BI141" s="171">
        <f t="shared" si="233"/>
        <v>34400000</v>
      </c>
    </row>
    <row r="142" spans="1:67" ht="99" customHeight="1" x14ac:dyDescent="0.2">
      <c r="A142" s="438"/>
      <c r="B142" s="540"/>
      <c r="C142" s="540"/>
      <c r="D142" s="374"/>
      <c r="E142" s="226">
        <v>3602</v>
      </c>
      <c r="F142" s="225" t="s">
        <v>1395</v>
      </c>
      <c r="G142" s="332" t="s">
        <v>501</v>
      </c>
      <c r="H142" s="226">
        <v>3602018</v>
      </c>
      <c r="I142" s="225" t="s">
        <v>502</v>
      </c>
      <c r="J142" s="332" t="s">
        <v>503</v>
      </c>
      <c r="K142" s="341" t="s">
        <v>1396</v>
      </c>
      <c r="L142" s="342" t="s">
        <v>504</v>
      </c>
      <c r="M142" s="332" t="s">
        <v>188</v>
      </c>
      <c r="N142" s="332">
        <v>14</v>
      </c>
      <c r="O142" s="332">
        <v>3</v>
      </c>
      <c r="P142" s="332">
        <v>0.15</v>
      </c>
      <c r="Q142" s="527" t="s">
        <v>234</v>
      </c>
      <c r="R142" s="517" t="s">
        <v>505</v>
      </c>
      <c r="S142" s="518" t="s">
        <v>506</v>
      </c>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9">
        <f>160285000+950000000</f>
        <v>1110285000</v>
      </c>
      <c r="AY142" s="49">
        <v>999667666</v>
      </c>
      <c r="AZ142" s="49">
        <v>19000000</v>
      </c>
      <c r="BA142" s="43"/>
      <c r="BB142" s="43"/>
      <c r="BC142" s="43"/>
      <c r="BD142" s="43"/>
      <c r="BE142" s="43"/>
      <c r="BF142" s="43"/>
      <c r="BG142" s="173">
        <f>+T142+W142+Z142+AC142+AF142+AI142+AL142+AO142+AR142+AU142+AX142+BA142+BD142</f>
        <v>1110285000</v>
      </c>
      <c r="BH142" s="173">
        <f t="shared" ref="BH142:BI145" si="234">+U142+X142+AA142+AD142+AG142+AJ142+AM142+AP142+AS142+AV142+AY142+BB142+BE142</f>
        <v>999667666</v>
      </c>
      <c r="BI142" s="173">
        <f t="shared" si="234"/>
        <v>19000000</v>
      </c>
    </row>
    <row r="143" spans="1:67" ht="51" customHeight="1" x14ac:dyDescent="0.2">
      <c r="A143" s="438"/>
      <c r="B143" s="540"/>
      <c r="C143" s="540"/>
      <c r="D143" s="374"/>
      <c r="E143" s="226">
        <v>3602</v>
      </c>
      <c r="F143" s="225" t="s">
        <v>1395</v>
      </c>
      <c r="G143" s="332" t="s">
        <v>507</v>
      </c>
      <c r="H143" s="340">
        <v>3602032</v>
      </c>
      <c r="I143" s="225" t="s">
        <v>508</v>
      </c>
      <c r="J143" s="332" t="s">
        <v>509</v>
      </c>
      <c r="K143" s="341" t="s">
        <v>1397</v>
      </c>
      <c r="L143" s="342" t="s">
        <v>510</v>
      </c>
      <c r="M143" s="332" t="s">
        <v>98</v>
      </c>
      <c r="N143" s="332">
        <v>14</v>
      </c>
      <c r="O143" s="332">
        <v>14</v>
      </c>
      <c r="P143" s="332">
        <v>10</v>
      </c>
      <c r="Q143" s="527"/>
      <c r="R143" s="517"/>
      <c r="S143" s="518"/>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9">
        <v>72000000</v>
      </c>
      <c r="AY143" s="49">
        <v>20918999</v>
      </c>
      <c r="AZ143" s="49"/>
      <c r="BA143" s="43"/>
      <c r="BB143" s="43"/>
      <c r="BC143" s="43"/>
      <c r="BD143" s="43"/>
      <c r="BE143" s="43"/>
      <c r="BF143" s="43"/>
      <c r="BG143" s="173">
        <f>+T143+W143+Z143+AC143+AF143+AI143+AL143+AO143+AR143+AU143+AX143+BA143+BD143</f>
        <v>72000000</v>
      </c>
      <c r="BH143" s="173">
        <f t="shared" si="234"/>
        <v>20918999</v>
      </c>
      <c r="BI143" s="173">
        <f t="shared" si="234"/>
        <v>0</v>
      </c>
    </row>
    <row r="144" spans="1:67" ht="51" customHeight="1" x14ac:dyDescent="0.2">
      <c r="A144" s="438"/>
      <c r="B144" s="540"/>
      <c r="C144" s="540"/>
      <c r="D144" s="374"/>
      <c r="E144" s="226">
        <v>3602</v>
      </c>
      <c r="F144" s="225" t="s">
        <v>1395</v>
      </c>
      <c r="G144" s="332" t="s">
        <v>511</v>
      </c>
      <c r="H144" s="340">
        <v>3602029</v>
      </c>
      <c r="I144" s="225" t="s">
        <v>1445</v>
      </c>
      <c r="J144" s="332" t="s">
        <v>512</v>
      </c>
      <c r="K144" s="341" t="s">
        <v>1398</v>
      </c>
      <c r="L144" s="342" t="s">
        <v>513</v>
      </c>
      <c r="M144" s="332" t="s">
        <v>188</v>
      </c>
      <c r="N144" s="332">
        <v>42</v>
      </c>
      <c r="O144" s="332">
        <v>5</v>
      </c>
      <c r="P144" s="332">
        <v>3</v>
      </c>
      <c r="Q144" s="527"/>
      <c r="R144" s="517"/>
      <c r="S144" s="518"/>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9">
        <v>34400000</v>
      </c>
      <c r="AY144" s="49">
        <v>34400000</v>
      </c>
      <c r="AZ144" s="49">
        <v>15400000</v>
      </c>
      <c r="BA144" s="43"/>
      <c r="BB144" s="43"/>
      <c r="BC144" s="43"/>
      <c r="BD144" s="43"/>
      <c r="BE144" s="43"/>
      <c r="BF144" s="43"/>
      <c r="BG144" s="173">
        <f>+T144+W144+Z144+AC144+AF144+AI144+AL144+AO144+AR144+AU144+AX144+BA144+BD144</f>
        <v>34400000</v>
      </c>
      <c r="BH144" s="173">
        <f t="shared" si="234"/>
        <v>34400000</v>
      </c>
      <c r="BI144" s="173">
        <f t="shared" si="234"/>
        <v>15400000</v>
      </c>
    </row>
    <row r="145" spans="1:67" ht="51" customHeight="1" x14ac:dyDescent="0.2">
      <c r="A145" s="439"/>
      <c r="B145" s="540"/>
      <c r="C145" s="540"/>
      <c r="D145" s="374"/>
      <c r="E145" s="226">
        <v>3602</v>
      </c>
      <c r="F145" s="225" t="s">
        <v>1395</v>
      </c>
      <c r="G145" s="332" t="s">
        <v>514</v>
      </c>
      <c r="H145" s="340">
        <v>3602030</v>
      </c>
      <c r="I145" s="225" t="s">
        <v>515</v>
      </c>
      <c r="J145" s="332" t="s">
        <v>516</v>
      </c>
      <c r="K145" s="341" t="s">
        <v>517</v>
      </c>
      <c r="L145" s="342" t="s">
        <v>518</v>
      </c>
      <c r="M145" s="337" t="s">
        <v>188</v>
      </c>
      <c r="N145" s="226">
        <v>12</v>
      </c>
      <c r="O145" s="226">
        <v>1</v>
      </c>
      <c r="P145" s="226">
        <v>0.15</v>
      </c>
      <c r="Q145" s="527"/>
      <c r="R145" s="517"/>
      <c r="S145" s="518"/>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9">
        <v>19000000</v>
      </c>
      <c r="AY145" s="49">
        <v>12040000</v>
      </c>
      <c r="AZ145" s="49"/>
      <c r="BA145" s="43"/>
      <c r="BB145" s="43"/>
      <c r="BC145" s="43"/>
      <c r="BD145" s="43"/>
      <c r="BE145" s="43"/>
      <c r="BF145" s="43"/>
      <c r="BG145" s="173">
        <f>+T145+W145+Z145+AC145+AF145+AI145+AL145+AO145+AR145+AU145+AX145+BA145+BD145</f>
        <v>19000000</v>
      </c>
      <c r="BH145" s="173">
        <f t="shared" si="234"/>
        <v>12040000</v>
      </c>
      <c r="BI145" s="173">
        <f t="shared" si="234"/>
        <v>0</v>
      </c>
    </row>
    <row r="146" spans="1:67" s="242" customFormat="1" ht="15.75" x14ac:dyDescent="0.2">
      <c r="A146" s="443"/>
      <c r="B146" s="444"/>
      <c r="C146" s="444"/>
      <c r="D146" s="445"/>
      <c r="E146" s="446"/>
      <c r="F146" s="446"/>
      <c r="G146" s="447"/>
      <c r="H146" s="447"/>
      <c r="I146" s="448"/>
      <c r="J146" s="449"/>
      <c r="K146" s="449"/>
      <c r="L146" s="448"/>
      <c r="M146" s="447"/>
      <c r="N146" s="447"/>
      <c r="O146" s="449"/>
      <c r="P146" s="449"/>
      <c r="Q146" s="447"/>
      <c r="R146" s="447"/>
      <c r="S146" s="448"/>
      <c r="T146" s="450"/>
      <c r="U146" s="450"/>
      <c r="V146" s="450"/>
      <c r="W146" s="450"/>
      <c r="X146" s="450"/>
      <c r="Y146" s="450"/>
      <c r="Z146" s="450"/>
      <c r="AA146" s="450"/>
      <c r="AB146" s="450"/>
      <c r="AC146" s="450"/>
      <c r="AD146" s="450"/>
      <c r="AE146" s="450"/>
      <c r="AF146" s="450"/>
      <c r="AG146" s="450"/>
      <c r="AH146" s="450"/>
      <c r="AI146" s="450"/>
      <c r="AJ146" s="450"/>
      <c r="AK146" s="450"/>
      <c r="AL146" s="450"/>
      <c r="AM146" s="450"/>
      <c r="AN146" s="450"/>
      <c r="AO146" s="450"/>
      <c r="AP146" s="450"/>
      <c r="AQ146" s="450"/>
      <c r="AR146" s="450"/>
      <c r="AS146" s="450"/>
      <c r="AT146" s="450"/>
      <c r="AU146" s="450"/>
      <c r="AV146" s="450"/>
      <c r="AW146" s="450"/>
      <c r="AX146" s="451"/>
      <c r="AY146" s="451"/>
      <c r="AZ146" s="451"/>
      <c r="BA146" s="450"/>
      <c r="BB146" s="450"/>
      <c r="BC146" s="450"/>
      <c r="BD146" s="450"/>
      <c r="BE146" s="450"/>
      <c r="BF146" s="450"/>
      <c r="BG146" s="451"/>
      <c r="BH146" s="451"/>
      <c r="BI146" s="451"/>
    </row>
    <row r="147" spans="1:67" ht="17.25" customHeight="1" x14ac:dyDescent="0.2">
      <c r="A147" s="211" t="s">
        <v>519</v>
      </c>
      <c r="B147" s="211"/>
      <c r="C147" s="211"/>
      <c r="D147" s="212"/>
      <c r="E147" s="212"/>
      <c r="F147" s="213"/>
      <c r="G147" s="214"/>
      <c r="H147" s="156"/>
      <c r="I147" s="213"/>
      <c r="J147" s="214"/>
      <c r="K147" s="214"/>
      <c r="L147" s="213"/>
      <c r="M147" s="156"/>
      <c r="N147" s="156"/>
      <c r="O147" s="214"/>
      <c r="P147" s="214"/>
      <c r="Q147" s="425"/>
      <c r="R147" s="214"/>
      <c r="S147" s="213"/>
      <c r="T147" s="188">
        <f>T148+T179</f>
        <v>0</v>
      </c>
      <c r="U147" s="188"/>
      <c r="V147" s="188"/>
      <c r="W147" s="188">
        <f>W148+W179</f>
        <v>0</v>
      </c>
      <c r="X147" s="188"/>
      <c r="Y147" s="188"/>
      <c r="Z147" s="188">
        <f>Z148+Z179</f>
        <v>0</v>
      </c>
      <c r="AA147" s="188"/>
      <c r="AB147" s="188"/>
      <c r="AC147" s="188">
        <f>AC148+AC179</f>
        <v>0</v>
      </c>
      <c r="AD147" s="188"/>
      <c r="AE147" s="188"/>
      <c r="AF147" s="188">
        <f>AF148+AF179</f>
        <v>0</v>
      </c>
      <c r="AG147" s="188"/>
      <c r="AH147" s="188"/>
      <c r="AI147" s="188">
        <f>AI148+AI179</f>
        <v>0</v>
      </c>
      <c r="AJ147" s="188"/>
      <c r="AK147" s="188"/>
      <c r="AL147" s="188">
        <f>AL148+AL179</f>
        <v>0</v>
      </c>
      <c r="AM147" s="188"/>
      <c r="AN147" s="188"/>
      <c r="AO147" s="188">
        <f>AO148+AO179</f>
        <v>0</v>
      </c>
      <c r="AP147" s="188"/>
      <c r="AQ147" s="188"/>
      <c r="AR147" s="188">
        <f>AR148+AR179</f>
        <v>0</v>
      </c>
      <c r="AS147" s="188"/>
      <c r="AT147" s="188"/>
      <c r="AU147" s="188">
        <f>AU148+AU179</f>
        <v>0</v>
      </c>
      <c r="AV147" s="188"/>
      <c r="AW147" s="188"/>
      <c r="AX147" s="188">
        <f t="shared" ref="AX147:BI147" si="235">AX148+AX179</f>
        <v>1618563166</v>
      </c>
      <c r="AY147" s="188">
        <f t="shared" si="235"/>
        <v>687857654</v>
      </c>
      <c r="AZ147" s="188">
        <f t="shared" si="235"/>
        <v>352216664</v>
      </c>
      <c r="BA147" s="188">
        <f t="shared" si="235"/>
        <v>0</v>
      </c>
      <c r="BB147" s="188">
        <f t="shared" si="235"/>
        <v>0</v>
      </c>
      <c r="BC147" s="188">
        <f t="shared" si="235"/>
        <v>0</v>
      </c>
      <c r="BD147" s="188">
        <f t="shared" si="235"/>
        <v>0</v>
      </c>
      <c r="BE147" s="188">
        <f t="shared" si="235"/>
        <v>0</v>
      </c>
      <c r="BF147" s="188">
        <f t="shared" si="235"/>
        <v>0</v>
      </c>
      <c r="BG147" s="188">
        <f t="shared" si="235"/>
        <v>1618563166</v>
      </c>
      <c r="BH147" s="188">
        <f t="shared" si="235"/>
        <v>687857654</v>
      </c>
      <c r="BI147" s="188">
        <f t="shared" si="235"/>
        <v>352216664</v>
      </c>
      <c r="BJ147" s="487"/>
      <c r="BK147" s="487"/>
      <c r="BL147" s="487"/>
      <c r="BM147" s="487"/>
      <c r="BN147" s="487"/>
      <c r="BO147" s="487"/>
    </row>
    <row r="148" spans="1:67" ht="17.25" customHeight="1" x14ac:dyDescent="0.2">
      <c r="A148" s="452"/>
      <c r="B148" s="259">
        <v>2</v>
      </c>
      <c r="C148" s="159" t="s">
        <v>2</v>
      </c>
      <c r="D148" s="160"/>
      <c r="E148" s="160"/>
      <c r="F148" s="161"/>
      <c r="G148" s="162"/>
      <c r="H148" s="163"/>
      <c r="I148" s="161"/>
      <c r="J148" s="162"/>
      <c r="K148" s="162"/>
      <c r="L148" s="161"/>
      <c r="M148" s="164"/>
      <c r="N148" s="164"/>
      <c r="O148" s="162"/>
      <c r="P148" s="162"/>
      <c r="Q148" s="426"/>
      <c r="R148" s="162"/>
      <c r="S148" s="161"/>
      <c r="T148" s="165">
        <f>+T149+T161+T163+T166+T168+T170+T173+T176</f>
        <v>0</v>
      </c>
      <c r="U148" s="165"/>
      <c r="V148" s="165"/>
      <c r="W148" s="165">
        <f>+W149+W161+W163+W166+W168+W170+W173+W176</f>
        <v>0</v>
      </c>
      <c r="X148" s="165"/>
      <c r="Y148" s="165"/>
      <c r="Z148" s="165">
        <f>+Z149+Z161+Z163+Z166+Z168+Z170+Z173+Z176</f>
        <v>0</v>
      </c>
      <c r="AA148" s="165"/>
      <c r="AB148" s="165"/>
      <c r="AC148" s="165">
        <f>+AC149+AC161+AC163+AC166+AC168+AC170+AC173+AC176</f>
        <v>0</v>
      </c>
      <c r="AD148" s="165"/>
      <c r="AE148" s="165"/>
      <c r="AF148" s="165">
        <f>+AF149+AF161+AF163+AF166+AF168+AF170+AF173+AF176</f>
        <v>0</v>
      </c>
      <c r="AG148" s="165"/>
      <c r="AH148" s="165"/>
      <c r="AI148" s="165">
        <f>+AI149+AI161+AI163+AI166+AI168+AI170+AI173+AI176</f>
        <v>0</v>
      </c>
      <c r="AJ148" s="165"/>
      <c r="AK148" s="165"/>
      <c r="AL148" s="165">
        <f>+AL149+AL161+AL163+AL166+AL168+AL170+AL173+AL176</f>
        <v>0</v>
      </c>
      <c r="AM148" s="165"/>
      <c r="AN148" s="165"/>
      <c r="AO148" s="165">
        <f>+AO149+AO161+AO163+AO166+AO168+AO170+AO173+AO176</f>
        <v>0</v>
      </c>
      <c r="AP148" s="165"/>
      <c r="AQ148" s="165"/>
      <c r="AR148" s="165">
        <f>+AR149+AR161+AR163+AR166+AR168+AR170+AR173+AR176</f>
        <v>0</v>
      </c>
      <c r="AS148" s="165"/>
      <c r="AT148" s="165"/>
      <c r="AU148" s="165">
        <f>+AU149+AU161+AU163+AU166+AU168+AU170+AU173+AU176</f>
        <v>0</v>
      </c>
      <c r="AV148" s="165"/>
      <c r="AW148" s="165"/>
      <c r="AX148" s="165">
        <f t="shared" ref="AX148:BI148" si="236">+AX149+AX161+AX163+AX166+AX168+AX170+AX173+AX176</f>
        <v>882513299</v>
      </c>
      <c r="AY148" s="165">
        <f t="shared" si="236"/>
        <v>433149992</v>
      </c>
      <c r="AZ148" s="165">
        <f t="shared" si="236"/>
        <v>250716665</v>
      </c>
      <c r="BA148" s="165">
        <f t="shared" si="236"/>
        <v>0</v>
      </c>
      <c r="BB148" s="165">
        <f t="shared" si="236"/>
        <v>0</v>
      </c>
      <c r="BC148" s="165">
        <f t="shared" si="236"/>
        <v>0</v>
      </c>
      <c r="BD148" s="165">
        <f t="shared" si="236"/>
        <v>0</v>
      </c>
      <c r="BE148" s="165">
        <f t="shared" si="236"/>
        <v>0</v>
      </c>
      <c r="BF148" s="165">
        <f t="shared" si="236"/>
        <v>0</v>
      </c>
      <c r="BG148" s="165">
        <f t="shared" si="236"/>
        <v>882513299</v>
      </c>
      <c r="BH148" s="165">
        <f t="shared" si="236"/>
        <v>433149992</v>
      </c>
      <c r="BI148" s="165">
        <f t="shared" si="236"/>
        <v>250716665</v>
      </c>
    </row>
    <row r="149" spans="1:67" ht="17.25" customHeight="1" x14ac:dyDescent="0.2">
      <c r="A149" s="438"/>
      <c r="B149" s="440"/>
      <c r="C149" s="195">
        <v>4</v>
      </c>
      <c r="D149" s="167">
        <v>1702</v>
      </c>
      <c r="E149" s="357" t="s">
        <v>520</v>
      </c>
      <c r="F149" s="166"/>
      <c r="G149" s="167"/>
      <c r="H149" s="168"/>
      <c r="I149" s="166"/>
      <c r="J149" s="167"/>
      <c r="K149" s="167"/>
      <c r="L149" s="166"/>
      <c r="M149" s="169"/>
      <c r="N149" s="169"/>
      <c r="O149" s="167"/>
      <c r="P149" s="167"/>
      <c r="Q149" s="424"/>
      <c r="R149" s="167"/>
      <c r="S149" s="166"/>
      <c r="T149" s="171">
        <f>SUM(T150:T160)</f>
        <v>0</v>
      </c>
      <c r="U149" s="171"/>
      <c r="V149" s="171"/>
      <c r="W149" s="171">
        <f>SUM(W150:W160)</f>
        <v>0</v>
      </c>
      <c r="X149" s="171"/>
      <c r="Y149" s="171"/>
      <c r="Z149" s="171">
        <f>SUM(Z150:Z160)</f>
        <v>0</v>
      </c>
      <c r="AA149" s="171"/>
      <c r="AB149" s="171"/>
      <c r="AC149" s="171">
        <f>SUM(AC150:AC160)</f>
        <v>0</v>
      </c>
      <c r="AD149" s="171"/>
      <c r="AE149" s="171"/>
      <c r="AF149" s="171">
        <f>SUM(AF150:AF160)</f>
        <v>0</v>
      </c>
      <c r="AG149" s="171"/>
      <c r="AH149" s="171"/>
      <c r="AI149" s="171">
        <f>SUM(AI150:AI160)</f>
        <v>0</v>
      </c>
      <c r="AJ149" s="171"/>
      <c r="AK149" s="171"/>
      <c r="AL149" s="171">
        <f>SUM(AL150:AL160)</f>
        <v>0</v>
      </c>
      <c r="AM149" s="171"/>
      <c r="AN149" s="171"/>
      <c r="AO149" s="171">
        <f>SUM(AO150:AO160)</f>
        <v>0</v>
      </c>
      <c r="AP149" s="171"/>
      <c r="AQ149" s="171"/>
      <c r="AR149" s="171">
        <f>SUM(AR150:AR160)</f>
        <v>0</v>
      </c>
      <c r="AS149" s="171"/>
      <c r="AT149" s="171"/>
      <c r="AU149" s="171">
        <f>SUM(AU150:AU160)</f>
        <v>0</v>
      </c>
      <c r="AV149" s="171"/>
      <c r="AW149" s="171"/>
      <c r="AX149" s="171">
        <f t="shared" ref="AX149:BI149" si="237">SUM(AX150:AX160)</f>
        <v>594194030</v>
      </c>
      <c r="AY149" s="171">
        <f t="shared" si="237"/>
        <v>315824996</v>
      </c>
      <c r="AZ149" s="171">
        <f t="shared" si="237"/>
        <v>237916665</v>
      </c>
      <c r="BA149" s="171">
        <f t="shared" si="237"/>
        <v>0</v>
      </c>
      <c r="BB149" s="171">
        <f t="shared" si="237"/>
        <v>0</v>
      </c>
      <c r="BC149" s="171">
        <f t="shared" si="237"/>
        <v>0</v>
      </c>
      <c r="BD149" s="171">
        <f t="shared" si="237"/>
        <v>0</v>
      </c>
      <c r="BE149" s="171">
        <f t="shared" si="237"/>
        <v>0</v>
      </c>
      <c r="BF149" s="171">
        <f t="shared" si="237"/>
        <v>0</v>
      </c>
      <c r="BG149" s="171">
        <f t="shared" si="237"/>
        <v>594194030</v>
      </c>
      <c r="BH149" s="171">
        <f t="shared" si="237"/>
        <v>315824996</v>
      </c>
      <c r="BI149" s="171">
        <f t="shared" si="237"/>
        <v>237916665</v>
      </c>
    </row>
    <row r="150" spans="1:67" ht="66" customHeight="1" x14ac:dyDescent="0.2">
      <c r="A150" s="438"/>
      <c r="B150" s="441"/>
      <c r="C150" s="373"/>
      <c r="D150" s="374"/>
      <c r="E150" s="354">
        <v>1702</v>
      </c>
      <c r="F150" s="355" t="s">
        <v>230</v>
      </c>
      <c r="G150" s="354" t="s">
        <v>521</v>
      </c>
      <c r="H150" s="199">
        <v>1702011</v>
      </c>
      <c r="I150" s="355" t="s">
        <v>522</v>
      </c>
      <c r="J150" s="354" t="s">
        <v>523</v>
      </c>
      <c r="K150" s="354" t="s">
        <v>524</v>
      </c>
      <c r="L150" s="355" t="s">
        <v>525</v>
      </c>
      <c r="M150" s="354" t="s">
        <v>98</v>
      </c>
      <c r="N150" s="354">
        <v>30</v>
      </c>
      <c r="O150" s="199">
        <v>30</v>
      </c>
      <c r="P150" s="331">
        <v>15</v>
      </c>
      <c r="Q150" s="518" t="s">
        <v>234</v>
      </c>
      <c r="R150" s="517" t="s">
        <v>526</v>
      </c>
      <c r="S150" s="518" t="s">
        <v>527</v>
      </c>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215">
        <f>195850000+64199999</f>
        <v>260049999</v>
      </c>
      <c r="AY150" s="215">
        <v>160049999</v>
      </c>
      <c r="AZ150" s="215">
        <v>160049999</v>
      </c>
      <c r="BA150" s="216"/>
      <c r="BB150" s="216"/>
      <c r="BC150" s="216"/>
      <c r="BD150" s="216"/>
      <c r="BE150" s="216"/>
      <c r="BF150" s="216"/>
      <c r="BG150" s="173">
        <f t="shared" ref="BG150:BG160" si="238">+T150+W150+Z150+AC150+AF150+AI150+AL150+AO150+AR150+AU150+AX150+BA150+BD150</f>
        <v>260049999</v>
      </c>
      <c r="BH150" s="173">
        <f t="shared" ref="BH150:BH160" si="239">+U150+X150+AA150+AD150+AG150+AJ150+AM150+AP150+AS150+AV150+AY150+BB150+BE150</f>
        <v>160049999</v>
      </c>
      <c r="BI150" s="173">
        <f t="shared" ref="BI150:BI160" si="240">+V150+Y150+AB150+AE150+AH150+AK150+AN150+AQ150+AT150+AW150+AZ150+BC150+BF150</f>
        <v>160049999</v>
      </c>
    </row>
    <row r="151" spans="1:67" ht="54.75" customHeight="1" x14ac:dyDescent="0.2">
      <c r="A151" s="438"/>
      <c r="B151" s="441"/>
      <c r="C151" s="373"/>
      <c r="D151" s="374"/>
      <c r="E151" s="354">
        <v>1702</v>
      </c>
      <c r="F151" s="355" t="s">
        <v>230</v>
      </c>
      <c r="G151" s="298" t="s">
        <v>528</v>
      </c>
      <c r="H151" s="199">
        <v>1702007</v>
      </c>
      <c r="I151" s="355" t="s">
        <v>529</v>
      </c>
      <c r="J151" s="298" t="s">
        <v>530</v>
      </c>
      <c r="K151" s="301" t="s">
        <v>531</v>
      </c>
      <c r="L151" s="304" t="s">
        <v>532</v>
      </c>
      <c r="M151" s="364" t="s">
        <v>188</v>
      </c>
      <c r="N151" s="364">
        <v>16</v>
      </c>
      <c r="O151" s="199">
        <v>5</v>
      </c>
      <c r="P151" s="331">
        <v>0</v>
      </c>
      <c r="Q151" s="518"/>
      <c r="R151" s="517"/>
      <c r="S151" s="518"/>
      <c r="T151" s="218"/>
      <c r="U151" s="218"/>
      <c r="V151" s="218"/>
      <c r="W151" s="218"/>
      <c r="X151" s="218"/>
      <c r="Y151" s="218"/>
      <c r="Z151" s="218"/>
      <c r="AA151" s="218"/>
      <c r="AB151" s="218"/>
      <c r="AC151" s="218"/>
      <c r="AD151" s="218"/>
      <c r="AE151" s="218"/>
      <c r="AF151" s="218"/>
      <c r="AG151" s="218"/>
      <c r="AH151" s="218"/>
      <c r="AI151" s="218"/>
      <c r="AJ151" s="218"/>
      <c r="AK151" s="218"/>
      <c r="AL151" s="218"/>
      <c r="AM151" s="218"/>
      <c r="AN151" s="218"/>
      <c r="AO151" s="218"/>
      <c r="AP151" s="218"/>
      <c r="AQ151" s="218"/>
      <c r="AR151" s="218"/>
      <c r="AS151" s="218"/>
      <c r="AT151" s="218"/>
      <c r="AU151" s="218"/>
      <c r="AV151" s="218"/>
      <c r="AW151" s="218"/>
      <c r="AX151" s="215">
        <f>130000000-86255969</f>
        <v>43744031</v>
      </c>
      <c r="AY151" s="215"/>
      <c r="AZ151" s="215"/>
      <c r="BA151" s="216"/>
      <c r="BB151" s="216"/>
      <c r="BC151" s="216"/>
      <c r="BD151" s="216"/>
      <c r="BE151" s="216"/>
      <c r="BF151" s="216"/>
      <c r="BG151" s="173">
        <f t="shared" si="238"/>
        <v>43744031</v>
      </c>
      <c r="BH151" s="173">
        <f t="shared" si="239"/>
        <v>0</v>
      </c>
      <c r="BI151" s="173">
        <f t="shared" si="240"/>
        <v>0</v>
      </c>
    </row>
    <row r="152" spans="1:67" ht="104.25" customHeight="1" x14ac:dyDescent="0.2">
      <c r="A152" s="438"/>
      <c r="B152" s="441"/>
      <c r="C152" s="373"/>
      <c r="D152" s="374"/>
      <c r="E152" s="354">
        <v>1702</v>
      </c>
      <c r="F152" s="355" t="s">
        <v>230</v>
      </c>
      <c r="G152" s="298" t="s">
        <v>533</v>
      </c>
      <c r="H152" s="53">
        <v>1702017</v>
      </c>
      <c r="I152" s="355" t="s">
        <v>534</v>
      </c>
      <c r="J152" s="298" t="s">
        <v>535</v>
      </c>
      <c r="K152" s="301" t="s">
        <v>536</v>
      </c>
      <c r="L152" s="304" t="s">
        <v>537</v>
      </c>
      <c r="M152" s="364" t="s">
        <v>188</v>
      </c>
      <c r="N152" s="364">
        <v>2500</v>
      </c>
      <c r="O152" s="354">
        <v>250</v>
      </c>
      <c r="P152" s="226">
        <v>240</v>
      </c>
      <c r="Q152" s="430" t="s">
        <v>538</v>
      </c>
      <c r="R152" s="354" t="s">
        <v>539</v>
      </c>
      <c r="S152" s="355" t="s">
        <v>540</v>
      </c>
      <c r="T152" s="218"/>
      <c r="U152" s="218"/>
      <c r="V152" s="218"/>
      <c r="W152" s="218"/>
      <c r="X152" s="218"/>
      <c r="Y152" s="218"/>
      <c r="Z152" s="218"/>
      <c r="AA152" s="218"/>
      <c r="AB152" s="218"/>
      <c r="AC152" s="218"/>
      <c r="AD152" s="218"/>
      <c r="AE152" s="218"/>
      <c r="AF152" s="218"/>
      <c r="AG152" s="218"/>
      <c r="AH152" s="218"/>
      <c r="AI152" s="218"/>
      <c r="AJ152" s="218"/>
      <c r="AK152" s="218"/>
      <c r="AL152" s="218"/>
      <c r="AM152" s="218"/>
      <c r="AN152" s="218"/>
      <c r="AO152" s="218"/>
      <c r="AP152" s="218"/>
      <c r="AQ152" s="218"/>
      <c r="AR152" s="218"/>
      <c r="AS152" s="218"/>
      <c r="AT152" s="218"/>
      <c r="AU152" s="218"/>
      <c r="AV152" s="218"/>
      <c r="AW152" s="218"/>
      <c r="AX152" s="215">
        <v>110000000</v>
      </c>
      <c r="AY152" s="215">
        <f>51466666+7166666</f>
        <v>58633332</v>
      </c>
      <c r="AZ152" s="215">
        <v>51466666</v>
      </c>
      <c r="BA152" s="216"/>
      <c r="BB152" s="216"/>
      <c r="BC152" s="216"/>
      <c r="BD152" s="216"/>
      <c r="BE152" s="216"/>
      <c r="BF152" s="216"/>
      <c r="BG152" s="173">
        <f t="shared" si="238"/>
        <v>110000000</v>
      </c>
      <c r="BH152" s="173">
        <f t="shared" si="239"/>
        <v>58633332</v>
      </c>
      <c r="BI152" s="173">
        <f t="shared" si="240"/>
        <v>51466666</v>
      </c>
    </row>
    <row r="153" spans="1:67" ht="56.25" customHeight="1" x14ac:dyDescent="0.2">
      <c r="A153" s="438"/>
      <c r="B153" s="441"/>
      <c r="C153" s="373"/>
      <c r="D153" s="374"/>
      <c r="E153" s="354">
        <v>1702</v>
      </c>
      <c r="F153" s="355" t="s">
        <v>230</v>
      </c>
      <c r="G153" s="354" t="s">
        <v>541</v>
      </c>
      <c r="H153" s="199">
        <v>1702038</v>
      </c>
      <c r="I153" s="355" t="s">
        <v>542</v>
      </c>
      <c r="J153" s="354" t="s">
        <v>543</v>
      </c>
      <c r="K153" s="354" t="s">
        <v>544</v>
      </c>
      <c r="L153" s="355" t="s">
        <v>545</v>
      </c>
      <c r="M153" s="298" t="s">
        <v>98</v>
      </c>
      <c r="N153" s="298">
        <v>30</v>
      </c>
      <c r="O153" s="298">
        <v>30</v>
      </c>
      <c r="P153" s="332">
        <v>15</v>
      </c>
      <c r="Q153" s="518" t="s">
        <v>234</v>
      </c>
      <c r="R153" s="517" t="s">
        <v>546</v>
      </c>
      <c r="S153" s="518" t="s">
        <v>547</v>
      </c>
      <c r="T153" s="218"/>
      <c r="U153" s="218"/>
      <c r="V153" s="218"/>
      <c r="W153" s="218"/>
      <c r="X153" s="218"/>
      <c r="Y153" s="218"/>
      <c r="Z153" s="218"/>
      <c r="AA153" s="218"/>
      <c r="AB153" s="218"/>
      <c r="AC153" s="218"/>
      <c r="AD153" s="218"/>
      <c r="AE153" s="218"/>
      <c r="AF153" s="218"/>
      <c r="AG153" s="218"/>
      <c r="AH153" s="218"/>
      <c r="AI153" s="218"/>
      <c r="AJ153" s="218"/>
      <c r="AK153" s="218"/>
      <c r="AL153" s="218"/>
      <c r="AM153" s="218"/>
      <c r="AN153" s="218"/>
      <c r="AO153" s="218"/>
      <c r="AP153" s="218"/>
      <c r="AQ153" s="218"/>
      <c r="AR153" s="218"/>
      <c r="AS153" s="218"/>
      <c r="AT153" s="218"/>
      <c r="AU153" s="218"/>
      <c r="AV153" s="218"/>
      <c r="AW153" s="218"/>
      <c r="AX153" s="215">
        <f>71204155-49804155</f>
        <v>21400000</v>
      </c>
      <c r="AY153" s="215">
        <v>11400000</v>
      </c>
      <c r="AZ153" s="215">
        <v>5000000</v>
      </c>
      <c r="BA153" s="216"/>
      <c r="BB153" s="216"/>
      <c r="BC153" s="216"/>
      <c r="BD153" s="216"/>
      <c r="BE153" s="216"/>
      <c r="BF153" s="216"/>
      <c r="BG153" s="173">
        <f t="shared" si="238"/>
        <v>21400000</v>
      </c>
      <c r="BH153" s="173">
        <f t="shared" si="239"/>
        <v>11400000</v>
      </c>
      <c r="BI153" s="173">
        <f t="shared" si="240"/>
        <v>5000000</v>
      </c>
    </row>
    <row r="154" spans="1:67" ht="63.75" customHeight="1" x14ac:dyDescent="0.2">
      <c r="A154" s="438"/>
      <c r="B154" s="441"/>
      <c r="C154" s="373"/>
      <c r="D154" s="374"/>
      <c r="E154" s="354">
        <v>1702</v>
      </c>
      <c r="F154" s="355" t="s">
        <v>230</v>
      </c>
      <c r="G154" s="354" t="s">
        <v>541</v>
      </c>
      <c r="H154" s="199">
        <v>1702038</v>
      </c>
      <c r="I154" s="355" t="s">
        <v>542</v>
      </c>
      <c r="J154" s="354" t="s">
        <v>548</v>
      </c>
      <c r="K154" s="354" t="s">
        <v>549</v>
      </c>
      <c r="L154" s="355" t="s">
        <v>550</v>
      </c>
      <c r="M154" s="298" t="s">
        <v>188</v>
      </c>
      <c r="N154" s="298">
        <v>300</v>
      </c>
      <c r="O154" s="298">
        <v>60</v>
      </c>
      <c r="P154" s="332">
        <v>40</v>
      </c>
      <c r="Q154" s="518"/>
      <c r="R154" s="517"/>
      <c r="S154" s="518"/>
      <c r="T154" s="218"/>
      <c r="U154" s="218"/>
      <c r="V154" s="218"/>
      <c r="W154" s="218"/>
      <c r="X154" s="218"/>
      <c r="Y154" s="218"/>
      <c r="Z154" s="218"/>
      <c r="AA154" s="218"/>
      <c r="AB154" s="218"/>
      <c r="AC154" s="218"/>
      <c r="AD154" s="218"/>
      <c r="AE154" s="218"/>
      <c r="AF154" s="218"/>
      <c r="AG154" s="218"/>
      <c r="AH154" s="218"/>
      <c r="AI154" s="218"/>
      <c r="AJ154" s="218"/>
      <c r="AK154" s="218"/>
      <c r="AL154" s="218"/>
      <c r="AM154" s="218"/>
      <c r="AN154" s="218"/>
      <c r="AO154" s="218"/>
      <c r="AP154" s="218"/>
      <c r="AQ154" s="218"/>
      <c r="AR154" s="218"/>
      <c r="AS154" s="218"/>
      <c r="AT154" s="218"/>
      <c r="AU154" s="218"/>
      <c r="AV154" s="218"/>
      <c r="AW154" s="218"/>
      <c r="AX154" s="215">
        <v>40000000</v>
      </c>
      <c r="AY154" s="215">
        <v>27600000</v>
      </c>
      <c r="AZ154" s="215">
        <v>21400000</v>
      </c>
      <c r="BA154" s="216"/>
      <c r="BB154" s="216"/>
      <c r="BC154" s="216"/>
      <c r="BD154" s="216"/>
      <c r="BE154" s="216"/>
      <c r="BF154" s="216"/>
      <c r="BG154" s="173">
        <f t="shared" si="238"/>
        <v>40000000</v>
      </c>
      <c r="BH154" s="173">
        <f t="shared" si="239"/>
        <v>27600000</v>
      </c>
      <c r="BI154" s="173">
        <f t="shared" si="240"/>
        <v>21400000</v>
      </c>
    </row>
    <row r="155" spans="1:67" ht="74.25" customHeight="1" x14ac:dyDescent="0.2">
      <c r="A155" s="438"/>
      <c r="B155" s="441"/>
      <c r="C155" s="373"/>
      <c r="D155" s="374"/>
      <c r="E155" s="354">
        <v>1702</v>
      </c>
      <c r="F155" s="355" t="s">
        <v>230</v>
      </c>
      <c r="G155" s="354" t="s">
        <v>551</v>
      </c>
      <c r="H155" s="199">
        <v>1702023</v>
      </c>
      <c r="I155" s="355" t="s">
        <v>480</v>
      </c>
      <c r="J155" s="354" t="s">
        <v>552</v>
      </c>
      <c r="K155" s="354" t="s">
        <v>553</v>
      </c>
      <c r="L155" s="355" t="s">
        <v>554</v>
      </c>
      <c r="M155" s="364" t="s">
        <v>98</v>
      </c>
      <c r="N155" s="364">
        <v>1</v>
      </c>
      <c r="O155" s="298">
        <v>1</v>
      </c>
      <c r="P155" s="332">
        <v>0.2</v>
      </c>
      <c r="Q155" s="518" t="s">
        <v>538</v>
      </c>
      <c r="R155" s="517" t="s">
        <v>1406</v>
      </c>
      <c r="S155" s="524" t="s">
        <v>555</v>
      </c>
      <c r="T155" s="218"/>
      <c r="U155" s="218"/>
      <c r="V155" s="218"/>
      <c r="W155" s="218"/>
      <c r="X155" s="218"/>
      <c r="Y155" s="218"/>
      <c r="Z155" s="218"/>
      <c r="AA155" s="218"/>
      <c r="AB155" s="218"/>
      <c r="AC155" s="218"/>
      <c r="AD155" s="218"/>
      <c r="AE155" s="218"/>
      <c r="AF155" s="218"/>
      <c r="AG155" s="218"/>
      <c r="AH155" s="218"/>
      <c r="AI155" s="218"/>
      <c r="AJ155" s="218"/>
      <c r="AK155" s="218"/>
      <c r="AL155" s="218"/>
      <c r="AM155" s="218"/>
      <c r="AN155" s="218"/>
      <c r="AO155" s="218"/>
      <c r="AP155" s="218"/>
      <c r="AQ155" s="218"/>
      <c r="AR155" s="218"/>
      <c r="AS155" s="218"/>
      <c r="AT155" s="218"/>
      <c r="AU155" s="218"/>
      <c r="AV155" s="218"/>
      <c r="AW155" s="218"/>
      <c r="AX155" s="215">
        <f>50000000-35000000</f>
        <v>15000000</v>
      </c>
      <c r="AY155" s="215">
        <v>8400000</v>
      </c>
      <c r="AZ155" s="215"/>
      <c r="BA155" s="216"/>
      <c r="BB155" s="216"/>
      <c r="BC155" s="216"/>
      <c r="BD155" s="216"/>
      <c r="BE155" s="216"/>
      <c r="BF155" s="216"/>
      <c r="BG155" s="173">
        <f t="shared" si="238"/>
        <v>15000000</v>
      </c>
      <c r="BH155" s="173">
        <v>8400000</v>
      </c>
      <c r="BI155" s="173">
        <f t="shared" si="240"/>
        <v>0</v>
      </c>
    </row>
    <row r="156" spans="1:67" ht="83.25" customHeight="1" x14ac:dyDescent="0.2">
      <c r="A156" s="438"/>
      <c r="B156" s="441"/>
      <c r="C156" s="373"/>
      <c r="D156" s="374"/>
      <c r="E156" s="354">
        <v>1702</v>
      </c>
      <c r="F156" s="355" t="s">
        <v>230</v>
      </c>
      <c r="G156" s="298" t="s">
        <v>556</v>
      </c>
      <c r="H156" s="199">
        <v>1702024</v>
      </c>
      <c r="I156" s="355" t="s">
        <v>557</v>
      </c>
      <c r="J156" s="298" t="s">
        <v>558</v>
      </c>
      <c r="K156" s="301" t="s">
        <v>559</v>
      </c>
      <c r="L156" s="304" t="s">
        <v>560</v>
      </c>
      <c r="M156" s="364" t="s">
        <v>98</v>
      </c>
      <c r="N156" s="364">
        <v>12</v>
      </c>
      <c r="O156" s="298">
        <v>12</v>
      </c>
      <c r="P156" s="332">
        <v>0</v>
      </c>
      <c r="Q156" s="518"/>
      <c r="R156" s="517"/>
      <c r="S156" s="524"/>
      <c r="T156" s="218"/>
      <c r="U156" s="218"/>
      <c r="V156" s="218"/>
      <c r="W156" s="218"/>
      <c r="X156" s="218"/>
      <c r="Y156" s="218"/>
      <c r="Z156" s="218"/>
      <c r="AA156" s="218"/>
      <c r="AB156" s="218"/>
      <c r="AC156" s="218"/>
      <c r="AD156" s="218"/>
      <c r="AE156" s="218"/>
      <c r="AF156" s="218"/>
      <c r="AG156" s="218"/>
      <c r="AH156" s="218"/>
      <c r="AI156" s="218"/>
      <c r="AJ156" s="218"/>
      <c r="AK156" s="218"/>
      <c r="AL156" s="218"/>
      <c r="AM156" s="218"/>
      <c r="AN156" s="218"/>
      <c r="AO156" s="218"/>
      <c r="AP156" s="218"/>
      <c r="AQ156" s="218"/>
      <c r="AR156" s="218"/>
      <c r="AS156" s="218"/>
      <c r="AT156" s="218"/>
      <c r="AU156" s="218"/>
      <c r="AV156" s="218"/>
      <c r="AW156" s="218"/>
      <c r="AX156" s="215">
        <f>50000000-15000000</f>
        <v>35000000</v>
      </c>
      <c r="AY156" s="215">
        <v>25200000</v>
      </c>
      <c r="AZ156" s="215"/>
      <c r="BA156" s="216"/>
      <c r="BB156" s="216"/>
      <c r="BC156" s="216"/>
      <c r="BD156" s="216"/>
      <c r="BE156" s="216"/>
      <c r="BF156" s="216"/>
      <c r="BG156" s="173">
        <f t="shared" si="238"/>
        <v>35000000</v>
      </c>
      <c r="BH156" s="173">
        <v>25200000</v>
      </c>
      <c r="BI156" s="173">
        <f t="shared" si="240"/>
        <v>0</v>
      </c>
    </row>
    <row r="157" spans="1:67" ht="52.5" customHeight="1" x14ac:dyDescent="0.2">
      <c r="A157" s="438"/>
      <c r="B157" s="441"/>
      <c r="C157" s="373"/>
      <c r="D157" s="374"/>
      <c r="E157" s="354">
        <v>1702</v>
      </c>
      <c r="F157" s="355" t="s">
        <v>230</v>
      </c>
      <c r="G157" s="298" t="s">
        <v>561</v>
      </c>
      <c r="H157" s="199">
        <v>1702014</v>
      </c>
      <c r="I157" s="355" t="s">
        <v>562</v>
      </c>
      <c r="J157" s="298" t="s">
        <v>563</v>
      </c>
      <c r="K157" s="301" t="s">
        <v>564</v>
      </c>
      <c r="L157" s="304" t="s">
        <v>565</v>
      </c>
      <c r="M157" s="298" t="s">
        <v>188</v>
      </c>
      <c r="N157" s="298">
        <v>100</v>
      </c>
      <c r="O157" s="298">
        <v>25</v>
      </c>
      <c r="P157" s="332">
        <v>0</v>
      </c>
      <c r="Q157" s="518" t="s">
        <v>538</v>
      </c>
      <c r="R157" s="517" t="s">
        <v>566</v>
      </c>
      <c r="S157" s="524" t="s">
        <v>567</v>
      </c>
      <c r="T157" s="218"/>
      <c r="U157" s="218"/>
      <c r="V157" s="218"/>
      <c r="W157" s="218"/>
      <c r="X157" s="218"/>
      <c r="Y157" s="218"/>
      <c r="Z157" s="218"/>
      <c r="AA157" s="218"/>
      <c r="AB157" s="218"/>
      <c r="AC157" s="218"/>
      <c r="AD157" s="218"/>
      <c r="AE157" s="218"/>
      <c r="AF157" s="218"/>
      <c r="AG157" s="218"/>
      <c r="AH157" s="218"/>
      <c r="AI157" s="218"/>
      <c r="AJ157" s="218"/>
      <c r="AK157" s="218"/>
      <c r="AL157" s="218"/>
      <c r="AM157" s="218"/>
      <c r="AN157" s="218"/>
      <c r="AO157" s="218"/>
      <c r="AP157" s="218"/>
      <c r="AQ157" s="218"/>
      <c r="AR157" s="218"/>
      <c r="AS157" s="218"/>
      <c r="AT157" s="218"/>
      <c r="AU157" s="218"/>
      <c r="AV157" s="218"/>
      <c r="AW157" s="218"/>
      <c r="AX157" s="215">
        <f>50000000-40000000</f>
        <v>10000000</v>
      </c>
      <c r="AY157" s="215"/>
      <c r="AZ157" s="215"/>
      <c r="BA157" s="216"/>
      <c r="BB157" s="216"/>
      <c r="BC157" s="216"/>
      <c r="BD157" s="216"/>
      <c r="BE157" s="216"/>
      <c r="BF157" s="216"/>
      <c r="BG157" s="173">
        <f t="shared" si="238"/>
        <v>10000000</v>
      </c>
      <c r="BH157" s="173">
        <f t="shared" si="239"/>
        <v>0</v>
      </c>
      <c r="BI157" s="173">
        <f t="shared" si="240"/>
        <v>0</v>
      </c>
    </row>
    <row r="158" spans="1:67" ht="74.25" customHeight="1" x14ac:dyDescent="0.2">
      <c r="A158" s="438"/>
      <c r="B158" s="441"/>
      <c r="C158" s="373"/>
      <c r="D158" s="374"/>
      <c r="E158" s="354">
        <v>1702</v>
      </c>
      <c r="F158" s="355" t="s">
        <v>230</v>
      </c>
      <c r="G158" s="298" t="s">
        <v>533</v>
      </c>
      <c r="H158" s="199">
        <v>1702017</v>
      </c>
      <c r="I158" s="355" t="s">
        <v>568</v>
      </c>
      <c r="J158" s="298" t="s">
        <v>535</v>
      </c>
      <c r="K158" s="301" t="s">
        <v>536</v>
      </c>
      <c r="L158" s="304" t="s">
        <v>537</v>
      </c>
      <c r="M158" s="364" t="s">
        <v>188</v>
      </c>
      <c r="N158" s="364">
        <v>2500</v>
      </c>
      <c r="O158" s="354">
        <v>250</v>
      </c>
      <c r="P158" s="226">
        <v>0</v>
      </c>
      <c r="Q158" s="518"/>
      <c r="R158" s="517"/>
      <c r="S158" s="524"/>
      <c r="T158" s="218"/>
      <c r="U158" s="218"/>
      <c r="V158" s="218"/>
      <c r="W158" s="218"/>
      <c r="X158" s="218"/>
      <c r="Y158" s="218"/>
      <c r="Z158" s="218"/>
      <c r="AA158" s="218"/>
      <c r="AB158" s="218"/>
      <c r="AC158" s="218"/>
      <c r="AD158" s="218"/>
      <c r="AE158" s="218"/>
      <c r="AF158" s="218"/>
      <c r="AG158" s="218"/>
      <c r="AH158" s="218"/>
      <c r="AI158" s="218"/>
      <c r="AJ158" s="218"/>
      <c r="AK158" s="218"/>
      <c r="AL158" s="218"/>
      <c r="AM158" s="218"/>
      <c r="AN158" s="218"/>
      <c r="AO158" s="218"/>
      <c r="AP158" s="218"/>
      <c r="AQ158" s="218"/>
      <c r="AR158" s="218"/>
      <c r="AS158" s="218"/>
      <c r="AT158" s="218"/>
      <c r="AU158" s="218"/>
      <c r="AV158" s="218"/>
      <c r="AW158" s="218"/>
      <c r="AX158" s="215">
        <v>19000000</v>
      </c>
      <c r="AY158" s="215"/>
      <c r="AZ158" s="215"/>
      <c r="BA158" s="216"/>
      <c r="BB158" s="216"/>
      <c r="BC158" s="216"/>
      <c r="BD158" s="216"/>
      <c r="BE158" s="216"/>
      <c r="BF158" s="216"/>
      <c r="BG158" s="173">
        <f t="shared" si="238"/>
        <v>19000000</v>
      </c>
      <c r="BH158" s="173">
        <f t="shared" si="239"/>
        <v>0</v>
      </c>
      <c r="BI158" s="173">
        <f t="shared" si="240"/>
        <v>0</v>
      </c>
    </row>
    <row r="159" spans="1:67" ht="61.5" customHeight="1" x14ac:dyDescent="0.2">
      <c r="A159" s="438"/>
      <c r="B159" s="441"/>
      <c r="C159" s="373"/>
      <c r="D159" s="374"/>
      <c r="E159" s="354">
        <v>1702</v>
      </c>
      <c r="F159" s="355" t="s">
        <v>230</v>
      </c>
      <c r="G159" s="298" t="s">
        <v>569</v>
      </c>
      <c r="H159" s="199">
        <v>1702021</v>
      </c>
      <c r="I159" s="355" t="s">
        <v>570</v>
      </c>
      <c r="J159" s="298" t="s">
        <v>571</v>
      </c>
      <c r="K159" s="301" t="s">
        <v>572</v>
      </c>
      <c r="L159" s="304" t="s">
        <v>573</v>
      </c>
      <c r="M159" s="298" t="s">
        <v>188</v>
      </c>
      <c r="N159" s="298">
        <v>500</v>
      </c>
      <c r="O159" s="298">
        <v>50</v>
      </c>
      <c r="P159" s="332">
        <v>0</v>
      </c>
      <c r="Q159" s="518"/>
      <c r="R159" s="517"/>
      <c r="S159" s="524"/>
      <c r="T159" s="218"/>
      <c r="U159" s="218"/>
      <c r="V159" s="218"/>
      <c r="W159" s="218"/>
      <c r="X159" s="218"/>
      <c r="Y159" s="218"/>
      <c r="Z159" s="218"/>
      <c r="AA159" s="218"/>
      <c r="AB159" s="218"/>
      <c r="AC159" s="218"/>
      <c r="AD159" s="218"/>
      <c r="AE159" s="218"/>
      <c r="AF159" s="218"/>
      <c r="AG159" s="218"/>
      <c r="AH159" s="218"/>
      <c r="AI159" s="218"/>
      <c r="AJ159" s="218"/>
      <c r="AK159" s="218"/>
      <c r="AL159" s="218"/>
      <c r="AM159" s="218"/>
      <c r="AN159" s="218"/>
      <c r="AO159" s="218"/>
      <c r="AP159" s="218"/>
      <c r="AQ159" s="218"/>
      <c r="AR159" s="218"/>
      <c r="AS159" s="218"/>
      <c r="AT159" s="218"/>
      <c r="AU159" s="218"/>
      <c r="AV159" s="218"/>
      <c r="AW159" s="218"/>
      <c r="AX159" s="215">
        <v>10000000</v>
      </c>
      <c r="AY159" s="215"/>
      <c r="AZ159" s="215"/>
      <c r="BA159" s="216"/>
      <c r="BB159" s="216"/>
      <c r="BC159" s="216"/>
      <c r="BD159" s="216"/>
      <c r="BE159" s="216"/>
      <c r="BF159" s="216"/>
      <c r="BG159" s="173">
        <f t="shared" si="238"/>
        <v>10000000</v>
      </c>
      <c r="BH159" s="173">
        <f t="shared" si="239"/>
        <v>0</v>
      </c>
      <c r="BI159" s="173">
        <f t="shared" si="240"/>
        <v>0</v>
      </c>
    </row>
    <row r="160" spans="1:67" ht="67.5" customHeight="1" x14ac:dyDescent="0.2">
      <c r="A160" s="438"/>
      <c r="B160" s="441"/>
      <c r="C160" s="373"/>
      <c r="D160" s="374"/>
      <c r="E160" s="354">
        <v>1702</v>
      </c>
      <c r="F160" s="355" t="s">
        <v>230</v>
      </c>
      <c r="G160" s="298" t="s">
        <v>574</v>
      </c>
      <c r="H160" s="199">
        <v>1702025</v>
      </c>
      <c r="I160" s="355" t="s">
        <v>575</v>
      </c>
      <c r="J160" s="298" t="s">
        <v>576</v>
      </c>
      <c r="K160" s="301" t="s">
        <v>577</v>
      </c>
      <c r="L160" s="304" t="s">
        <v>578</v>
      </c>
      <c r="M160" s="364" t="s">
        <v>188</v>
      </c>
      <c r="N160" s="364">
        <v>100</v>
      </c>
      <c r="O160" s="298">
        <v>25</v>
      </c>
      <c r="P160" s="332">
        <v>0</v>
      </c>
      <c r="Q160" s="421" t="s">
        <v>234</v>
      </c>
      <c r="R160" s="354" t="s">
        <v>579</v>
      </c>
      <c r="S160" s="356" t="s">
        <v>580</v>
      </c>
      <c r="T160" s="218"/>
      <c r="U160" s="218"/>
      <c r="V160" s="218"/>
      <c r="W160" s="218"/>
      <c r="X160" s="218"/>
      <c r="Y160" s="218"/>
      <c r="Z160" s="218"/>
      <c r="AA160" s="218"/>
      <c r="AB160" s="218"/>
      <c r="AC160" s="218"/>
      <c r="AD160" s="218"/>
      <c r="AE160" s="218"/>
      <c r="AF160" s="218"/>
      <c r="AG160" s="218"/>
      <c r="AH160" s="218"/>
      <c r="AI160" s="218"/>
      <c r="AJ160" s="218"/>
      <c r="AK160" s="218"/>
      <c r="AL160" s="218"/>
      <c r="AM160" s="218"/>
      <c r="AN160" s="218"/>
      <c r="AO160" s="218"/>
      <c r="AP160" s="218"/>
      <c r="AQ160" s="218"/>
      <c r="AR160" s="218"/>
      <c r="AS160" s="218"/>
      <c r="AT160" s="218"/>
      <c r="AU160" s="218"/>
      <c r="AV160" s="218"/>
      <c r="AW160" s="218"/>
      <c r="AX160" s="215">
        <v>30000000</v>
      </c>
      <c r="AY160" s="215">
        <v>24541665</v>
      </c>
      <c r="AZ160" s="215"/>
      <c r="BA160" s="216"/>
      <c r="BB160" s="216"/>
      <c r="BC160" s="216"/>
      <c r="BD160" s="216"/>
      <c r="BE160" s="216"/>
      <c r="BF160" s="216"/>
      <c r="BG160" s="173">
        <f t="shared" si="238"/>
        <v>30000000</v>
      </c>
      <c r="BH160" s="173">
        <f t="shared" si="239"/>
        <v>24541665</v>
      </c>
      <c r="BI160" s="173">
        <f t="shared" si="240"/>
        <v>0</v>
      </c>
    </row>
    <row r="161" spans="1:61" ht="23.25" customHeight="1" x14ac:dyDescent="0.2">
      <c r="A161" s="438"/>
      <c r="B161" s="441"/>
      <c r="C161" s="195">
        <v>5</v>
      </c>
      <c r="D161" s="167">
        <v>1703</v>
      </c>
      <c r="E161" s="357" t="s">
        <v>581</v>
      </c>
      <c r="F161" s="166"/>
      <c r="G161" s="167"/>
      <c r="H161" s="168"/>
      <c r="I161" s="166"/>
      <c r="J161" s="167"/>
      <c r="K161" s="167"/>
      <c r="L161" s="166"/>
      <c r="M161" s="169"/>
      <c r="N161" s="169"/>
      <c r="O161" s="167"/>
      <c r="P161" s="167"/>
      <c r="Q161" s="424"/>
      <c r="R161" s="167"/>
      <c r="S161" s="166"/>
      <c r="T161" s="171">
        <f>SUM(T162)</f>
        <v>0</v>
      </c>
      <c r="U161" s="171"/>
      <c r="V161" s="171"/>
      <c r="W161" s="171">
        <f t="shared" ref="W161:BI161" si="241">SUM(W162)</f>
        <v>0</v>
      </c>
      <c r="X161" s="171"/>
      <c r="Y161" s="171"/>
      <c r="Z161" s="171">
        <f t="shared" si="241"/>
        <v>0</v>
      </c>
      <c r="AA161" s="171"/>
      <c r="AB161" s="171"/>
      <c r="AC161" s="171">
        <f t="shared" si="241"/>
        <v>0</v>
      </c>
      <c r="AD161" s="171"/>
      <c r="AE161" s="171"/>
      <c r="AF161" s="171">
        <f t="shared" si="241"/>
        <v>0</v>
      </c>
      <c r="AG161" s="171"/>
      <c r="AH161" s="171"/>
      <c r="AI161" s="171">
        <f t="shared" si="241"/>
        <v>0</v>
      </c>
      <c r="AJ161" s="171"/>
      <c r="AK161" s="171"/>
      <c r="AL161" s="171">
        <f t="shared" si="241"/>
        <v>0</v>
      </c>
      <c r="AM161" s="171"/>
      <c r="AN161" s="171"/>
      <c r="AO161" s="171">
        <f t="shared" si="241"/>
        <v>0</v>
      </c>
      <c r="AP161" s="171"/>
      <c r="AQ161" s="171"/>
      <c r="AR161" s="171">
        <f t="shared" si="241"/>
        <v>0</v>
      </c>
      <c r="AS161" s="171"/>
      <c r="AT161" s="171"/>
      <c r="AU161" s="171">
        <f t="shared" si="241"/>
        <v>0</v>
      </c>
      <c r="AV161" s="171"/>
      <c r="AW161" s="171"/>
      <c r="AX161" s="171">
        <f t="shared" si="241"/>
        <v>40000000</v>
      </c>
      <c r="AY161" s="171">
        <f t="shared" si="241"/>
        <v>15424999</v>
      </c>
      <c r="AZ161" s="171">
        <f t="shared" si="241"/>
        <v>0</v>
      </c>
      <c r="BA161" s="171">
        <f t="shared" si="241"/>
        <v>0</v>
      </c>
      <c r="BB161" s="171"/>
      <c r="BC161" s="171"/>
      <c r="BD161" s="171">
        <f t="shared" si="241"/>
        <v>0</v>
      </c>
      <c r="BE161" s="171"/>
      <c r="BF161" s="171"/>
      <c r="BG161" s="171">
        <f t="shared" si="241"/>
        <v>40000000</v>
      </c>
      <c r="BH161" s="171">
        <f t="shared" si="241"/>
        <v>15424999</v>
      </c>
      <c r="BI161" s="171">
        <f t="shared" si="241"/>
        <v>0</v>
      </c>
    </row>
    <row r="162" spans="1:61" ht="126.75" customHeight="1" x14ac:dyDescent="0.2">
      <c r="A162" s="438"/>
      <c r="B162" s="441"/>
      <c r="C162" s="373"/>
      <c r="D162" s="374"/>
      <c r="E162" s="354">
        <v>1703</v>
      </c>
      <c r="F162" s="355" t="s">
        <v>230</v>
      </c>
      <c r="G162" s="298" t="s">
        <v>582</v>
      </c>
      <c r="H162" s="199">
        <v>1703013</v>
      </c>
      <c r="I162" s="355" t="s">
        <v>583</v>
      </c>
      <c r="J162" s="298" t="s">
        <v>584</v>
      </c>
      <c r="K162" s="301" t="s">
        <v>585</v>
      </c>
      <c r="L162" s="304" t="s">
        <v>586</v>
      </c>
      <c r="M162" s="364" t="s">
        <v>188</v>
      </c>
      <c r="N162" s="232">
        <v>300</v>
      </c>
      <c r="O162" s="303">
        <v>75</v>
      </c>
      <c r="P162" s="332">
        <v>0</v>
      </c>
      <c r="Q162" s="421" t="s">
        <v>538</v>
      </c>
      <c r="R162" s="354" t="s">
        <v>566</v>
      </c>
      <c r="S162" s="356" t="s">
        <v>4</v>
      </c>
      <c r="T162" s="218"/>
      <c r="U162" s="218"/>
      <c r="V162" s="218"/>
      <c r="W162" s="218"/>
      <c r="X162" s="218"/>
      <c r="Y162" s="218"/>
      <c r="Z162" s="218"/>
      <c r="AA162" s="218"/>
      <c r="AB162" s="218"/>
      <c r="AC162" s="218"/>
      <c r="AD162" s="218"/>
      <c r="AE162" s="218"/>
      <c r="AF162" s="218"/>
      <c r="AG162" s="218"/>
      <c r="AH162" s="218"/>
      <c r="AI162" s="218"/>
      <c r="AJ162" s="218"/>
      <c r="AK162" s="218"/>
      <c r="AL162" s="218"/>
      <c r="AM162" s="218"/>
      <c r="AN162" s="218"/>
      <c r="AO162" s="218"/>
      <c r="AP162" s="218"/>
      <c r="AQ162" s="218"/>
      <c r="AR162" s="218"/>
      <c r="AS162" s="218"/>
      <c r="AT162" s="218"/>
      <c r="AU162" s="218"/>
      <c r="AV162" s="218"/>
      <c r="AW162" s="218"/>
      <c r="AX162" s="215">
        <f>90000000-50000000</f>
        <v>40000000</v>
      </c>
      <c r="AY162" s="215">
        <v>15424999</v>
      </c>
      <c r="AZ162" s="215"/>
      <c r="BA162" s="216"/>
      <c r="BB162" s="216"/>
      <c r="BC162" s="216"/>
      <c r="BD162" s="216"/>
      <c r="BE162" s="216"/>
      <c r="BF162" s="216"/>
      <c r="BG162" s="173">
        <f>+T162+W162+Z162+AC162+AF162+AI162+AL162+AO162+AR162+AU162+AX162+BA162+BD162</f>
        <v>40000000</v>
      </c>
      <c r="BH162" s="173">
        <f t="shared" ref="BH162" si="242">+U162+X162+AA162+AD162+AG162+AJ162+AM162+AP162+AS162+AV162+AY162+BB162+BE162</f>
        <v>15424999</v>
      </c>
      <c r="BI162" s="173">
        <f t="shared" ref="BI162" si="243">+V162+Y162+AB162+AE162+AH162+AK162+AN162+AQ162+AT162+AW162+AZ162+BC162+BF162</f>
        <v>0</v>
      </c>
    </row>
    <row r="163" spans="1:61" ht="23.25" customHeight="1" x14ac:dyDescent="0.2">
      <c r="A163" s="438"/>
      <c r="B163" s="441"/>
      <c r="C163" s="195">
        <v>6</v>
      </c>
      <c r="D163" s="167">
        <v>1704</v>
      </c>
      <c r="E163" s="357" t="s">
        <v>587</v>
      </c>
      <c r="F163" s="219"/>
      <c r="G163" s="219"/>
      <c r="H163" s="219"/>
      <c r="I163" s="219"/>
      <c r="J163" s="219"/>
      <c r="K163" s="219"/>
      <c r="L163" s="219"/>
      <c r="M163" s="219"/>
      <c r="N163" s="219"/>
      <c r="O163" s="219"/>
      <c r="P163" s="219"/>
      <c r="Q163" s="166"/>
      <c r="R163" s="220"/>
      <c r="S163" s="221"/>
      <c r="T163" s="54">
        <f>SUM(T164:T165)</f>
        <v>0</v>
      </c>
      <c r="U163" s="54"/>
      <c r="V163" s="54"/>
      <c r="W163" s="54">
        <f t="shared" ref="W163:BI163" si="244">SUM(W164:W165)</f>
        <v>0</v>
      </c>
      <c r="X163" s="54"/>
      <c r="Y163" s="54"/>
      <c r="Z163" s="54">
        <f t="shared" si="244"/>
        <v>0</v>
      </c>
      <c r="AA163" s="54"/>
      <c r="AB163" s="54"/>
      <c r="AC163" s="54">
        <f t="shared" si="244"/>
        <v>0</v>
      </c>
      <c r="AD163" s="54"/>
      <c r="AE163" s="54"/>
      <c r="AF163" s="54">
        <f t="shared" si="244"/>
        <v>0</v>
      </c>
      <c r="AG163" s="54"/>
      <c r="AH163" s="54"/>
      <c r="AI163" s="54">
        <f t="shared" si="244"/>
        <v>0</v>
      </c>
      <c r="AJ163" s="54"/>
      <c r="AK163" s="54"/>
      <c r="AL163" s="54">
        <f t="shared" si="244"/>
        <v>0</v>
      </c>
      <c r="AM163" s="54"/>
      <c r="AN163" s="54"/>
      <c r="AO163" s="54">
        <f t="shared" si="244"/>
        <v>0</v>
      </c>
      <c r="AP163" s="54"/>
      <c r="AQ163" s="54"/>
      <c r="AR163" s="54">
        <f t="shared" si="244"/>
        <v>0</v>
      </c>
      <c r="AS163" s="54"/>
      <c r="AT163" s="54"/>
      <c r="AU163" s="54">
        <f t="shared" si="244"/>
        <v>0</v>
      </c>
      <c r="AV163" s="54"/>
      <c r="AW163" s="54"/>
      <c r="AX163" s="55">
        <f t="shared" si="244"/>
        <v>40000000</v>
      </c>
      <c r="AY163" s="55">
        <f t="shared" si="244"/>
        <v>24666666</v>
      </c>
      <c r="AZ163" s="55">
        <f t="shared" si="244"/>
        <v>0</v>
      </c>
      <c r="BA163" s="55">
        <f t="shared" si="244"/>
        <v>0</v>
      </c>
      <c r="BB163" s="55"/>
      <c r="BC163" s="55"/>
      <c r="BD163" s="55">
        <f t="shared" si="244"/>
        <v>0</v>
      </c>
      <c r="BE163" s="55"/>
      <c r="BF163" s="55"/>
      <c r="BG163" s="55">
        <f t="shared" si="244"/>
        <v>40000000</v>
      </c>
      <c r="BH163" s="55">
        <f t="shared" ref="BH163" si="245">SUM(BH164:BH165)</f>
        <v>24666666</v>
      </c>
      <c r="BI163" s="55">
        <f t="shared" si="244"/>
        <v>0</v>
      </c>
    </row>
    <row r="164" spans="1:61" ht="80.25" customHeight="1" x14ac:dyDescent="0.2">
      <c r="A164" s="438"/>
      <c r="B164" s="465"/>
      <c r="C164" s="381"/>
      <c r="D164" s="364"/>
      <c r="E164" s="364">
        <v>1704</v>
      </c>
      <c r="F164" s="355" t="s">
        <v>230</v>
      </c>
      <c r="G164" s="354" t="s">
        <v>588</v>
      </c>
      <c r="H164" s="199">
        <v>1704002</v>
      </c>
      <c r="I164" s="355" t="s">
        <v>589</v>
      </c>
      <c r="J164" s="354" t="s">
        <v>590</v>
      </c>
      <c r="K164" s="354" t="s">
        <v>591</v>
      </c>
      <c r="L164" s="355" t="s">
        <v>592</v>
      </c>
      <c r="M164" s="298" t="s">
        <v>98</v>
      </c>
      <c r="N164" s="298">
        <v>1</v>
      </c>
      <c r="O164" s="303">
        <v>1</v>
      </c>
      <c r="P164" s="332">
        <v>0</v>
      </c>
      <c r="Q164" s="518" t="s">
        <v>234</v>
      </c>
      <c r="R164" s="517" t="s">
        <v>593</v>
      </c>
      <c r="S164" s="518" t="s">
        <v>594</v>
      </c>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c r="AW164" s="181"/>
      <c r="AX164" s="216">
        <f>50000000-40364849</f>
        <v>9635151</v>
      </c>
      <c r="AY164" s="216">
        <v>9333333</v>
      </c>
      <c r="AZ164" s="216"/>
      <c r="BA164" s="216"/>
      <c r="BB164" s="216"/>
      <c r="BC164" s="216"/>
      <c r="BD164" s="216"/>
      <c r="BE164" s="216"/>
      <c r="BF164" s="216"/>
      <c r="BG164" s="173">
        <f t="shared" ref="BG164:BG165" si="246">+T164+W164+Z164+AC164+AF164+AI164+AL164+AO164+AR164+AU164+AX164+BA164+BD164</f>
        <v>9635151</v>
      </c>
      <c r="BH164" s="173">
        <f t="shared" ref="BH164:BH165" si="247">+U164+X164+AA164+AD164+AG164+AJ164+AM164+AP164+AS164+AV164+AY164+BB164+BE164</f>
        <v>9333333</v>
      </c>
      <c r="BI164" s="173">
        <f t="shared" ref="BI164:BI165" si="248">+V164+Y164+AB164+AE164+AH164+AK164+AN164+AQ164+AT164+AW164+AZ164+BC164+BF164</f>
        <v>0</v>
      </c>
    </row>
    <row r="165" spans="1:61" ht="57.75" customHeight="1" x14ac:dyDescent="0.2">
      <c r="A165" s="438"/>
      <c r="B165" s="465"/>
      <c r="C165" s="381"/>
      <c r="D165" s="364"/>
      <c r="E165" s="364">
        <v>17041</v>
      </c>
      <c r="F165" s="355" t="s">
        <v>230</v>
      </c>
      <c r="G165" s="354" t="s">
        <v>595</v>
      </c>
      <c r="H165" s="199">
        <v>1704017</v>
      </c>
      <c r="I165" s="355" t="s">
        <v>596</v>
      </c>
      <c r="J165" s="354" t="s">
        <v>597</v>
      </c>
      <c r="K165" s="354" t="s">
        <v>598</v>
      </c>
      <c r="L165" s="355" t="s">
        <v>599</v>
      </c>
      <c r="M165" s="298" t="s">
        <v>188</v>
      </c>
      <c r="N165" s="298">
        <v>500</v>
      </c>
      <c r="O165" s="298">
        <v>50</v>
      </c>
      <c r="P165" s="332">
        <v>0</v>
      </c>
      <c r="Q165" s="518"/>
      <c r="R165" s="517"/>
      <c r="S165" s="518"/>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c r="AW165" s="181"/>
      <c r="AX165" s="216">
        <v>30364849</v>
      </c>
      <c r="AY165" s="216">
        <v>15333333</v>
      </c>
      <c r="AZ165" s="216"/>
      <c r="BA165" s="216"/>
      <c r="BB165" s="216"/>
      <c r="BC165" s="216"/>
      <c r="BD165" s="216"/>
      <c r="BE165" s="216"/>
      <c r="BF165" s="216"/>
      <c r="BG165" s="173">
        <f t="shared" si="246"/>
        <v>30364849</v>
      </c>
      <c r="BH165" s="173">
        <f t="shared" si="247"/>
        <v>15333333</v>
      </c>
      <c r="BI165" s="173">
        <f t="shared" si="248"/>
        <v>0</v>
      </c>
    </row>
    <row r="166" spans="1:61" ht="24" customHeight="1" x14ac:dyDescent="0.2">
      <c r="A166" s="438"/>
      <c r="B166" s="441"/>
      <c r="C166" s="195">
        <v>7</v>
      </c>
      <c r="D166" s="167">
        <v>1706</v>
      </c>
      <c r="E166" s="357" t="s">
        <v>600</v>
      </c>
      <c r="F166" s="166"/>
      <c r="G166" s="167"/>
      <c r="H166" s="168"/>
      <c r="I166" s="166"/>
      <c r="J166" s="167"/>
      <c r="K166" s="167"/>
      <c r="L166" s="166"/>
      <c r="M166" s="169"/>
      <c r="N166" s="169"/>
      <c r="O166" s="167"/>
      <c r="P166" s="167"/>
      <c r="Q166" s="424"/>
      <c r="R166" s="167"/>
      <c r="S166" s="166"/>
      <c r="T166" s="171">
        <f>SUM(T167)</f>
        <v>0</v>
      </c>
      <c r="U166" s="171"/>
      <c r="V166" s="171"/>
      <c r="W166" s="171">
        <f t="shared" ref="W166:BI166" si="249">SUM(W167)</f>
        <v>0</v>
      </c>
      <c r="X166" s="171"/>
      <c r="Y166" s="171"/>
      <c r="Z166" s="171">
        <f t="shared" si="249"/>
        <v>0</v>
      </c>
      <c r="AA166" s="171"/>
      <c r="AB166" s="171"/>
      <c r="AC166" s="171">
        <f t="shared" si="249"/>
        <v>0</v>
      </c>
      <c r="AD166" s="171"/>
      <c r="AE166" s="171"/>
      <c r="AF166" s="171">
        <f t="shared" si="249"/>
        <v>0</v>
      </c>
      <c r="AG166" s="171"/>
      <c r="AH166" s="171"/>
      <c r="AI166" s="171">
        <f t="shared" si="249"/>
        <v>0</v>
      </c>
      <c r="AJ166" s="171"/>
      <c r="AK166" s="171"/>
      <c r="AL166" s="171">
        <f t="shared" si="249"/>
        <v>0</v>
      </c>
      <c r="AM166" s="171"/>
      <c r="AN166" s="171"/>
      <c r="AO166" s="171">
        <f t="shared" si="249"/>
        <v>0</v>
      </c>
      <c r="AP166" s="171"/>
      <c r="AQ166" s="171"/>
      <c r="AR166" s="171">
        <f t="shared" si="249"/>
        <v>0</v>
      </c>
      <c r="AS166" s="171"/>
      <c r="AT166" s="171"/>
      <c r="AU166" s="171">
        <f t="shared" si="249"/>
        <v>0</v>
      </c>
      <c r="AV166" s="171"/>
      <c r="AW166" s="171"/>
      <c r="AX166" s="171">
        <f t="shared" si="249"/>
        <v>12800000</v>
      </c>
      <c r="AY166" s="171">
        <f t="shared" si="249"/>
        <v>5000000</v>
      </c>
      <c r="AZ166" s="171">
        <f t="shared" si="249"/>
        <v>5000000</v>
      </c>
      <c r="BA166" s="171">
        <f t="shared" si="249"/>
        <v>0</v>
      </c>
      <c r="BB166" s="171"/>
      <c r="BC166" s="171"/>
      <c r="BD166" s="171">
        <f t="shared" si="249"/>
        <v>0</v>
      </c>
      <c r="BE166" s="171"/>
      <c r="BF166" s="171"/>
      <c r="BG166" s="171">
        <f t="shared" si="249"/>
        <v>12800000</v>
      </c>
      <c r="BH166" s="171">
        <f t="shared" si="249"/>
        <v>5000000</v>
      </c>
      <c r="BI166" s="171">
        <f t="shared" si="249"/>
        <v>5000000</v>
      </c>
    </row>
    <row r="167" spans="1:61" ht="72.75" customHeight="1" x14ac:dyDescent="0.2">
      <c r="A167" s="438"/>
      <c r="B167" s="441"/>
      <c r="C167" s="373"/>
      <c r="D167" s="374"/>
      <c r="E167" s="364">
        <v>1706</v>
      </c>
      <c r="F167" s="355" t="s">
        <v>230</v>
      </c>
      <c r="G167" s="354" t="s">
        <v>601</v>
      </c>
      <c r="H167" s="199">
        <v>1706004</v>
      </c>
      <c r="I167" s="355" t="s">
        <v>602</v>
      </c>
      <c r="J167" s="354" t="s">
        <v>603</v>
      </c>
      <c r="K167" s="354" t="s">
        <v>604</v>
      </c>
      <c r="L167" s="355" t="s">
        <v>605</v>
      </c>
      <c r="M167" s="298" t="s">
        <v>98</v>
      </c>
      <c r="N167" s="298">
        <v>10</v>
      </c>
      <c r="O167" s="298">
        <v>10</v>
      </c>
      <c r="P167" s="332">
        <v>0</v>
      </c>
      <c r="Q167" s="421" t="s">
        <v>234</v>
      </c>
      <c r="R167" s="354" t="s">
        <v>546</v>
      </c>
      <c r="S167" s="355" t="s">
        <v>547</v>
      </c>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216">
        <f>12800000</f>
        <v>12800000</v>
      </c>
      <c r="AY167" s="216">
        <v>5000000</v>
      </c>
      <c r="AZ167" s="216">
        <v>5000000</v>
      </c>
      <c r="BA167" s="216"/>
      <c r="BB167" s="216"/>
      <c r="BC167" s="216"/>
      <c r="BD167" s="216"/>
      <c r="BE167" s="216"/>
      <c r="BF167" s="216"/>
      <c r="BG167" s="173">
        <f>+T167+W167+Z167+AC167+AF167+AI167+AL167+AO167+AR167+AU167+AX167+BA167+BD167</f>
        <v>12800000</v>
      </c>
      <c r="BH167" s="173">
        <f t="shared" ref="BH167" si="250">+U167+X167+AA167+AD167+AG167+AJ167+AM167+AP167+AS167+AV167+AY167+BB167+BE167</f>
        <v>5000000</v>
      </c>
      <c r="BI167" s="173">
        <f t="shared" ref="BI167" si="251">+V167+Y167+AB167+AE167+AH167+AK167+AN167+AQ167+AT167+AW167+AZ167+BC167+BF167</f>
        <v>5000000</v>
      </c>
    </row>
    <row r="168" spans="1:61" ht="25.5" customHeight="1" x14ac:dyDescent="0.2">
      <c r="A168" s="438"/>
      <c r="B168" s="441"/>
      <c r="C168" s="195">
        <v>8</v>
      </c>
      <c r="D168" s="167">
        <v>1707</v>
      </c>
      <c r="E168" s="357" t="s">
        <v>606</v>
      </c>
      <c r="F168" s="166"/>
      <c r="G168" s="167"/>
      <c r="H168" s="168"/>
      <c r="I168" s="166"/>
      <c r="J168" s="167"/>
      <c r="K168" s="167"/>
      <c r="L168" s="166"/>
      <c r="M168" s="169"/>
      <c r="N168" s="169"/>
      <c r="O168" s="167"/>
      <c r="P168" s="167"/>
      <c r="Q168" s="424"/>
      <c r="R168" s="167"/>
      <c r="S168" s="166"/>
      <c r="T168" s="171">
        <f>SUM(T169)</f>
        <v>0</v>
      </c>
      <c r="U168" s="171"/>
      <c r="V168" s="171"/>
      <c r="W168" s="171">
        <f t="shared" ref="W168:BI168" si="252">SUM(W169)</f>
        <v>0</v>
      </c>
      <c r="X168" s="171"/>
      <c r="Y168" s="171"/>
      <c r="Z168" s="171">
        <f t="shared" si="252"/>
        <v>0</v>
      </c>
      <c r="AA168" s="171"/>
      <c r="AB168" s="171"/>
      <c r="AC168" s="171">
        <f t="shared" si="252"/>
        <v>0</v>
      </c>
      <c r="AD168" s="171"/>
      <c r="AE168" s="171"/>
      <c r="AF168" s="171">
        <f t="shared" si="252"/>
        <v>0</v>
      </c>
      <c r="AG168" s="171"/>
      <c r="AH168" s="171"/>
      <c r="AI168" s="171">
        <f t="shared" si="252"/>
        <v>0</v>
      </c>
      <c r="AJ168" s="171"/>
      <c r="AK168" s="171"/>
      <c r="AL168" s="171">
        <f t="shared" si="252"/>
        <v>0</v>
      </c>
      <c r="AM168" s="171"/>
      <c r="AN168" s="171"/>
      <c r="AO168" s="171">
        <f t="shared" si="252"/>
        <v>0</v>
      </c>
      <c r="AP168" s="171"/>
      <c r="AQ168" s="171"/>
      <c r="AR168" s="171">
        <f t="shared" si="252"/>
        <v>0</v>
      </c>
      <c r="AS168" s="171"/>
      <c r="AT168" s="171"/>
      <c r="AU168" s="171">
        <f t="shared" si="252"/>
        <v>0</v>
      </c>
      <c r="AV168" s="171"/>
      <c r="AW168" s="171"/>
      <c r="AX168" s="171">
        <f t="shared" si="252"/>
        <v>50000000</v>
      </c>
      <c r="AY168" s="171">
        <f t="shared" si="252"/>
        <v>7933333</v>
      </c>
      <c r="AZ168" s="171">
        <f t="shared" si="252"/>
        <v>0</v>
      </c>
      <c r="BA168" s="171">
        <f t="shared" si="252"/>
        <v>0</v>
      </c>
      <c r="BB168" s="171"/>
      <c r="BC168" s="171"/>
      <c r="BD168" s="171">
        <f t="shared" si="252"/>
        <v>0</v>
      </c>
      <c r="BE168" s="171"/>
      <c r="BF168" s="171"/>
      <c r="BG168" s="171">
        <f t="shared" si="252"/>
        <v>50000000</v>
      </c>
      <c r="BH168" s="171">
        <f t="shared" si="252"/>
        <v>7933333</v>
      </c>
      <c r="BI168" s="171">
        <f t="shared" si="252"/>
        <v>0</v>
      </c>
    </row>
    <row r="169" spans="1:61" ht="97.5" customHeight="1" x14ac:dyDescent="0.2">
      <c r="A169" s="438"/>
      <c r="B169" s="441"/>
      <c r="C169" s="373"/>
      <c r="D169" s="374"/>
      <c r="E169" s="354">
        <v>1707</v>
      </c>
      <c r="F169" s="355" t="s">
        <v>230</v>
      </c>
      <c r="G169" s="354" t="s">
        <v>607</v>
      </c>
      <c r="H169" s="199">
        <v>1707069</v>
      </c>
      <c r="I169" s="355" t="s">
        <v>608</v>
      </c>
      <c r="J169" s="354" t="s">
        <v>609</v>
      </c>
      <c r="K169" s="354" t="s">
        <v>610</v>
      </c>
      <c r="L169" s="355" t="s">
        <v>611</v>
      </c>
      <c r="M169" s="298" t="s">
        <v>188</v>
      </c>
      <c r="N169" s="298">
        <v>20</v>
      </c>
      <c r="O169" s="298">
        <v>5</v>
      </c>
      <c r="P169" s="332">
        <v>0</v>
      </c>
      <c r="Q169" s="421" t="s">
        <v>538</v>
      </c>
      <c r="R169" s="354" t="s">
        <v>1406</v>
      </c>
      <c r="S169" s="356" t="s">
        <v>5</v>
      </c>
      <c r="T169" s="218"/>
      <c r="U169" s="218"/>
      <c r="V169" s="218"/>
      <c r="W169" s="218"/>
      <c r="X169" s="218"/>
      <c r="Y169" s="218"/>
      <c r="Z169" s="218"/>
      <c r="AA169" s="218"/>
      <c r="AB169" s="218"/>
      <c r="AC169" s="218"/>
      <c r="AD169" s="218"/>
      <c r="AE169" s="218"/>
      <c r="AF169" s="218"/>
      <c r="AG169" s="218"/>
      <c r="AH169" s="218"/>
      <c r="AI169" s="218"/>
      <c r="AJ169" s="218"/>
      <c r="AK169" s="218"/>
      <c r="AL169" s="218"/>
      <c r="AM169" s="218"/>
      <c r="AN169" s="218"/>
      <c r="AO169" s="218"/>
      <c r="AP169" s="218"/>
      <c r="AQ169" s="218"/>
      <c r="AR169" s="218"/>
      <c r="AS169" s="218"/>
      <c r="AT169" s="218"/>
      <c r="AU169" s="218"/>
      <c r="AV169" s="218"/>
      <c r="AW169" s="218"/>
      <c r="AX169" s="215">
        <v>50000000</v>
      </c>
      <c r="AY169" s="215">
        <v>7933333</v>
      </c>
      <c r="AZ169" s="215"/>
      <c r="BA169" s="216"/>
      <c r="BB169" s="216"/>
      <c r="BC169" s="216"/>
      <c r="BD169" s="216"/>
      <c r="BE169" s="216"/>
      <c r="BF169" s="216"/>
      <c r="BG169" s="173">
        <f>+T169+W169+Z169+AC169+AF169+AI169+AL169+AO169+AR169+AU169+AX169+BA169+BD169</f>
        <v>50000000</v>
      </c>
      <c r="BH169" s="173">
        <f t="shared" ref="BH169" si="253">+U169+X169+AA169+AD169+AG169+AJ169+AM169+AP169+AS169+AV169+AY169+BB169+BE169</f>
        <v>7933333</v>
      </c>
      <c r="BI169" s="173">
        <f t="shared" ref="BI169" si="254">+V169+Y169+AB169+AE169+AH169+AK169+AN169+AQ169+AT169+AW169+AZ169+BC169+BF169</f>
        <v>0</v>
      </c>
    </row>
    <row r="170" spans="1:61" ht="29.25" customHeight="1" x14ac:dyDescent="0.2">
      <c r="A170" s="438"/>
      <c r="B170" s="441"/>
      <c r="C170" s="195">
        <v>9</v>
      </c>
      <c r="D170" s="167">
        <v>1708</v>
      </c>
      <c r="E170" s="357" t="s">
        <v>612</v>
      </c>
      <c r="F170" s="166"/>
      <c r="G170" s="167"/>
      <c r="H170" s="168"/>
      <c r="I170" s="166"/>
      <c r="J170" s="167"/>
      <c r="K170" s="167"/>
      <c r="L170" s="166"/>
      <c r="M170" s="169"/>
      <c r="N170" s="169"/>
      <c r="O170" s="167"/>
      <c r="P170" s="167"/>
      <c r="Q170" s="424"/>
      <c r="R170" s="167"/>
      <c r="S170" s="166"/>
      <c r="T170" s="171">
        <f t="shared" ref="T170:BD170" si="255">SUM(T171:T171)</f>
        <v>0</v>
      </c>
      <c r="U170" s="171"/>
      <c r="V170" s="171"/>
      <c r="W170" s="171">
        <f t="shared" si="255"/>
        <v>0</v>
      </c>
      <c r="X170" s="171"/>
      <c r="Y170" s="171"/>
      <c r="Z170" s="171">
        <f t="shared" si="255"/>
        <v>0</v>
      </c>
      <c r="AA170" s="171"/>
      <c r="AB170" s="171"/>
      <c r="AC170" s="171">
        <f t="shared" si="255"/>
        <v>0</v>
      </c>
      <c r="AD170" s="171"/>
      <c r="AE170" s="171"/>
      <c r="AF170" s="171">
        <f t="shared" si="255"/>
        <v>0</v>
      </c>
      <c r="AG170" s="171"/>
      <c r="AH170" s="171"/>
      <c r="AI170" s="171">
        <f t="shared" si="255"/>
        <v>0</v>
      </c>
      <c r="AJ170" s="171"/>
      <c r="AK170" s="171"/>
      <c r="AL170" s="171">
        <f t="shared" si="255"/>
        <v>0</v>
      </c>
      <c r="AM170" s="171"/>
      <c r="AN170" s="171"/>
      <c r="AO170" s="171">
        <f t="shared" si="255"/>
        <v>0</v>
      </c>
      <c r="AP170" s="171"/>
      <c r="AQ170" s="171"/>
      <c r="AR170" s="171">
        <f t="shared" si="255"/>
        <v>0</v>
      </c>
      <c r="AS170" s="171"/>
      <c r="AT170" s="171"/>
      <c r="AU170" s="171">
        <f t="shared" si="255"/>
        <v>0</v>
      </c>
      <c r="AV170" s="171"/>
      <c r="AW170" s="171"/>
      <c r="AX170" s="171">
        <f>SUM(AX171:AX172)</f>
        <v>30519269</v>
      </c>
      <c r="AY170" s="171">
        <f>SUM(AY171:AY172)</f>
        <v>25366665</v>
      </c>
      <c r="AZ170" s="171">
        <f t="shared" si="255"/>
        <v>0</v>
      </c>
      <c r="BA170" s="171">
        <f t="shared" si="255"/>
        <v>0</v>
      </c>
      <c r="BB170" s="171"/>
      <c r="BC170" s="171"/>
      <c r="BD170" s="171">
        <f t="shared" si="255"/>
        <v>0</v>
      </c>
      <c r="BE170" s="171"/>
      <c r="BF170" s="171"/>
      <c r="BG170" s="171">
        <f>SUM(BG171:BG172)</f>
        <v>30519269</v>
      </c>
      <c r="BH170" s="171">
        <f>SUM(BH171:BH172)</f>
        <v>25366665</v>
      </c>
      <c r="BI170" s="171">
        <f>SUM(BI171:BI172)</f>
        <v>0</v>
      </c>
    </row>
    <row r="171" spans="1:61" s="153" customFormat="1" ht="72.75" customHeight="1" x14ac:dyDescent="0.2">
      <c r="A171" s="462"/>
      <c r="B171" s="464"/>
      <c r="C171" s="390"/>
      <c r="D171" s="386"/>
      <c r="E171" s="340">
        <v>1708</v>
      </c>
      <c r="F171" s="225" t="s">
        <v>230</v>
      </c>
      <c r="G171" s="416" t="s">
        <v>613</v>
      </c>
      <c r="H171" s="331">
        <v>1708016</v>
      </c>
      <c r="I171" s="225" t="s">
        <v>589</v>
      </c>
      <c r="J171" s="416" t="s">
        <v>614</v>
      </c>
      <c r="K171" s="341" t="s">
        <v>615</v>
      </c>
      <c r="L171" s="342" t="s">
        <v>616</v>
      </c>
      <c r="M171" s="416" t="s">
        <v>98</v>
      </c>
      <c r="N171" s="416">
        <v>2</v>
      </c>
      <c r="O171" s="416">
        <v>2</v>
      </c>
      <c r="P171" s="416">
        <v>0</v>
      </c>
      <c r="Q171" s="225" t="s">
        <v>234</v>
      </c>
      <c r="R171" s="389" t="s">
        <v>617</v>
      </c>
      <c r="S171" s="225" t="s">
        <v>618</v>
      </c>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4"/>
      <c r="AO171" s="344"/>
      <c r="AP171" s="344"/>
      <c r="AQ171" s="344"/>
      <c r="AR171" s="344"/>
      <c r="AS171" s="344"/>
      <c r="AT171" s="344"/>
      <c r="AU171" s="344"/>
      <c r="AV171" s="344"/>
      <c r="AW171" s="344"/>
      <c r="AX171" s="297">
        <f>50000000-34480731+15000000-15000000</f>
        <v>15519269</v>
      </c>
      <c r="AY171" s="420">
        <v>10366666</v>
      </c>
      <c r="AZ171" s="297"/>
      <c r="BA171" s="297"/>
      <c r="BB171" s="297"/>
      <c r="BC171" s="297"/>
      <c r="BD171" s="297"/>
      <c r="BE171" s="297"/>
      <c r="BF171" s="297"/>
      <c r="BG171" s="296">
        <f>+T171+W171+Z171+AC171+AF171+AI171+AL171+AO171+AR171+AU171+AX171+BA171+BD171</f>
        <v>15519269</v>
      </c>
      <c r="BH171" s="296">
        <f t="shared" ref="BH171:BH172" si="256">+U171+X171+AA171+AD171+AG171+AJ171+AM171+AP171+AS171+AV171+AY171+BB171+BE171</f>
        <v>10366666</v>
      </c>
      <c r="BI171" s="296">
        <f t="shared" ref="BI171:BI172" si="257">+V171+Y171+AB171+AE171+AH171+AK171+AN171+AQ171+AT171+AW171+AZ171+BC171+BF171</f>
        <v>0</v>
      </c>
    </row>
    <row r="172" spans="1:61" s="153" customFormat="1" ht="72.75" customHeight="1" x14ac:dyDescent="0.2">
      <c r="A172" s="462"/>
      <c r="B172" s="464"/>
      <c r="C172" s="390"/>
      <c r="D172" s="386"/>
      <c r="E172" s="340">
        <v>1708</v>
      </c>
      <c r="F172" s="225" t="s">
        <v>230</v>
      </c>
      <c r="G172" s="416" t="s">
        <v>1420</v>
      </c>
      <c r="H172" s="331">
        <v>1708051</v>
      </c>
      <c r="I172" s="225" t="s">
        <v>1421</v>
      </c>
      <c r="J172" s="416" t="s">
        <v>1422</v>
      </c>
      <c r="K172" s="341">
        <v>170805100</v>
      </c>
      <c r="L172" s="342" t="s">
        <v>1423</v>
      </c>
      <c r="M172" s="416" t="s">
        <v>98</v>
      </c>
      <c r="N172" s="416">
        <v>1</v>
      </c>
      <c r="O172" s="416">
        <v>1</v>
      </c>
      <c r="P172" s="416"/>
      <c r="Q172" s="225" t="s">
        <v>234</v>
      </c>
      <c r="R172" s="389" t="s">
        <v>617</v>
      </c>
      <c r="S172" s="225" t="s">
        <v>618</v>
      </c>
      <c r="T172" s="344"/>
      <c r="U172" s="344"/>
      <c r="V172" s="344"/>
      <c r="W172" s="344"/>
      <c r="X172" s="344"/>
      <c r="Y172" s="344"/>
      <c r="Z172" s="344"/>
      <c r="AA172" s="344"/>
      <c r="AB172" s="344"/>
      <c r="AC172" s="344"/>
      <c r="AD172" s="344"/>
      <c r="AE172" s="344"/>
      <c r="AF172" s="344"/>
      <c r="AG172" s="344"/>
      <c r="AH172" s="344"/>
      <c r="AI172" s="344"/>
      <c r="AJ172" s="344"/>
      <c r="AK172" s="344"/>
      <c r="AL172" s="344"/>
      <c r="AM172" s="344"/>
      <c r="AN172" s="344"/>
      <c r="AO172" s="344"/>
      <c r="AP172" s="344"/>
      <c r="AQ172" s="344"/>
      <c r="AR172" s="344"/>
      <c r="AS172" s="344"/>
      <c r="AT172" s="344"/>
      <c r="AU172" s="344"/>
      <c r="AV172" s="344"/>
      <c r="AW172" s="344"/>
      <c r="AX172" s="297">
        <v>15000000</v>
      </c>
      <c r="AY172" s="420">
        <v>14999999</v>
      </c>
      <c r="AZ172" s="297"/>
      <c r="BA172" s="297"/>
      <c r="BB172" s="297"/>
      <c r="BC172" s="297"/>
      <c r="BD172" s="297"/>
      <c r="BE172" s="297"/>
      <c r="BF172" s="297"/>
      <c r="BG172" s="296">
        <f>+T172+W172+Z172+AC172+AF172+AI172+AL172+AO172+AR172+AU172+AX172+BA172+BD172</f>
        <v>15000000</v>
      </c>
      <c r="BH172" s="296">
        <f t="shared" si="256"/>
        <v>14999999</v>
      </c>
      <c r="BI172" s="296">
        <f t="shared" si="257"/>
        <v>0</v>
      </c>
    </row>
    <row r="173" spans="1:61" ht="27.75" customHeight="1" x14ac:dyDescent="0.2">
      <c r="A173" s="438"/>
      <c r="B173" s="441"/>
      <c r="C173" s="195">
        <v>10</v>
      </c>
      <c r="D173" s="167">
        <v>1709</v>
      </c>
      <c r="E173" s="357" t="s">
        <v>229</v>
      </c>
      <c r="F173" s="219"/>
      <c r="G173" s="219"/>
      <c r="H173" s="219"/>
      <c r="I173" s="219"/>
      <c r="J173" s="219"/>
      <c r="K173" s="219"/>
      <c r="L173" s="219"/>
      <c r="M173" s="219"/>
      <c r="N173" s="219"/>
      <c r="O173" s="219"/>
      <c r="P173" s="219"/>
      <c r="Q173" s="166"/>
      <c r="R173" s="219"/>
      <c r="S173" s="221"/>
      <c r="T173" s="54">
        <f t="shared" ref="T173:BI173" si="258">SUM(T174:T175)</f>
        <v>0</v>
      </c>
      <c r="U173" s="54"/>
      <c r="V173" s="54"/>
      <c r="W173" s="54">
        <f t="shared" si="258"/>
        <v>0</v>
      </c>
      <c r="X173" s="54"/>
      <c r="Y173" s="54"/>
      <c r="Z173" s="54">
        <f t="shared" si="258"/>
        <v>0</v>
      </c>
      <c r="AA173" s="54"/>
      <c r="AB173" s="54"/>
      <c r="AC173" s="54">
        <f t="shared" si="258"/>
        <v>0</v>
      </c>
      <c r="AD173" s="54"/>
      <c r="AE173" s="54"/>
      <c r="AF173" s="54">
        <f t="shared" si="258"/>
        <v>0</v>
      </c>
      <c r="AG173" s="54"/>
      <c r="AH173" s="54"/>
      <c r="AI173" s="54">
        <f t="shared" si="258"/>
        <v>0</v>
      </c>
      <c r="AJ173" s="54"/>
      <c r="AK173" s="54"/>
      <c r="AL173" s="54">
        <f t="shared" si="258"/>
        <v>0</v>
      </c>
      <c r="AM173" s="54"/>
      <c r="AN173" s="54"/>
      <c r="AO173" s="54">
        <f t="shared" si="258"/>
        <v>0</v>
      </c>
      <c r="AP173" s="54"/>
      <c r="AQ173" s="54"/>
      <c r="AR173" s="54">
        <f t="shared" si="258"/>
        <v>0</v>
      </c>
      <c r="AS173" s="54"/>
      <c r="AT173" s="54"/>
      <c r="AU173" s="54">
        <f t="shared" si="258"/>
        <v>0</v>
      </c>
      <c r="AV173" s="54"/>
      <c r="AW173" s="54"/>
      <c r="AX173" s="55">
        <f t="shared" si="258"/>
        <v>75000000</v>
      </c>
      <c r="AY173" s="55">
        <f t="shared" si="258"/>
        <v>0</v>
      </c>
      <c r="AZ173" s="55">
        <f t="shared" si="258"/>
        <v>0</v>
      </c>
      <c r="BA173" s="55">
        <f t="shared" si="258"/>
        <v>0</v>
      </c>
      <c r="BB173" s="55"/>
      <c r="BC173" s="55"/>
      <c r="BD173" s="55">
        <f t="shared" si="258"/>
        <v>0</v>
      </c>
      <c r="BE173" s="55"/>
      <c r="BF173" s="55"/>
      <c r="BG173" s="55">
        <f t="shared" si="258"/>
        <v>75000000</v>
      </c>
      <c r="BH173" s="55">
        <f t="shared" ref="BH173" si="259">SUM(BH174:BH175)</f>
        <v>0</v>
      </c>
      <c r="BI173" s="55">
        <f t="shared" si="258"/>
        <v>0</v>
      </c>
    </row>
    <row r="174" spans="1:61" s="202" customFormat="1" ht="94.5" customHeight="1" x14ac:dyDescent="0.2">
      <c r="A174" s="456"/>
      <c r="B174" s="466"/>
      <c r="C174" s="391"/>
      <c r="D174" s="232"/>
      <c r="E174" s="232">
        <v>1709</v>
      </c>
      <c r="F174" s="362" t="s">
        <v>230</v>
      </c>
      <c r="G174" s="303" t="s">
        <v>619</v>
      </c>
      <c r="H174" s="199">
        <v>1709019</v>
      </c>
      <c r="I174" s="362" t="s">
        <v>620</v>
      </c>
      <c r="J174" s="303" t="s">
        <v>621</v>
      </c>
      <c r="K174" s="301" t="s">
        <v>622</v>
      </c>
      <c r="L174" s="308" t="s">
        <v>620</v>
      </c>
      <c r="M174" s="303" t="s">
        <v>188</v>
      </c>
      <c r="N174" s="303">
        <v>15</v>
      </c>
      <c r="O174" s="303">
        <v>2</v>
      </c>
      <c r="P174" s="332">
        <v>0</v>
      </c>
      <c r="Q174" s="518" t="s">
        <v>234</v>
      </c>
      <c r="R174" s="517" t="s">
        <v>579</v>
      </c>
      <c r="S174" s="524" t="s">
        <v>623</v>
      </c>
      <c r="T174" s="222"/>
      <c r="U174" s="222"/>
      <c r="V174" s="222"/>
      <c r="W174" s="222"/>
      <c r="X174" s="222"/>
      <c r="Y174" s="222"/>
      <c r="Z174" s="222"/>
      <c r="AA174" s="222"/>
      <c r="AB174" s="222"/>
      <c r="AC174" s="222"/>
      <c r="AD174" s="222"/>
      <c r="AE174" s="222"/>
      <c r="AF174" s="222"/>
      <c r="AG174" s="222"/>
      <c r="AH174" s="222"/>
      <c r="AI174" s="222"/>
      <c r="AJ174" s="222"/>
      <c r="AK174" s="222"/>
      <c r="AL174" s="222"/>
      <c r="AM174" s="222"/>
      <c r="AN174" s="222"/>
      <c r="AO174" s="222"/>
      <c r="AP174" s="222"/>
      <c r="AQ174" s="222"/>
      <c r="AR174" s="222"/>
      <c r="AS174" s="222"/>
      <c r="AT174" s="222"/>
      <c r="AU174" s="222"/>
      <c r="AV174" s="222"/>
      <c r="AW174" s="222"/>
      <c r="AX174" s="216">
        <f>50000000-25000000+25000000</f>
        <v>50000000</v>
      </c>
      <c r="AY174" s="216"/>
      <c r="AZ174" s="216"/>
      <c r="BA174" s="216"/>
      <c r="BB174" s="216"/>
      <c r="BC174" s="216"/>
      <c r="BD174" s="216"/>
      <c r="BE174" s="216"/>
      <c r="BF174" s="216"/>
      <c r="BG174" s="173">
        <f t="shared" ref="BG174:BG175" si="260">+T174+W174+Z174+AC174+AF174+AI174+AL174+AO174+AR174+AU174+AX174+BA174+BD174</f>
        <v>50000000</v>
      </c>
      <c r="BH174" s="173">
        <f t="shared" ref="BH174:BH175" si="261">+U174+X174+AA174+AD174+AG174+AJ174+AM174+AP174+AS174+AV174+AY174+BB174+BE174</f>
        <v>0</v>
      </c>
      <c r="BI174" s="173">
        <f t="shared" ref="BI174:BI175" si="262">+V174+Y174+AB174+AE174+AH174+AK174+AN174+AQ174+AT174+AW174+AZ174+BC174+BF174</f>
        <v>0</v>
      </c>
    </row>
    <row r="175" spans="1:61" ht="48.75" customHeight="1" x14ac:dyDescent="0.2">
      <c r="A175" s="438"/>
      <c r="B175" s="465"/>
      <c r="C175" s="381"/>
      <c r="D175" s="364"/>
      <c r="E175" s="364">
        <v>1709</v>
      </c>
      <c r="F175" s="355" t="s">
        <v>230</v>
      </c>
      <c r="G175" s="298" t="s">
        <v>624</v>
      </c>
      <c r="H175" s="199">
        <v>1709034</v>
      </c>
      <c r="I175" s="355" t="s">
        <v>625</v>
      </c>
      <c r="J175" s="298" t="s">
        <v>626</v>
      </c>
      <c r="K175" s="301" t="s">
        <v>627</v>
      </c>
      <c r="L175" s="304" t="s">
        <v>625</v>
      </c>
      <c r="M175" s="298" t="s">
        <v>188</v>
      </c>
      <c r="N175" s="298">
        <v>10</v>
      </c>
      <c r="O175" s="298">
        <v>1</v>
      </c>
      <c r="P175" s="332">
        <v>0</v>
      </c>
      <c r="Q175" s="518"/>
      <c r="R175" s="517"/>
      <c r="S175" s="524"/>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c r="AW175" s="181"/>
      <c r="AX175" s="216">
        <f>50000000-25000000</f>
        <v>25000000</v>
      </c>
      <c r="AY175" s="216"/>
      <c r="AZ175" s="216"/>
      <c r="BA175" s="216"/>
      <c r="BB175" s="216"/>
      <c r="BC175" s="216"/>
      <c r="BD175" s="216"/>
      <c r="BE175" s="216"/>
      <c r="BF175" s="216"/>
      <c r="BG175" s="173">
        <f t="shared" si="260"/>
        <v>25000000</v>
      </c>
      <c r="BH175" s="173">
        <f t="shared" si="261"/>
        <v>0</v>
      </c>
      <c r="BI175" s="173">
        <f t="shared" si="262"/>
        <v>0</v>
      </c>
    </row>
    <row r="176" spans="1:61" ht="23.25" customHeight="1" x14ac:dyDescent="0.2">
      <c r="A176" s="438"/>
      <c r="B176" s="441"/>
      <c r="C176" s="195">
        <v>27</v>
      </c>
      <c r="D176" s="167">
        <v>3502</v>
      </c>
      <c r="E176" s="357" t="s">
        <v>237</v>
      </c>
      <c r="F176" s="166"/>
      <c r="G176" s="167"/>
      <c r="H176" s="168"/>
      <c r="I176" s="166"/>
      <c r="J176" s="167"/>
      <c r="K176" s="167"/>
      <c r="L176" s="166"/>
      <c r="M176" s="169"/>
      <c r="N176" s="169"/>
      <c r="O176" s="167"/>
      <c r="P176" s="167"/>
      <c r="Q176" s="424"/>
      <c r="R176" s="167"/>
      <c r="S176" s="166"/>
      <c r="T176" s="171">
        <f>SUM(T177:T178)</f>
        <v>0</v>
      </c>
      <c r="U176" s="171"/>
      <c r="V176" s="171"/>
      <c r="W176" s="171">
        <f t="shared" ref="W176:BI176" si="263">SUM(W177:W178)</f>
        <v>0</v>
      </c>
      <c r="X176" s="171"/>
      <c r="Y176" s="171"/>
      <c r="Z176" s="171">
        <f t="shared" si="263"/>
        <v>0</v>
      </c>
      <c r="AA176" s="171"/>
      <c r="AB176" s="171"/>
      <c r="AC176" s="171">
        <f t="shared" si="263"/>
        <v>0</v>
      </c>
      <c r="AD176" s="171"/>
      <c r="AE176" s="171"/>
      <c r="AF176" s="171">
        <f t="shared" si="263"/>
        <v>0</v>
      </c>
      <c r="AG176" s="171"/>
      <c r="AH176" s="171"/>
      <c r="AI176" s="171">
        <f t="shared" si="263"/>
        <v>0</v>
      </c>
      <c r="AJ176" s="171"/>
      <c r="AK176" s="171"/>
      <c r="AL176" s="171">
        <f t="shared" si="263"/>
        <v>0</v>
      </c>
      <c r="AM176" s="171"/>
      <c r="AN176" s="171"/>
      <c r="AO176" s="171">
        <f t="shared" si="263"/>
        <v>0</v>
      </c>
      <c r="AP176" s="171"/>
      <c r="AQ176" s="171"/>
      <c r="AR176" s="171">
        <f t="shared" si="263"/>
        <v>0</v>
      </c>
      <c r="AS176" s="171"/>
      <c r="AT176" s="171"/>
      <c r="AU176" s="171">
        <f t="shared" si="263"/>
        <v>0</v>
      </c>
      <c r="AV176" s="171"/>
      <c r="AW176" s="171"/>
      <c r="AX176" s="171">
        <f t="shared" si="263"/>
        <v>40000000</v>
      </c>
      <c r="AY176" s="171">
        <f t="shared" si="263"/>
        <v>38933333</v>
      </c>
      <c r="AZ176" s="171">
        <f t="shared" si="263"/>
        <v>7800000</v>
      </c>
      <c r="BA176" s="171">
        <f t="shared" si="263"/>
        <v>0</v>
      </c>
      <c r="BB176" s="171"/>
      <c r="BC176" s="171"/>
      <c r="BD176" s="171">
        <f t="shared" si="263"/>
        <v>0</v>
      </c>
      <c r="BE176" s="171"/>
      <c r="BF176" s="171"/>
      <c r="BG176" s="171">
        <f t="shared" si="263"/>
        <v>40000000</v>
      </c>
      <c r="BH176" s="171">
        <f t="shared" ref="BH176" si="264">SUM(BH177:BH178)</f>
        <v>38933333</v>
      </c>
      <c r="BI176" s="171">
        <f t="shared" si="263"/>
        <v>7800000</v>
      </c>
    </row>
    <row r="177" spans="1:61" ht="81" customHeight="1" x14ac:dyDescent="0.2">
      <c r="A177" s="438"/>
      <c r="B177" s="441"/>
      <c r="C177" s="375"/>
      <c r="D177" s="354"/>
      <c r="E177" s="354">
        <v>3502</v>
      </c>
      <c r="F177" s="355" t="s">
        <v>628</v>
      </c>
      <c r="G177" s="298" t="s">
        <v>629</v>
      </c>
      <c r="H177" s="199">
        <v>3502017</v>
      </c>
      <c r="I177" s="355" t="s">
        <v>630</v>
      </c>
      <c r="J177" s="298" t="s">
        <v>631</v>
      </c>
      <c r="K177" s="301" t="s">
        <v>632</v>
      </c>
      <c r="L177" s="304" t="s">
        <v>633</v>
      </c>
      <c r="M177" s="298" t="s">
        <v>98</v>
      </c>
      <c r="N177" s="298">
        <v>6</v>
      </c>
      <c r="O177" s="298">
        <v>6</v>
      </c>
      <c r="P177" s="332">
        <v>2</v>
      </c>
      <c r="Q177" s="518" t="s">
        <v>234</v>
      </c>
      <c r="R177" s="517" t="s">
        <v>546</v>
      </c>
      <c r="S177" s="518" t="s">
        <v>547</v>
      </c>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216">
        <v>22138800</v>
      </c>
      <c r="AY177" s="216">
        <v>22138800</v>
      </c>
      <c r="AZ177" s="216">
        <v>5000000</v>
      </c>
      <c r="BA177" s="216"/>
      <c r="BB177" s="216"/>
      <c r="BC177" s="216"/>
      <c r="BD177" s="216"/>
      <c r="BE177" s="216"/>
      <c r="BF177" s="216"/>
      <c r="BG177" s="173">
        <f t="shared" ref="BG177:BG178" si="265">+T177+W177+Z177+AC177+AF177+AI177+AL177+AO177+AR177+AU177+AX177+BA177+BD177</f>
        <v>22138800</v>
      </c>
      <c r="BH177" s="173">
        <f t="shared" ref="BH177:BH178" si="266">+U177+X177+AA177+AD177+AG177+AJ177+AM177+AP177+AS177+AV177+AY177+BB177+BE177</f>
        <v>22138800</v>
      </c>
      <c r="BI177" s="173">
        <f t="shared" ref="BI177:BI178" si="267">+V177+Y177+AB177+AE177+AH177+AK177+AN177+AQ177+AT177+AW177+AZ177+BC177+BF177</f>
        <v>5000000</v>
      </c>
    </row>
    <row r="178" spans="1:61" s="158" customFormat="1" ht="54" customHeight="1" x14ac:dyDescent="0.25">
      <c r="A178" s="463"/>
      <c r="B178" s="458"/>
      <c r="C178" s="375"/>
      <c r="D178" s="354"/>
      <c r="E178" s="354">
        <v>3502</v>
      </c>
      <c r="F178" s="355" t="s">
        <v>628</v>
      </c>
      <c r="G178" s="354" t="s">
        <v>468</v>
      </c>
      <c r="H178" s="199">
        <v>3502007</v>
      </c>
      <c r="I178" s="355" t="s">
        <v>634</v>
      </c>
      <c r="J178" s="354" t="s">
        <v>469</v>
      </c>
      <c r="K178" s="354" t="s">
        <v>470</v>
      </c>
      <c r="L178" s="355" t="s">
        <v>471</v>
      </c>
      <c r="M178" s="354" t="s">
        <v>98</v>
      </c>
      <c r="N178" s="354">
        <v>5</v>
      </c>
      <c r="O178" s="354">
        <v>5</v>
      </c>
      <c r="P178" s="226">
        <v>3</v>
      </c>
      <c r="Q178" s="518"/>
      <c r="R178" s="517"/>
      <c r="S178" s="518"/>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216">
        <f>17861200</f>
        <v>17861200</v>
      </c>
      <c r="AY178" s="216">
        <v>16794533</v>
      </c>
      <c r="AZ178" s="216">
        <v>2800000</v>
      </c>
      <c r="BA178" s="216"/>
      <c r="BB178" s="216"/>
      <c r="BC178" s="216"/>
      <c r="BD178" s="216"/>
      <c r="BE178" s="216"/>
      <c r="BF178" s="216"/>
      <c r="BG178" s="173">
        <f t="shared" si="265"/>
        <v>17861200</v>
      </c>
      <c r="BH178" s="173">
        <f t="shared" si="266"/>
        <v>16794533</v>
      </c>
      <c r="BI178" s="173">
        <f t="shared" si="267"/>
        <v>2800000</v>
      </c>
    </row>
    <row r="179" spans="1:61" ht="24.75" customHeight="1" x14ac:dyDescent="0.2">
      <c r="A179" s="438"/>
      <c r="B179" s="259">
        <v>3</v>
      </c>
      <c r="C179" s="159" t="s">
        <v>3</v>
      </c>
      <c r="D179" s="160"/>
      <c r="E179" s="160"/>
      <c r="F179" s="161"/>
      <c r="G179" s="162"/>
      <c r="H179" s="163"/>
      <c r="I179" s="161"/>
      <c r="J179" s="162"/>
      <c r="K179" s="162"/>
      <c r="L179" s="161"/>
      <c r="M179" s="164"/>
      <c r="N179" s="164"/>
      <c r="O179" s="162"/>
      <c r="P179" s="162"/>
      <c r="Q179" s="426"/>
      <c r="R179" s="162"/>
      <c r="S179" s="161"/>
      <c r="T179" s="165">
        <f t="shared" ref="T179:BI179" si="268">+T180+T182+T188+T190+T192</f>
        <v>0</v>
      </c>
      <c r="U179" s="165"/>
      <c r="V179" s="165"/>
      <c r="W179" s="165">
        <f t="shared" si="268"/>
        <v>0</v>
      </c>
      <c r="X179" s="165"/>
      <c r="Y179" s="165"/>
      <c r="Z179" s="165">
        <f t="shared" si="268"/>
        <v>0</v>
      </c>
      <c r="AA179" s="165"/>
      <c r="AB179" s="165"/>
      <c r="AC179" s="165">
        <f t="shared" si="268"/>
        <v>0</v>
      </c>
      <c r="AD179" s="165"/>
      <c r="AE179" s="165"/>
      <c r="AF179" s="165">
        <f t="shared" si="268"/>
        <v>0</v>
      </c>
      <c r="AG179" s="165"/>
      <c r="AH179" s="165"/>
      <c r="AI179" s="165">
        <f t="shared" si="268"/>
        <v>0</v>
      </c>
      <c r="AJ179" s="165"/>
      <c r="AK179" s="165"/>
      <c r="AL179" s="165">
        <f t="shared" si="268"/>
        <v>0</v>
      </c>
      <c r="AM179" s="165"/>
      <c r="AN179" s="165"/>
      <c r="AO179" s="165">
        <f t="shared" si="268"/>
        <v>0</v>
      </c>
      <c r="AP179" s="165"/>
      <c r="AQ179" s="165"/>
      <c r="AR179" s="165">
        <f t="shared" si="268"/>
        <v>0</v>
      </c>
      <c r="AS179" s="165"/>
      <c r="AT179" s="165"/>
      <c r="AU179" s="165">
        <f t="shared" si="268"/>
        <v>0</v>
      </c>
      <c r="AV179" s="165"/>
      <c r="AW179" s="165"/>
      <c r="AX179" s="165">
        <f t="shared" si="268"/>
        <v>736049867</v>
      </c>
      <c r="AY179" s="165">
        <f t="shared" ref="AY179:AZ179" si="269">+AY180+AY182+AY188+AY190+AY192</f>
        <v>254707662</v>
      </c>
      <c r="AZ179" s="165">
        <f t="shared" si="269"/>
        <v>101499999</v>
      </c>
      <c r="BA179" s="165">
        <f t="shared" si="268"/>
        <v>0</v>
      </c>
      <c r="BB179" s="165"/>
      <c r="BC179" s="165"/>
      <c r="BD179" s="165">
        <f t="shared" si="268"/>
        <v>0</v>
      </c>
      <c r="BE179" s="165"/>
      <c r="BF179" s="165"/>
      <c r="BG179" s="165">
        <f t="shared" si="268"/>
        <v>736049867</v>
      </c>
      <c r="BH179" s="165">
        <f t="shared" ref="BH179" si="270">+BH180+BH182+BH188+BH190+BH192</f>
        <v>254707662</v>
      </c>
      <c r="BI179" s="165">
        <f t="shared" si="268"/>
        <v>101499999</v>
      </c>
    </row>
    <row r="180" spans="1:61" ht="19.5" customHeight="1" x14ac:dyDescent="0.2">
      <c r="A180" s="438"/>
      <c r="B180" s="440"/>
      <c r="C180" s="195">
        <v>20</v>
      </c>
      <c r="D180" s="167" t="s">
        <v>635</v>
      </c>
      <c r="E180" s="357" t="s">
        <v>636</v>
      </c>
      <c r="F180" s="166"/>
      <c r="G180" s="167"/>
      <c r="H180" s="168"/>
      <c r="I180" s="166"/>
      <c r="J180" s="167"/>
      <c r="K180" s="167"/>
      <c r="L180" s="166"/>
      <c r="M180" s="169"/>
      <c r="N180" s="169"/>
      <c r="O180" s="167"/>
      <c r="P180" s="167"/>
      <c r="Q180" s="424"/>
      <c r="R180" s="167"/>
      <c r="S180" s="166"/>
      <c r="T180" s="171">
        <f t="shared" ref="T180:BI180" si="271">SUM(T181:T181)</f>
        <v>0</v>
      </c>
      <c r="U180" s="171"/>
      <c r="V180" s="171"/>
      <c r="W180" s="171">
        <f t="shared" si="271"/>
        <v>0</v>
      </c>
      <c r="X180" s="171"/>
      <c r="Y180" s="171"/>
      <c r="Z180" s="171">
        <f t="shared" si="271"/>
        <v>0</v>
      </c>
      <c r="AA180" s="171"/>
      <c r="AB180" s="171"/>
      <c r="AC180" s="171">
        <f t="shared" si="271"/>
        <v>0</v>
      </c>
      <c r="AD180" s="171"/>
      <c r="AE180" s="171"/>
      <c r="AF180" s="171">
        <f t="shared" si="271"/>
        <v>0</v>
      </c>
      <c r="AG180" s="171"/>
      <c r="AH180" s="171"/>
      <c r="AI180" s="171">
        <f t="shared" si="271"/>
        <v>0</v>
      </c>
      <c r="AJ180" s="171"/>
      <c r="AK180" s="171"/>
      <c r="AL180" s="171">
        <f t="shared" si="271"/>
        <v>0</v>
      </c>
      <c r="AM180" s="171"/>
      <c r="AN180" s="171"/>
      <c r="AO180" s="171">
        <f t="shared" si="271"/>
        <v>0</v>
      </c>
      <c r="AP180" s="171"/>
      <c r="AQ180" s="171"/>
      <c r="AR180" s="171">
        <f t="shared" si="271"/>
        <v>0</v>
      </c>
      <c r="AS180" s="171"/>
      <c r="AT180" s="171"/>
      <c r="AU180" s="171">
        <f t="shared" si="271"/>
        <v>0</v>
      </c>
      <c r="AV180" s="171"/>
      <c r="AW180" s="171"/>
      <c r="AX180" s="171">
        <f t="shared" si="271"/>
        <v>40000000</v>
      </c>
      <c r="AY180" s="171">
        <f t="shared" si="271"/>
        <v>0</v>
      </c>
      <c r="AZ180" s="171">
        <f t="shared" si="271"/>
        <v>0</v>
      </c>
      <c r="BA180" s="171">
        <f t="shared" si="271"/>
        <v>0</v>
      </c>
      <c r="BB180" s="171"/>
      <c r="BC180" s="171"/>
      <c r="BD180" s="171">
        <f t="shared" si="271"/>
        <v>0</v>
      </c>
      <c r="BE180" s="171"/>
      <c r="BF180" s="171"/>
      <c r="BG180" s="171">
        <f t="shared" si="271"/>
        <v>40000000</v>
      </c>
      <c r="BH180" s="171">
        <f t="shared" si="271"/>
        <v>0</v>
      </c>
      <c r="BI180" s="171">
        <f t="shared" si="271"/>
        <v>0</v>
      </c>
    </row>
    <row r="181" spans="1:61" ht="86.25" customHeight="1" x14ac:dyDescent="0.2">
      <c r="A181" s="438"/>
      <c r="B181" s="441"/>
      <c r="C181" s="154"/>
      <c r="D181" s="392"/>
      <c r="E181" s="364">
        <v>3201</v>
      </c>
      <c r="F181" s="355" t="s">
        <v>251</v>
      </c>
      <c r="G181" s="298" t="s">
        <v>637</v>
      </c>
      <c r="H181" s="199">
        <v>3201013</v>
      </c>
      <c r="I181" s="355" t="s">
        <v>638</v>
      </c>
      <c r="J181" s="298" t="s">
        <v>639</v>
      </c>
      <c r="K181" s="301" t="s">
        <v>640</v>
      </c>
      <c r="L181" s="304" t="s">
        <v>1424</v>
      </c>
      <c r="M181" s="298" t="s">
        <v>188</v>
      </c>
      <c r="N181" s="298">
        <v>4</v>
      </c>
      <c r="O181" s="298">
        <v>1</v>
      </c>
      <c r="P181" s="332">
        <v>0</v>
      </c>
      <c r="Q181" s="421" t="s">
        <v>641</v>
      </c>
      <c r="R181" s="217" t="s">
        <v>642</v>
      </c>
      <c r="S181" s="355" t="s">
        <v>643</v>
      </c>
      <c r="T181" s="178"/>
      <c r="U181" s="178"/>
      <c r="V181" s="178"/>
      <c r="W181" s="178"/>
      <c r="X181" s="178"/>
      <c r="Y181" s="178"/>
      <c r="Z181" s="178"/>
      <c r="AA181" s="178"/>
      <c r="AB181" s="178"/>
      <c r="AC181" s="178"/>
      <c r="AD181" s="178"/>
      <c r="AE181" s="178"/>
      <c r="AF181" s="178"/>
      <c r="AG181" s="178"/>
      <c r="AH181" s="178"/>
      <c r="AI181" s="178"/>
      <c r="AJ181" s="178"/>
      <c r="AK181" s="178"/>
      <c r="AL181" s="178"/>
      <c r="AM181" s="178"/>
      <c r="AN181" s="178"/>
      <c r="AO181" s="178"/>
      <c r="AP181" s="178"/>
      <c r="AQ181" s="178"/>
      <c r="AR181" s="178"/>
      <c r="AS181" s="178"/>
      <c r="AT181" s="178"/>
      <c r="AU181" s="178"/>
      <c r="AV181" s="178"/>
      <c r="AW181" s="178"/>
      <c r="AX181" s="216">
        <v>40000000</v>
      </c>
      <c r="AY181" s="216"/>
      <c r="AZ181" s="216"/>
      <c r="BA181" s="216"/>
      <c r="BB181" s="216"/>
      <c r="BC181" s="216"/>
      <c r="BD181" s="216"/>
      <c r="BE181" s="216"/>
      <c r="BF181" s="216"/>
      <c r="BG181" s="173">
        <f>+T181+W181+Z181+AC181+AF181+AI181+AL181+AO181+AR181+AU181+AX181+BA181+BD181</f>
        <v>40000000</v>
      </c>
      <c r="BH181" s="173">
        <f t="shared" ref="BH181" si="272">+U181+X181+AA181+AD181+AG181+AJ181+AM181+AP181+AS181+AV181+AY181+BB181+BE181</f>
        <v>0</v>
      </c>
      <c r="BI181" s="173">
        <f t="shared" ref="BI181" si="273">+V181+Y181+AB181+AE181+AH181+AK181+AN181+AQ181+AT181+AW181+AZ181+BC181+BF181</f>
        <v>0</v>
      </c>
    </row>
    <row r="182" spans="1:61" ht="21.75" customHeight="1" x14ac:dyDescent="0.2">
      <c r="A182" s="438"/>
      <c r="B182" s="441"/>
      <c r="C182" s="195">
        <v>21</v>
      </c>
      <c r="D182" s="167" t="s">
        <v>249</v>
      </c>
      <c r="E182" s="357" t="s">
        <v>250</v>
      </c>
      <c r="F182" s="166"/>
      <c r="G182" s="167"/>
      <c r="H182" s="168"/>
      <c r="I182" s="166"/>
      <c r="J182" s="167"/>
      <c r="K182" s="167"/>
      <c r="L182" s="166"/>
      <c r="M182" s="169"/>
      <c r="N182" s="169"/>
      <c r="O182" s="167"/>
      <c r="P182" s="167"/>
      <c r="Q182" s="424"/>
      <c r="R182" s="167"/>
      <c r="S182" s="166"/>
      <c r="T182" s="171">
        <f t="shared" ref="T182:BI182" si="274">SUM(T183:T187)</f>
        <v>0</v>
      </c>
      <c r="U182" s="171"/>
      <c r="V182" s="171"/>
      <c r="W182" s="171">
        <f t="shared" si="274"/>
        <v>0</v>
      </c>
      <c r="X182" s="171"/>
      <c r="Y182" s="171"/>
      <c r="Z182" s="171">
        <f t="shared" si="274"/>
        <v>0</v>
      </c>
      <c r="AA182" s="171"/>
      <c r="AB182" s="171"/>
      <c r="AC182" s="171">
        <f t="shared" si="274"/>
        <v>0</v>
      </c>
      <c r="AD182" s="171"/>
      <c r="AE182" s="171"/>
      <c r="AF182" s="171">
        <f t="shared" si="274"/>
        <v>0</v>
      </c>
      <c r="AG182" s="171"/>
      <c r="AH182" s="171"/>
      <c r="AI182" s="171">
        <f t="shared" si="274"/>
        <v>0</v>
      </c>
      <c r="AJ182" s="171"/>
      <c r="AK182" s="171"/>
      <c r="AL182" s="171">
        <f t="shared" si="274"/>
        <v>0</v>
      </c>
      <c r="AM182" s="171"/>
      <c r="AN182" s="171"/>
      <c r="AO182" s="171">
        <f t="shared" si="274"/>
        <v>0</v>
      </c>
      <c r="AP182" s="171"/>
      <c r="AQ182" s="171"/>
      <c r="AR182" s="171">
        <f t="shared" si="274"/>
        <v>0</v>
      </c>
      <c r="AS182" s="171"/>
      <c r="AT182" s="171"/>
      <c r="AU182" s="171">
        <f t="shared" si="274"/>
        <v>0</v>
      </c>
      <c r="AV182" s="171"/>
      <c r="AW182" s="171"/>
      <c r="AX182" s="171">
        <f>SUM(AX183:AX187)</f>
        <v>600049867</v>
      </c>
      <c r="AY182" s="171">
        <f t="shared" ref="AY182:AZ182" si="275">SUM(AY183:AY187)</f>
        <v>230374329</v>
      </c>
      <c r="AZ182" s="171">
        <f t="shared" si="275"/>
        <v>86499999</v>
      </c>
      <c r="BA182" s="171">
        <f t="shared" si="274"/>
        <v>0</v>
      </c>
      <c r="BB182" s="171"/>
      <c r="BC182" s="171"/>
      <c r="BD182" s="171">
        <f t="shared" si="274"/>
        <v>0</v>
      </c>
      <c r="BE182" s="171"/>
      <c r="BF182" s="171"/>
      <c r="BG182" s="171">
        <f t="shared" si="274"/>
        <v>600049867</v>
      </c>
      <c r="BH182" s="171">
        <f t="shared" ref="BH182" si="276">SUM(BH183:BH187)</f>
        <v>230374329</v>
      </c>
      <c r="BI182" s="171">
        <f t="shared" si="274"/>
        <v>86499999</v>
      </c>
    </row>
    <row r="183" spans="1:61" ht="98.25" customHeight="1" x14ac:dyDescent="0.2">
      <c r="A183" s="438"/>
      <c r="B183" s="441"/>
      <c r="C183" s="373"/>
      <c r="D183" s="374"/>
      <c r="E183" s="354">
        <v>3202</v>
      </c>
      <c r="F183" s="355" t="s">
        <v>251</v>
      </c>
      <c r="G183" s="298" t="s">
        <v>644</v>
      </c>
      <c r="H183" s="199">
        <v>3202017</v>
      </c>
      <c r="I183" s="355" t="s">
        <v>645</v>
      </c>
      <c r="J183" s="298" t="s">
        <v>646</v>
      </c>
      <c r="K183" s="301" t="s">
        <v>647</v>
      </c>
      <c r="L183" s="304" t="s">
        <v>1399</v>
      </c>
      <c r="M183" s="298" t="s">
        <v>98</v>
      </c>
      <c r="N183" s="309">
        <v>1</v>
      </c>
      <c r="O183" s="309">
        <v>1</v>
      </c>
      <c r="P183" s="333">
        <v>0.45</v>
      </c>
      <c r="Q183" s="428" t="s">
        <v>641</v>
      </c>
      <c r="R183" s="354" t="s">
        <v>648</v>
      </c>
      <c r="S183" s="355" t="s">
        <v>1425</v>
      </c>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216">
        <v>80000000</v>
      </c>
      <c r="AY183" s="216">
        <v>49132666</v>
      </c>
      <c r="AZ183" s="216">
        <v>29533333</v>
      </c>
      <c r="BA183" s="216"/>
      <c r="BB183" s="216"/>
      <c r="BC183" s="216"/>
      <c r="BD183" s="216"/>
      <c r="BE183" s="216"/>
      <c r="BF183" s="216"/>
      <c r="BG183" s="173">
        <f t="shared" ref="BG183:BG187" si="277">+T183+W183+Z183+AC183+AF183+AI183+AL183+AO183+AR183+AU183+AX183+BA183+BD183</f>
        <v>80000000</v>
      </c>
      <c r="BH183" s="173">
        <f t="shared" ref="BH183:BH187" si="278">+U183+X183+AA183+AD183+AG183+AJ183+AM183+AP183+AS183+AV183+AY183+BB183+BE183</f>
        <v>49132666</v>
      </c>
      <c r="BI183" s="173">
        <f t="shared" ref="BI183:BI187" si="279">+V183+Y183+AB183+AE183+AH183+AK183+AN183+AQ183+AT183+AW183+AZ183+BC183+BF183</f>
        <v>29533333</v>
      </c>
    </row>
    <row r="184" spans="1:61" ht="66" customHeight="1" x14ac:dyDescent="0.2">
      <c r="A184" s="438"/>
      <c r="B184" s="441"/>
      <c r="C184" s="373"/>
      <c r="D184" s="374"/>
      <c r="E184" s="354">
        <v>3202</v>
      </c>
      <c r="F184" s="355" t="s">
        <v>251</v>
      </c>
      <c r="G184" s="298" t="s">
        <v>650</v>
      </c>
      <c r="H184" s="199">
        <v>3202037</v>
      </c>
      <c r="I184" s="355" t="s">
        <v>651</v>
      </c>
      <c r="J184" s="298" t="s">
        <v>652</v>
      </c>
      <c r="K184" s="301" t="s">
        <v>653</v>
      </c>
      <c r="L184" s="304" t="s">
        <v>654</v>
      </c>
      <c r="M184" s="298" t="s">
        <v>188</v>
      </c>
      <c r="N184" s="309">
        <v>200</v>
      </c>
      <c r="O184" s="298">
        <v>30</v>
      </c>
      <c r="P184" s="332">
        <v>5</v>
      </c>
      <c r="Q184" s="518" t="s">
        <v>641</v>
      </c>
      <c r="R184" s="517" t="s">
        <v>655</v>
      </c>
      <c r="S184" s="518" t="s">
        <v>656</v>
      </c>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216">
        <f>128662000-27195334</f>
        <v>101466666</v>
      </c>
      <c r="AY184" s="216">
        <v>48666666</v>
      </c>
      <c r="AZ184" s="216">
        <v>48666666</v>
      </c>
      <c r="BA184" s="216"/>
      <c r="BB184" s="216"/>
      <c r="BC184" s="216"/>
      <c r="BD184" s="216"/>
      <c r="BE184" s="216"/>
      <c r="BF184" s="216"/>
      <c r="BG184" s="173">
        <f t="shared" si="277"/>
        <v>101466666</v>
      </c>
      <c r="BH184" s="173">
        <f t="shared" si="278"/>
        <v>48666666</v>
      </c>
      <c r="BI184" s="173">
        <f t="shared" si="279"/>
        <v>48666666</v>
      </c>
    </row>
    <row r="185" spans="1:61" ht="86.25" customHeight="1" x14ac:dyDescent="0.2">
      <c r="A185" s="438"/>
      <c r="B185" s="441"/>
      <c r="C185" s="373"/>
      <c r="D185" s="374"/>
      <c r="E185" s="354">
        <v>3202</v>
      </c>
      <c r="F185" s="355" t="s">
        <v>251</v>
      </c>
      <c r="G185" s="298" t="s">
        <v>657</v>
      </c>
      <c r="H185" s="364" t="s">
        <v>92</v>
      </c>
      <c r="I185" s="355" t="s">
        <v>1446</v>
      </c>
      <c r="J185" s="298" t="s">
        <v>658</v>
      </c>
      <c r="K185" s="298" t="s">
        <v>92</v>
      </c>
      <c r="L185" s="304" t="s">
        <v>659</v>
      </c>
      <c r="M185" s="298" t="s">
        <v>188</v>
      </c>
      <c r="N185" s="300">
        <v>200</v>
      </c>
      <c r="O185" s="298">
        <v>20</v>
      </c>
      <c r="P185" s="332">
        <v>3</v>
      </c>
      <c r="Q185" s="518"/>
      <c r="R185" s="517"/>
      <c r="S185" s="518"/>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216">
        <f>1114208927.55-0.3-87936734.91-677688991.34</f>
        <v>348583201</v>
      </c>
      <c r="AY185" s="216">
        <v>103999998</v>
      </c>
      <c r="AZ185" s="216">
        <v>2800000</v>
      </c>
      <c r="BA185" s="216"/>
      <c r="BB185" s="216"/>
      <c r="BC185" s="216"/>
      <c r="BD185" s="216"/>
      <c r="BE185" s="216"/>
      <c r="BF185" s="216"/>
      <c r="BG185" s="173">
        <f t="shared" si="277"/>
        <v>348583201</v>
      </c>
      <c r="BH185" s="173">
        <f t="shared" si="278"/>
        <v>103999998</v>
      </c>
      <c r="BI185" s="173">
        <f t="shared" si="279"/>
        <v>2800000</v>
      </c>
    </row>
    <row r="186" spans="1:61" ht="86.25" customHeight="1" x14ac:dyDescent="0.2">
      <c r="A186" s="438"/>
      <c r="B186" s="441"/>
      <c r="C186" s="373"/>
      <c r="D186" s="374"/>
      <c r="E186" s="354">
        <v>3202</v>
      </c>
      <c r="F186" s="355" t="s">
        <v>251</v>
      </c>
      <c r="G186" s="298" t="s">
        <v>660</v>
      </c>
      <c r="H186" s="354" t="s">
        <v>92</v>
      </c>
      <c r="I186" s="355" t="s">
        <v>661</v>
      </c>
      <c r="J186" s="298" t="s">
        <v>662</v>
      </c>
      <c r="K186" s="298" t="s">
        <v>92</v>
      </c>
      <c r="L186" s="304" t="s">
        <v>663</v>
      </c>
      <c r="M186" s="298" t="s">
        <v>98</v>
      </c>
      <c r="N186" s="300">
        <v>1</v>
      </c>
      <c r="O186" s="300">
        <v>1</v>
      </c>
      <c r="P186" s="330">
        <v>0</v>
      </c>
      <c r="Q186" s="428" t="s">
        <v>641</v>
      </c>
      <c r="R186" s="354" t="s">
        <v>664</v>
      </c>
      <c r="S186" s="355" t="s">
        <v>665</v>
      </c>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216">
        <v>30000000</v>
      </c>
      <c r="AY186" s="216">
        <v>11874999</v>
      </c>
      <c r="AZ186" s="216">
        <v>0</v>
      </c>
      <c r="BA186" s="216"/>
      <c r="BB186" s="216"/>
      <c r="BC186" s="216"/>
      <c r="BD186" s="216"/>
      <c r="BE186" s="216"/>
      <c r="BF186" s="216"/>
      <c r="BG186" s="173">
        <f t="shared" si="277"/>
        <v>30000000</v>
      </c>
      <c r="BH186" s="173">
        <f t="shared" si="278"/>
        <v>11874999</v>
      </c>
      <c r="BI186" s="173">
        <f t="shared" si="279"/>
        <v>0</v>
      </c>
    </row>
    <row r="187" spans="1:61" ht="86.25" customHeight="1" x14ac:dyDescent="0.2">
      <c r="A187" s="438"/>
      <c r="B187" s="441"/>
      <c r="C187" s="373"/>
      <c r="D187" s="374"/>
      <c r="E187" s="354">
        <v>3202</v>
      </c>
      <c r="F187" s="355" t="s">
        <v>251</v>
      </c>
      <c r="G187" s="298" t="s">
        <v>666</v>
      </c>
      <c r="H187" s="354" t="s">
        <v>92</v>
      </c>
      <c r="I187" s="355" t="s">
        <v>667</v>
      </c>
      <c r="J187" s="298" t="s">
        <v>668</v>
      </c>
      <c r="K187" s="298" t="s">
        <v>92</v>
      </c>
      <c r="L187" s="304" t="s">
        <v>669</v>
      </c>
      <c r="M187" s="298" t="s">
        <v>188</v>
      </c>
      <c r="N187" s="300">
        <v>4</v>
      </c>
      <c r="O187" s="300">
        <v>1</v>
      </c>
      <c r="P187" s="330">
        <v>0.4</v>
      </c>
      <c r="Q187" s="428" t="s">
        <v>641</v>
      </c>
      <c r="R187" s="354" t="s">
        <v>670</v>
      </c>
      <c r="S187" s="355" t="s">
        <v>1447</v>
      </c>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216">
        <v>40000000</v>
      </c>
      <c r="AY187" s="216">
        <v>16700000</v>
      </c>
      <c r="AZ187" s="216">
        <v>5500000</v>
      </c>
      <c r="BA187" s="216"/>
      <c r="BB187" s="216"/>
      <c r="BC187" s="216"/>
      <c r="BD187" s="216"/>
      <c r="BE187" s="216"/>
      <c r="BF187" s="216"/>
      <c r="BG187" s="173">
        <f t="shared" si="277"/>
        <v>40000000</v>
      </c>
      <c r="BH187" s="173">
        <f t="shared" si="278"/>
        <v>16700000</v>
      </c>
      <c r="BI187" s="173">
        <f t="shared" si="279"/>
        <v>5500000</v>
      </c>
    </row>
    <row r="188" spans="1:61" ht="21" customHeight="1" x14ac:dyDescent="0.2">
      <c r="A188" s="438"/>
      <c r="B188" s="441"/>
      <c r="C188" s="195">
        <v>22</v>
      </c>
      <c r="D188" s="167" t="s">
        <v>672</v>
      </c>
      <c r="E188" s="357" t="s">
        <v>673</v>
      </c>
      <c r="F188" s="166"/>
      <c r="G188" s="167"/>
      <c r="H188" s="168"/>
      <c r="I188" s="166"/>
      <c r="J188" s="167"/>
      <c r="K188" s="167"/>
      <c r="L188" s="166"/>
      <c r="M188" s="169"/>
      <c r="N188" s="169"/>
      <c r="O188" s="167"/>
      <c r="P188" s="167"/>
      <c r="Q188" s="424"/>
      <c r="R188" s="167"/>
      <c r="S188" s="166"/>
      <c r="T188" s="171">
        <f t="shared" ref="T188:BI188" si="280">SUM(T189:T189)</f>
        <v>0</v>
      </c>
      <c r="U188" s="171"/>
      <c r="V188" s="171"/>
      <c r="W188" s="171">
        <f t="shared" si="280"/>
        <v>0</v>
      </c>
      <c r="X188" s="171"/>
      <c r="Y188" s="171"/>
      <c r="Z188" s="171">
        <f t="shared" si="280"/>
        <v>0</v>
      </c>
      <c r="AA188" s="171"/>
      <c r="AB188" s="171"/>
      <c r="AC188" s="171">
        <f t="shared" si="280"/>
        <v>0</v>
      </c>
      <c r="AD188" s="171"/>
      <c r="AE188" s="171"/>
      <c r="AF188" s="171">
        <f t="shared" si="280"/>
        <v>0</v>
      </c>
      <c r="AG188" s="171"/>
      <c r="AH188" s="171"/>
      <c r="AI188" s="171">
        <f t="shared" si="280"/>
        <v>0</v>
      </c>
      <c r="AJ188" s="171"/>
      <c r="AK188" s="171"/>
      <c r="AL188" s="171">
        <f t="shared" si="280"/>
        <v>0</v>
      </c>
      <c r="AM188" s="171"/>
      <c r="AN188" s="171"/>
      <c r="AO188" s="171">
        <f t="shared" si="280"/>
        <v>0</v>
      </c>
      <c r="AP188" s="171"/>
      <c r="AQ188" s="171"/>
      <c r="AR188" s="171">
        <f t="shared" si="280"/>
        <v>0</v>
      </c>
      <c r="AS188" s="171"/>
      <c r="AT188" s="171"/>
      <c r="AU188" s="171">
        <f t="shared" si="280"/>
        <v>0</v>
      </c>
      <c r="AV188" s="171"/>
      <c r="AW188" s="171"/>
      <c r="AX188" s="171">
        <f t="shared" si="280"/>
        <v>26000000</v>
      </c>
      <c r="AY188" s="171">
        <f t="shared" si="280"/>
        <v>9333333</v>
      </c>
      <c r="AZ188" s="171">
        <f t="shared" si="280"/>
        <v>0</v>
      </c>
      <c r="BA188" s="171">
        <f t="shared" si="280"/>
        <v>0</v>
      </c>
      <c r="BB188" s="171"/>
      <c r="BC188" s="171"/>
      <c r="BD188" s="171">
        <f t="shared" si="280"/>
        <v>0</v>
      </c>
      <c r="BE188" s="171"/>
      <c r="BF188" s="171"/>
      <c r="BG188" s="171">
        <f t="shared" si="280"/>
        <v>26000000</v>
      </c>
      <c r="BH188" s="171">
        <f t="shared" si="280"/>
        <v>9333333</v>
      </c>
      <c r="BI188" s="171">
        <f t="shared" si="280"/>
        <v>0</v>
      </c>
    </row>
    <row r="189" spans="1:61" ht="62.25" customHeight="1" x14ac:dyDescent="0.2">
      <c r="A189" s="438"/>
      <c r="B189" s="441"/>
      <c r="C189" s="373"/>
      <c r="D189" s="374"/>
      <c r="E189" s="354">
        <v>3204</v>
      </c>
      <c r="F189" s="355" t="s">
        <v>251</v>
      </c>
      <c r="G189" s="298" t="s">
        <v>674</v>
      </c>
      <c r="H189" s="199">
        <v>3204012</v>
      </c>
      <c r="I189" s="355" t="s">
        <v>675</v>
      </c>
      <c r="J189" s="332" t="s">
        <v>676</v>
      </c>
      <c r="K189" s="341" t="s">
        <v>677</v>
      </c>
      <c r="L189" s="342" t="s">
        <v>678</v>
      </c>
      <c r="M189" s="332" t="s">
        <v>188</v>
      </c>
      <c r="N189" s="333">
        <v>12</v>
      </c>
      <c r="O189" s="332">
        <v>1</v>
      </c>
      <c r="P189" s="332">
        <v>0</v>
      </c>
      <c r="Q189" s="421" t="s">
        <v>641</v>
      </c>
      <c r="R189" s="354" t="s">
        <v>679</v>
      </c>
      <c r="S189" s="355" t="s">
        <v>680</v>
      </c>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16">
        <v>26000000</v>
      </c>
      <c r="AY189" s="216">
        <v>9333333</v>
      </c>
      <c r="AZ189" s="216">
        <v>0</v>
      </c>
      <c r="BA189" s="216"/>
      <c r="BB189" s="216"/>
      <c r="BC189" s="216"/>
      <c r="BD189" s="216"/>
      <c r="BE189" s="216"/>
      <c r="BF189" s="216"/>
      <c r="BG189" s="173">
        <f>+T189+W189+Z189+AC189+AF189+AI189+AL189+AO189+AR189+AU189+AX189+BA189+BD189</f>
        <v>26000000</v>
      </c>
      <c r="BH189" s="173">
        <f t="shared" ref="BH189" si="281">+U189+X189+AA189+AD189+AG189+AJ189+AM189+AP189+AS189+AV189+AY189+BB189+BE189</f>
        <v>9333333</v>
      </c>
      <c r="BI189" s="173">
        <f t="shared" ref="BI189" si="282">+V189+Y189+AB189+AE189+AH189+AK189+AN189+AQ189+AT189+AW189+AZ189+BC189+BF189</f>
        <v>0</v>
      </c>
    </row>
    <row r="190" spans="1:61" ht="23.25" customHeight="1" x14ac:dyDescent="0.2">
      <c r="A190" s="438"/>
      <c r="B190" s="441"/>
      <c r="C190" s="195">
        <v>23</v>
      </c>
      <c r="D190" s="167">
        <v>3205</v>
      </c>
      <c r="E190" s="357" t="s">
        <v>255</v>
      </c>
      <c r="F190" s="166"/>
      <c r="G190" s="167"/>
      <c r="H190" s="168"/>
      <c r="I190" s="166"/>
      <c r="J190" s="167"/>
      <c r="K190" s="167"/>
      <c r="L190" s="166"/>
      <c r="M190" s="169"/>
      <c r="N190" s="169"/>
      <c r="O190" s="167"/>
      <c r="P190" s="167"/>
      <c r="Q190" s="424"/>
      <c r="R190" s="167"/>
      <c r="S190" s="166"/>
      <c r="T190" s="171">
        <f t="shared" ref="T190:BI190" si="283">SUM(T191:T191)</f>
        <v>0</v>
      </c>
      <c r="U190" s="171"/>
      <c r="V190" s="171"/>
      <c r="W190" s="171">
        <f t="shared" si="283"/>
        <v>0</v>
      </c>
      <c r="X190" s="171"/>
      <c r="Y190" s="171"/>
      <c r="Z190" s="171">
        <f t="shared" si="283"/>
        <v>0</v>
      </c>
      <c r="AA190" s="171"/>
      <c r="AB190" s="171"/>
      <c r="AC190" s="171">
        <f t="shared" si="283"/>
        <v>0</v>
      </c>
      <c r="AD190" s="171"/>
      <c r="AE190" s="171"/>
      <c r="AF190" s="171">
        <f t="shared" si="283"/>
        <v>0</v>
      </c>
      <c r="AG190" s="171"/>
      <c r="AH190" s="171"/>
      <c r="AI190" s="171">
        <f t="shared" si="283"/>
        <v>0</v>
      </c>
      <c r="AJ190" s="171"/>
      <c r="AK190" s="171"/>
      <c r="AL190" s="171">
        <f t="shared" si="283"/>
        <v>0</v>
      </c>
      <c r="AM190" s="171"/>
      <c r="AN190" s="171"/>
      <c r="AO190" s="171">
        <f t="shared" si="283"/>
        <v>0</v>
      </c>
      <c r="AP190" s="171"/>
      <c r="AQ190" s="171"/>
      <c r="AR190" s="171">
        <f t="shared" si="283"/>
        <v>0</v>
      </c>
      <c r="AS190" s="171"/>
      <c r="AT190" s="171"/>
      <c r="AU190" s="171">
        <f t="shared" si="283"/>
        <v>0</v>
      </c>
      <c r="AV190" s="171"/>
      <c r="AW190" s="171"/>
      <c r="AX190" s="171">
        <f t="shared" si="283"/>
        <v>50000000</v>
      </c>
      <c r="AY190" s="171">
        <f t="shared" si="283"/>
        <v>15000000</v>
      </c>
      <c r="AZ190" s="171">
        <f t="shared" si="283"/>
        <v>15000000</v>
      </c>
      <c r="BA190" s="171">
        <f t="shared" si="283"/>
        <v>0</v>
      </c>
      <c r="BB190" s="171"/>
      <c r="BC190" s="171"/>
      <c r="BD190" s="171">
        <f t="shared" si="283"/>
        <v>0</v>
      </c>
      <c r="BE190" s="171"/>
      <c r="BF190" s="171"/>
      <c r="BG190" s="171">
        <f t="shared" si="283"/>
        <v>50000000</v>
      </c>
      <c r="BH190" s="171">
        <f t="shared" si="283"/>
        <v>15000000</v>
      </c>
      <c r="BI190" s="171">
        <f t="shared" si="283"/>
        <v>15000000</v>
      </c>
    </row>
    <row r="191" spans="1:61" ht="63" customHeight="1" x14ac:dyDescent="0.2">
      <c r="A191" s="438"/>
      <c r="B191" s="441"/>
      <c r="C191" s="373"/>
      <c r="D191" s="374"/>
      <c r="E191" s="354">
        <v>3205</v>
      </c>
      <c r="F191" s="355" t="s">
        <v>251</v>
      </c>
      <c r="G191" s="354" t="s">
        <v>682</v>
      </c>
      <c r="H191" s="199">
        <v>3205010</v>
      </c>
      <c r="I191" s="355" t="s">
        <v>681</v>
      </c>
      <c r="J191" s="354" t="s">
        <v>682</v>
      </c>
      <c r="K191" s="354" t="s">
        <v>683</v>
      </c>
      <c r="L191" s="355" t="s">
        <v>684</v>
      </c>
      <c r="M191" s="354" t="s">
        <v>188</v>
      </c>
      <c r="N191" s="354">
        <v>4</v>
      </c>
      <c r="O191" s="354">
        <v>1</v>
      </c>
      <c r="P191" s="226">
        <v>0</v>
      </c>
      <c r="Q191" s="421" t="s">
        <v>641</v>
      </c>
      <c r="R191" s="354" t="s">
        <v>670</v>
      </c>
      <c r="S191" s="355" t="s">
        <v>1447</v>
      </c>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216">
        <v>50000000</v>
      </c>
      <c r="AY191" s="216">
        <v>15000000</v>
      </c>
      <c r="AZ191" s="216">
        <v>15000000</v>
      </c>
      <c r="BA191" s="216"/>
      <c r="BB191" s="216"/>
      <c r="BC191" s="216"/>
      <c r="BD191" s="216"/>
      <c r="BE191" s="216"/>
      <c r="BF191" s="216"/>
      <c r="BG191" s="173">
        <f>+T191+W191+Z191+AC191+AF191+AI191+AL191+AO191+AR191+AU191+AX191+BA191+BD191</f>
        <v>50000000</v>
      </c>
      <c r="BH191" s="173">
        <f t="shared" ref="BH191" si="284">+U191+X191+AA191+AD191+AG191+AJ191+AM191+AP191+AS191+AV191+AY191+BB191+BE191</f>
        <v>15000000</v>
      </c>
      <c r="BI191" s="173">
        <f t="shared" ref="BI191" si="285">+V191+Y191+AB191+AE191+AH191+AK191+AN191+AQ191+AT191+AW191+AZ191+BC191+BF191</f>
        <v>15000000</v>
      </c>
    </row>
    <row r="192" spans="1:61" ht="21" customHeight="1" x14ac:dyDescent="0.2">
      <c r="A192" s="438"/>
      <c r="B192" s="441"/>
      <c r="C192" s="195">
        <v>24</v>
      </c>
      <c r="D192" s="167" t="s">
        <v>685</v>
      </c>
      <c r="E192" s="357" t="s">
        <v>686</v>
      </c>
      <c r="F192" s="166"/>
      <c r="G192" s="167"/>
      <c r="H192" s="168"/>
      <c r="I192" s="166"/>
      <c r="J192" s="167"/>
      <c r="K192" s="167"/>
      <c r="L192" s="166"/>
      <c r="M192" s="169"/>
      <c r="N192" s="169"/>
      <c r="O192" s="167"/>
      <c r="P192" s="167"/>
      <c r="Q192" s="424"/>
      <c r="R192" s="167"/>
      <c r="S192" s="166"/>
      <c r="T192" s="171">
        <f t="shared" ref="T192:BI192" si="286">SUM(T193:T193)</f>
        <v>0</v>
      </c>
      <c r="U192" s="171"/>
      <c r="V192" s="171"/>
      <c r="W192" s="171">
        <f t="shared" si="286"/>
        <v>0</v>
      </c>
      <c r="X192" s="171"/>
      <c r="Y192" s="171"/>
      <c r="Z192" s="171">
        <f t="shared" si="286"/>
        <v>0</v>
      </c>
      <c r="AA192" s="171"/>
      <c r="AB192" s="171"/>
      <c r="AC192" s="171">
        <f t="shared" si="286"/>
        <v>0</v>
      </c>
      <c r="AD192" s="171"/>
      <c r="AE192" s="171"/>
      <c r="AF192" s="171">
        <f t="shared" si="286"/>
        <v>0</v>
      </c>
      <c r="AG192" s="171"/>
      <c r="AH192" s="171"/>
      <c r="AI192" s="171">
        <f t="shared" si="286"/>
        <v>0</v>
      </c>
      <c r="AJ192" s="171"/>
      <c r="AK192" s="171"/>
      <c r="AL192" s="171">
        <f t="shared" si="286"/>
        <v>0</v>
      </c>
      <c r="AM192" s="171"/>
      <c r="AN192" s="171"/>
      <c r="AO192" s="171">
        <f t="shared" si="286"/>
        <v>0</v>
      </c>
      <c r="AP192" s="171"/>
      <c r="AQ192" s="171"/>
      <c r="AR192" s="171">
        <f t="shared" si="286"/>
        <v>0</v>
      </c>
      <c r="AS192" s="171"/>
      <c r="AT192" s="171"/>
      <c r="AU192" s="171">
        <f t="shared" si="286"/>
        <v>0</v>
      </c>
      <c r="AV192" s="171"/>
      <c r="AW192" s="171"/>
      <c r="AX192" s="171">
        <f t="shared" si="286"/>
        <v>20000000</v>
      </c>
      <c r="AY192" s="171">
        <f t="shared" si="286"/>
        <v>0</v>
      </c>
      <c r="AZ192" s="171">
        <f t="shared" si="286"/>
        <v>0</v>
      </c>
      <c r="BA192" s="171">
        <f t="shared" si="286"/>
        <v>0</v>
      </c>
      <c r="BB192" s="171"/>
      <c r="BC192" s="171"/>
      <c r="BD192" s="171">
        <f t="shared" si="286"/>
        <v>0</v>
      </c>
      <c r="BE192" s="171"/>
      <c r="BF192" s="171"/>
      <c r="BG192" s="171">
        <f t="shared" si="286"/>
        <v>20000000</v>
      </c>
      <c r="BH192" s="171">
        <f t="shared" si="286"/>
        <v>0</v>
      </c>
      <c r="BI192" s="171">
        <f t="shared" si="286"/>
        <v>0</v>
      </c>
    </row>
    <row r="193" spans="1:67" ht="78" customHeight="1" x14ac:dyDescent="0.2">
      <c r="A193" s="439"/>
      <c r="B193" s="442"/>
      <c r="C193" s="373"/>
      <c r="D193" s="374"/>
      <c r="E193" s="354">
        <v>3206</v>
      </c>
      <c r="F193" s="355" t="s">
        <v>251</v>
      </c>
      <c r="G193" s="298" t="s">
        <v>687</v>
      </c>
      <c r="H193" s="199">
        <v>3206014</v>
      </c>
      <c r="I193" s="355" t="s">
        <v>688</v>
      </c>
      <c r="J193" s="298" t="s">
        <v>689</v>
      </c>
      <c r="K193" s="301" t="s">
        <v>690</v>
      </c>
      <c r="L193" s="304" t="s">
        <v>691</v>
      </c>
      <c r="M193" s="298" t="s">
        <v>188</v>
      </c>
      <c r="N193" s="309">
        <v>6000</v>
      </c>
      <c r="O193" s="298">
        <v>50</v>
      </c>
      <c r="P193" s="332">
        <v>0</v>
      </c>
      <c r="Q193" s="421" t="s">
        <v>641</v>
      </c>
      <c r="R193" s="354" t="s">
        <v>692</v>
      </c>
      <c r="S193" s="355" t="s">
        <v>1448</v>
      </c>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216">
        <v>20000000</v>
      </c>
      <c r="AY193" s="216"/>
      <c r="AZ193" s="216"/>
      <c r="BA193" s="216"/>
      <c r="BB193" s="216"/>
      <c r="BC193" s="216"/>
      <c r="BD193" s="216"/>
      <c r="BE193" s="216"/>
      <c r="BF193" s="216"/>
      <c r="BG193" s="173">
        <f>+T193+W193+Z193+AC193+AF193+AI193+AL193+AO193+AR193+AU193+AX193+BA193+BD193</f>
        <v>20000000</v>
      </c>
      <c r="BH193" s="173">
        <f t="shared" ref="BH193" si="287">+U193+X193+AA193+AD193+AG193+AJ193+AM193+AP193+AS193+AV193+AY193+BB193+BE193</f>
        <v>0</v>
      </c>
      <c r="BI193" s="173">
        <f t="shared" ref="BI193" si="288">+V193+Y193+AB193+AE193+AH193+AK193+AN193+AQ193+AT193+AW193+AZ193+BC193+BF193</f>
        <v>0</v>
      </c>
    </row>
    <row r="194" spans="1:67" s="242" customFormat="1" ht="15.75" x14ac:dyDescent="0.2">
      <c r="A194" s="443"/>
      <c r="B194" s="444"/>
      <c r="C194" s="444"/>
      <c r="D194" s="445"/>
      <c r="E194" s="446"/>
      <c r="F194" s="446"/>
      <c r="G194" s="447"/>
      <c r="H194" s="447"/>
      <c r="I194" s="448"/>
      <c r="J194" s="449"/>
      <c r="K194" s="449"/>
      <c r="L194" s="448"/>
      <c r="M194" s="447"/>
      <c r="N194" s="447"/>
      <c r="O194" s="449"/>
      <c r="P194" s="449"/>
      <c r="Q194" s="447"/>
      <c r="R194" s="447"/>
      <c r="S194" s="448"/>
      <c r="T194" s="450"/>
      <c r="U194" s="450"/>
      <c r="V194" s="450"/>
      <c r="W194" s="450"/>
      <c r="X194" s="450"/>
      <c r="Y194" s="450"/>
      <c r="Z194" s="450"/>
      <c r="AA194" s="450"/>
      <c r="AB194" s="450"/>
      <c r="AC194" s="450"/>
      <c r="AD194" s="450"/>
      <c r="AE194" s="450"/>
      <c r="AF194" s="450"/>
      <c r="AG194" s="450"/>
      <c r="AH194" s="450"/>
      <c r="AI194" s="450"/>
      <c r="AJ194" s="450"/>
      <c r="AK194" s="450"/>
      <c r="AL194" s="450"/>
      <c r="AM194" s="450"/>
      <c r="AN194" s="450"/>
      <c r="AO194" s="450"/>
      <c r="AP194" s="450"/>
      <c r="AQ194" s="450"/>
      <c r="AR194" s="450"/>
      <c r="AS194" s="450"/>
      <c r="AT194" s="450"/>
      <c r="AU194" s="450"/>
      <c r="AV194" s="450"/>
      <c r="AW194" s="450"/>
      <c r="AX194" s="451"/>
      <c r="AY194" s="451"/>
      <c r="AZ194" s="451"/>
      <c r="BA194" s="450"/>
      <c r="BB194" s="450"/>
      <c r="BC194" s="450"/>
      <c r="BD194" s="450"/>
      <c r="BE194" s="450"/>
      <c r="BF194" s="450"/>
      <c r="BG194" s="451"/>
      <c r="BH194" s="451"/>
      <c r="BI194" s="451"/>
    </row>
    <row r="195" spans="1:67" ht="22.5" customHeight="1" x14ac:dyDescent="0.2">
      <c r="A195" s="211" t="s">
        <v>693</v>
      </c>
      <c r="B195" s="211"/>
      <c r="C195" s="211"/>
      <c r="D195" s="212"/>
      <c r="E195" s="212"/>
      <c r="F195" s="213"/>
      <c r="G195" s="214"/>
      <c r="H195" s="156"/>
      <c r="I195" s="213"/>
      <c r="J195" s="214"/>
      <c r="K195" s="214"/>
      <c r="L195" s="213"/>
      <c r="M195" s="156"/>
      <c r="N195" s="156"/>
      <c r="O195" s="214"/>
      <c r="P195" s="214"/>
      <c r="Q195" s="425"/>
      <c r="R195" s="214"/>
      <c r="S195" s="213"/>
      <c r="T195" s="188">
        <f>T196</f>
        <v>0</v>
      </c>
      <c r="U195" s="188"/>
      <c r="V195" s="188"/>
      <c r="W195" s="188">
        <f t="shared" ref="W195:BI195" si="289">W196</f>
        <v>0</v>
      </c>
      <c r="X195" s="188"/>
      <c r="Y195" s="188"/>
      <c r="Z195" s="188">
        <f t="shared" si="289"/>
        <v>0</v>
      </c>
      <c r="AA195" s="188"/>
      <c r="AB195" s="188"/>
      <c r="AC195" s="188">
        <f t="shared" si="289"/>
        <v>0</v>
      </c>
      <c r="AD195" s="188"/>
      <c r="AE195" s="188"/>
      <c r="AF195" s="188">
        <f t="shared" si="289"/>
        <v>0</v>
      </c>
      <c r="AG195" s="188"/>
      <c r="AH195" s="188"/>
      <c r="AI195" s="188">
        <f t="shared" si="289"/>
        <v>0</v>
      </c>
      <c r="AJ195" s="188"/>
      <c r="AK195" s="188"/>
      <c r="AL195" s="188">
        <f t="shared" si="289"/>
        <v>0</v>
      </c>
      <c r="AM195" s="188"/>
      <c r="AN195" s="188"/>
      <c r="AO195" s="188">
        <f t="shared" si="289"/>
        <v>0</v>
      </c>
      <c r="AP195" s="188"/>
      <c r="AQ195" s="188"/>
      <c r="AR195" s="188">
        <f t="shared" si="289"/>
        <v>0</v>
      </c>
      <c r="AS195" s="188"/>
      <c r="AT195" s="188"/>
      <c r="AU195" s="188">
        <f t="shared" si="289"/>
        <v>0</v>
      </c>
      <c r="AV195" s="188"/>
      <c r="AW195" s="188"/>
      <c r="AX195" s="188">
        <f t="shared" si="289"/>
        <v>1291267429</v>
      </c>
      <c r="AY195" s="188">
        <f t="shared" si="289"/>
        <v>488543665.32999998</v>
      </c>
      <c r="AZ195" s="188">
        <f t="shared" si="289"/>
        <v>302730666.32999998</v>
      </c>
      <c r="BA195" s="188">
        <f t="shared" si="289"/>
        <v>0</v>
      </c>
      <c r="BB195" s="188"/>
      <c r="BC195" s="188"/>
      <c r="BD195" s="188">
        <f t="shared" si="289"/>
        <v>0</v>
      </c>
      <c r="BE195" s="188"/>
      <c r="BF195" s="188"/>
      <c r="BG195" s="188">
        <f t="shared" si="289"/>
        <v>1291267429</v>
      </c>
      <c r="BH195" s="188">
        <f t="shared" si="289"/>
        <v>488543665.32999998</v>
      </c>
      <c r="BI195" s="188">
        <f t="shared" si="289"/>
        <v>302730666.32999998</v>
      </c>
      <c r="BJ195" s="487"/>
      <c r="BK195" s="487"/>
      <c r="BL195" s="487"/>
      <c r="BM195" s="487"/>
      <c r="BN195" s="487"/>
      <c r="BO195" s="487"/>
    </row>
    <row r="196" spans="1:67" ht="24" customHeight="1" x14ac:dyDescent="0.2">
      <c r="A196" s="452"/>
      <c r="B196" s="259">
        <v>4</v>
      </c>
      <c r="C196" s="159" t="s">
        <v>91</v>
      </c>
      <c r="D196" s="160"/>
      <c r="E196" s="160"/>
      <c r="F196" s="161"/>
      <c r="G196" s="162"/>
      <c r="H196" s="163"/>
      <c r="I196" s="161"/>
      <c r="J196" s="162"/>
      <c r="K196" s="162"/>
      <c r="L196" s="161"/>
      <c r="M196" s="164"/>
      <c r="N196" s="164"/>
      <c r="O196" s="162"/>
      <c r="P196" s="162"/>
      <c r="Q196" s="426"/>
      <c r="R196" s="162"/>
      <c r="S196" s="161"/>
      <c r="T196" s="165">
        <f>T197+T200</f>
        <v>0</v>
      </c>
      <c r="U196" s="165"/>
      <c r="V196" s="165"/>
      <c r="W196" s="165">
        <f t="shared" ref="W196:BI196" si="290">W197+W200</f>
        <v>0</v>
      </c>
      <c r="X196" s="165"/>
      <c r="Y196" s="165"/>
      <c r="Z196" s="165">
        <f t="shared" si="290"/>
        <v>0</v>
      </c>
      <c r="AA196" s="165"/>
      <c r="AB196" s="165"/>
      <c r="AC196" s="165">
        <f t="shared" si="290"/>
        <v>0</v>
      </c>
      <c r="AD196" s="165"/>
      <c r="AE196" s="165"/>
      <c r="AF196" s="165">
        <f t="shared" si="290"/>
        <v>0</v>
      </c>
      <c r="AG196" s="165"/>
      <c r="AH196" s="165"/>
      <c r="AI196" s="165">
        <f t="shared" si="290"/>
        <v>0</v>
      </c>
      <c r="AJ196" s="165"/>
      <c r="AK196" s="165"/>
      <c r="AL196" s="165">
        <f t="shared" si="290"/>
        <v>0</v>
      </c>
      <c r="AM196" s="165"/>
      <c r="AN196" s="165"/>
      <c r="AO196" s="165">
        <f t="shared" si="290"/>
        <v>0</v>
      </c>
      <c r="AP196" s="165"/>
      <c r="AQ196" s="165"/>
      <c r="AR196" s="165">
        <f t="shared" si="290"/>
        <v>0</v>
      </c>
      <c r="AS196" s="165"/>
      <c r="AT196" s="165"/>
      <c r="AU196" s="165">
        <f t="shared" si="290"/>
        <v>0</v>
      </c>
      <c r="AV196" s="165"/>
      <c r="AW196" s="165"/>
      <c r="AX196" s="165">
        <f t="shared" si="290"/>
        <v>1291267429</v>
      </c>
      <c r="AY196" s="165">
        <f t="shared" ref="AY196:AZ196" si="291">AY197+AY200</f>
        <v>488543665.32999998</v>
      </c>
      <c r="AZ196" s="165">
        <f t="shared" si="291"/>
        <v>302730666.32999998</v>
      </c>
      <c r="BA196" s="165">
        <f t="shared" si="290"/>
        <v>0</v>
      </c>
      <c r="BB196" s="165"/>
      <c r="BC196" s="165"/>
      <c r="BD196" s="165">
        <f t="shared" si="290"/>
        <v>0</v>
      </c>
      <c r="BE196" s="165"/>
      <c r="BF196" s="165"/>
      <c r="BG196" s="165">
        <f t="shared" si="290"/>
        <v>1291267429</v>
      </c>
      <c r="BH196" s="165">
        <f t="shared" si="290"/>
        <v>488543665.32999998</v>
      </c>
      <c r="BI196" s="165">
        <f t="shared" si="290"/>
        <v>302730666.32999998</v>
      </c>
    </row>
    <row r="197" spans="1:67" s="158" customFormat="1" ht="21.75" customHeight="1" x14ac:dyDescent="0.25">
      <c r="A197" s="463"/>
      <c r="B197" s="440"/>
      <c r="C197" s="195">
        <v>45</v>
      </c>
      <c r="D197" s="167" t="s">
        <v>92</v>
      </c>
      <c r="E197" s="539" t="s">
        <v>694</v>
      </c>
      <c r="F197" s="539"/>
      <c r="G197" s="539"/>
      <c r="H197" s="539"/>
      <c r="I197" s="539"/>
      <c r="J197" s="170"/>
      <c r="K197" s="170"/>
      <c r="L197" s="357"/>
      <c r="M197" s="169"/>
      <c r="N197" s="169"/>
      <c r="O197" s="170"/>
      <c r="P197" s="170"/>
      <c r="Q197" s="424"/>
      <c r="R197" s="167"/>
      <c r="S197" s="166"/>
      <c r="T197" s="171">
        <f>SUM(T198:T199)</f>
        <v>0</v>
      </c>
      <c r="U197" s="171"/>
      <c r="V197" s="171"/>
      <c r="W197" s="171">
        <f t="shared" ref="W197:BI197" si="292">SUM(W198:W199)</f>
        <v>0</v>
      </c>
      <c r="X197" s="171"/>
      <c r="Y197" s="171"/>
      <c r="Z197" s="171">
        <f t="shared" si="292"/>
        <v>0</v>
      </c>
      <c r="AA197" s="171"/>
      <c r="AB197" s="171"/>
      <c r="AC197" s="171">
        <f t="shared" si="292"/>
        <v>0</v>
      </c>
      <c r="AD197" s="171"/>
      <c r="AE197" s="171"/>
      <c r="AF197" s="171">
        <f t="shared" si="292"/>
        <v>0</v>
      </c>
      <c r="AG197" s="171"/>
      <c r="AH197" s="171"/>
      <c r="AI197" s="171">
        <f t="shared" si="292"/>
        <v>0</v>
      </c>
      <c r="AJ197" s="171"/>
      <c r="AK197" s="171"/>
      <c r="AL197" s="171">
        <f t="shared" si="292"/>
        <v>0</v>
      </c>
      <c r="AM197" s="171"/>
      <c r="AN197" s="171"/>
      <c r="AO197" s="171">
        <f t="shared" si="292"/>
        <v>0</v>
      </c>
      <c r="AP197" s="171"/>
      <c r="AQ197" s="171"/>
      <c r="AR197" s="171">
        <f t="shared" si="292"/>
        <v>0</v>
      </c>
      <c r="AS197" s="171"/>
      <c r="AT197" s="171"/>
      <c r="AU197" s="171">
        <f t="shared" si="292"/>
        <v>0</v>
      </c>
      <c r="AV197" s="171"/>
      <c r="AW197" s="171"/>
      <c r="AX197" s="171">
        <f t="shared" si="292"/>
        <v>1041267429</v>
      </c>
      <c r="AY197" s="171">
        <f t="shared" ref="AY197:AZ197" si="293">SUM(AY198:AY199)</f>
        <v>488543665.32999998</v>
      </c>
      <c r="AZ197" s="171">
        <f t="shared" si="293"/>
        <v>302730666.32999998</v>
      </c>
      <c r="BA197" s="171">
        <f t="shared" si="292"/>
        <v>0</v>
      </c>
      <c r="BB197" s="171"/>
      <c r="BC197" s="171"/>
      <c r="BD197" s="171">
        <f t="shared" si="292"/>
        <v>0</v>
      </c>
      <c r="BE197" s="171"/>
      <c r="BF197" s="171"/>
      <c r="BG197" s="171">
        <f t="shared" si="292"/>
        <v>1041267429</v>
      </c>
      <c r="BH197" s="171">
        <f t="shared" si="292"/>
        <v>488543665.32999998</v>
      </c>
      <c r="BI197" s="171">
        <f t="shared" si="292"/>
        <v>302730666.32999998</v>
      </c>
    </row>
    <row r="198" spans="1:67" ht="113.25" customHeight="1" x14ac:dyDescent="0.2">
      <c r="A198" s="438"/>
      <c r="B198" s="441"/>
      <c r="C198" s="373"/>
      <c r="D198" s="374"/>
      <c r="E198" s="354" t="s">
        <v>92</v>
      </c>
      <c r="F198" s="356" t="s">
        <v>94</v>
      </c>
      <c r="G198" s="300" t="s">
        <v>695</v>
      </c>
      <c r="H198" s="354" t="s">
        <v>92</v>
      </c>
      <c r="I198" s="355" t="s">
        <v>696</v>
      </c>
      <c r="J198" s="300" t="s">
        <v>697</v>
      </c>
      <c r="K198" s="298" t="s">
        <v>92</v>
      </c>
      <c r="L198" s="299" t="s">
        <v>1475</v>
      </c>
      <c r="M198" s="309" t="s">
        <v>98</v>
      </c>
      <c r="N198" s="298">
        <v>1</v>
      </c>
      <c r="O198" s="300">
        <v>1</v>
      </c>
      <c r="P198" s="330" t="s">
        <v>1411</v>
      </c>
      <c r="Q198" s="421" t="s">
        <v>99</v>
      </c>
      <c r="R198" s="354" t="s">
        <v>698</v>
      </c>
      <c r="S198" s="355" t="s">
        <v>699</v>
      </c>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223">
        <v>255021326</v>
      </c>
      <c r="AY198" s="223">
        <v>198380333.32999998</v>
      </c>
      <c r="AZ198" s="223">
        <v>134665666.32999998</v>
      </c>
      <c r="BA198" s="43"/>
      <c r="BB198" s="43"/>
      <c r="BC198" s="43"/>
      <c r="BD198" s="43"/>
      <c r="BE198" s="43"/>
      <c r="BF198" s="43"/>
      <c r="BG198" s="173">
        <f>+T198+W198+Z198+AC198+AF198+AI198+AL198+AO198+AR198+AU198+AX198+BA198+BD198</f>
        <v>255021326</v>
      </c>
      <c r="BH198" s="173">
        <f t="shared" ref="BH198:BI199" si="294">+U198+X198+AA198+AD198+AG198+AJ198+AM198+AP198+AS198+AV198+AY198+BB198+BE198</f>
        <v>198380333.32999998</v>
      </c>
      <c r="BI198" s="173">
        <f t="shared" si="294"/>
        <v>134665666.32999998</v>
      </c>
    </row>
    <row r="199" spans="1:67" ht="71.25" customHeight="1" x14ac:dyDescent="0.2">
      <c r="A199" s="438"/>
      <c r="B199" s="441"/>
      <c r="C199" s="373"/>
      <c r="D199" s="374"/>
      <c r="E199" s="364" t="s">
        <v>92</v>
      </c>
      <c r="F199" s="356" t="s">
        <v>94</v>
      </c>
      <c r="G199" s="300" t="s">
        <v>700</v>
      </c>
      <c r="H199" s="354" t="s">
        <v>92</v>
      </c>
      <c r="I199" s="355" t="s">
        <v>701</v>
      </c>
      <c r="J199" s="300" t="s">
        <v>702</v>
      </c>
      <c r="K199" s="298" t="s">
        <v>92</v>
      </c>
      <c r="L199" s="299" t="s">
        <v>703</v>
      </c>
      <c r="M199" s="309" t="s">
        <v>98</v>
      </c>
      <c r="N199" s="298">
        <v>1</v>
      </c>
      <c r="O199" s="300">
        <v>1</v>
      </c>
      <c r="P199" s="330" t="s">
        <v>1412</v>
      </c>
      <c r="Q199" s="421" t="s">
        <v>99</v>
      </c>
      <c r="R199" s="354" t="s">
        <v>704</v>
      </c>
      <c r="S199" s="355" t="s">
        <v>705</v>
      </c>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223">
        <f>486246103+300000000</f>
        <v>786246103</v>
      </c>
      <c r="AY199" s="223">
        <v>290163332</v>
      </c>
      <c r="AZ199" s="223">
        <v>168065000</v>
      </c>
      <c r="BA199" s="43"/>
      <c r="BB199" s="43"/>
      <c r="BC199" s="43"/>
      <c r="BD199" s="43"/>
      <c r="BE199" s="43"/>
      <c r="BF199" s="43"/>
      <c r="BG199" s="173">
        <f>+T199+W199+Z199+AC199+AF199+AI199+AL199+AO199+AR199+AU199+AX199+BA199+BD199</f>
        <v>786246103</v>
      </c>
      <c r="BH199" s="173">
        <f t="shared" si="294"/>
        <v>290163332</v>
      </c>
      <c r="BI199" s="173">
        <f t="shared" si="294"/>
        <v>168065000</v>
      </c>
    </row>
    <row r="200" spans="1:67" ht="21" customHeight="1" x14ac:dyDescent="0.2">
      <c r="A200" s="438"/>
      <c r="B200" s="441"/>
      <c r="C200" s="195">
        <v>42</v>
      </c>
      <c r="D200" s="167">
        <v>4502</v>
      </c>
      <c r="E200" s="224" t="s">
        <v>108</v>
      </c>
      <c r="F200" s="166"/>
      <c r="G200" s="167"/>
      <c r="H200" s="168"/>
      <c r="I200" s="166"/>
      <c r="J200" s="167"/>
      <c r="K200" s="167"/>
      <c r="L200" s="166"/>
      <c r="M200" s="169"/>
      <c r="N200" s="169"/>
      <c r="O200" s="167"/>
      <c r="P200" s="167"/>
      <c r="Q200" s="424"/>
      <c r="R200" s="167"/>
      <c r="S200" s="166"/>
      <c r="T200" s="171">
        <f t="shared" ref="T200:BD200" si="295">SUM(T201)</f>
        <v>0</v>
      </c>
      <c r="U200" s="171"/>
      <c r="V200" s="171"/>
      <c r="W200" s="171">
        <f t="shared" si="295"/>
        <v>0</v>
      </c>
      <c r="X200" s="171"/>
      <c r="Y200" s="171"/>
      <c r="Z200" s="171">
        <f t="shared" si="295"/>
        <v>0</v>
      </c>
      <c r="AA200" s="171"/>
      <c r="AB200" s="171"/>
      <c r="AC200" s="171">
        <f t="shared" si="295"/>
        <v>0</v>
      </c>
      <c r="AD200" s="171"/>
      <c r="AE200" s="171"/>
      <c r="AF200" s="171">
        <f t="shared" si="295"/>
        <v>0</v>
      </c>
      <c r="AG200" s="171"/>
      <c r="AH200" s="171"/>
      <c r="AI200" s="171">
        <f t="shared" si="295"/>
        <v>0</v>
      </c>
      <c r="AJ200" s="171"/>
      <c r="AK200" s="171"/>
      <c r="AL200" s="171">
        <f t="shared" si="295"/>
        <v>0</v>
      </c>
      <c r="AM200" s="171"/>
      <c r="AN200" s="171"/>
      <c r="AO200" s="171">
        <f t="shared" si="295"/>
        <v>0</v>
      </c>
      <c r="AP200" s="171"/>
      <c r="AQ200" s="171"/>
      <c r="AR200" s="171">
        <f t="shared" si="295"/>
        <v>0</v>
      </c>
      <c r="AS200" s="171"/>
      <c r="AT200" s="171"/>
      <c r="AU200" s="171">
        <f t="shared" si="295"/>
        <v>0</v>
      </c>
      <c r="AV200" s="171"/>
      <c r="AW200" s="171"/>
      <c r="AX200" s="171">
        <f t="shared" si="295"/>
        <v>250000000</v>
      </c>
      <c r="AY200" s="171">
        <f t="shared" si="295"/>
        <v>0</v>
      </c>
      <c r="AZ200" s="171">
        <f t="shared" si="295"/>
        <v>0</v>
      </c>
      <c r="BA200" s="171">
        <f t="shared" si="295"/>
        <v>0</v>
      </c>
      <c r="BB200" s="171"/>
      <c r="BC200" s="171"/>
      <c r="BD200" s="171">
        <f t="shared" si="295"/>
        <v>0</v>
      </c>
      <c r="BE200" s="171"/>
      <c r="BF200" s="171"/>
      <c r="BG200" s="171">
        <f>SUM(BG201)</f>
        <v>250000000</v>
      </c>
      <c r="BH200" s="171">
        <f t="shared" ref="BH200:BI200" si="296">SUM(BH201)</f>
        <v>0</v>
      </c>
      <c r="BI200" s="171">
        <f t="shared" si="296"/>
        <v>0</v>
      </c>
    </row>
    <row r="201" spans="1:67" s="153" customFormat="1" ht="125.25" customHeight="1" x14ac:dyDescent="0.2">
      <c r="A201" s="467"/>
      <c r="B201" s="468"/>
      <c r="C201" s="390"/>
      <c r="D201" s="386"/>
      <c r="E201" s="340">
        <v>4502</v>
      </c>
      <c r="F201" s="225" t="s">
        <v>109</v>
      </c>
      <c r="G201" s="298" t="s">
        <v>706</v>
      </c>
      <c r="H201" s="354" t="s">
        <v>92</v>
      </c>
      <c r="I201" s="356" t="s">
        <v>1449</v>
      </c>
      <c r="J201" s="298" t="s">
        <v>707</v>
      </c>
      <c r="K201" s="298" t="s">
        <v>1417</v>
      </c>
      <c r="L201" s="299" t="s">
        <v>708</v>
      </c>
      <c r="M201" s="310" t="s">
        <v>98</v>
      </c>
      <c r="N201" s="303">
        <v>30</v>
      </c>
      <c r="O201" s="303">
        <v>30</v>
      </c>
      <c r="P201" s="332">
        <v>0</v>
      </c>
      <c r="Q201" s="243" t="s">
        <v>114</v>
      </c>
      <c r="R201" s="226" t="s">
        <v>709</v>
      </c>
      <c r="S201" s="356" t="s">
        <v>710</v>
      </c>
      <c r="T201" s="227"/>
      <c r="U201" s="227"/>
      <c r="V201" s="227"/>
      <c r="W201" s="227"/>
      <c r="X201" s="227"/>
      <c r="Y201" s="227"/>
      <c r="Z201" s="227"/>
      <c r="AA201" s="227"/>
      <c r="AB201" s="227"/>
      <c r="AC201" s="227"/>
      <c r="AD201" s="227"/>
      <c r="AE201" s="227"/>
      <c r="AF201" s="227"/>
      <c r="AG201" s="227"/>
      <c r="AH201" s="227"/>
      <c r="AI201" s="227"/>
      <c r="AJ201" s="227"/>
      <c r="AK201" s="227"/>
      <c r="AL201" s="227"/>
      <c r="AM201" s="227"/>
      <c r="AN201" s="227"/>
      <c r="AO201" s="227"/>
      <c r="AP201" s="227"/>
      <c r="AQ201" s="227"/>
      <c r="AR201" s="227"/>
      <c r="AS201" s="227"/>
      <c r="AT201" s="227"/>
      <c r="AU201" s="227"/>
      <c r="AV201" s="227"/>
      <c r="AW201" s="227"/>
      <c r="AX201" s="228">
        <v>250000000</v>
      </c>
      <c r="AY201" s="228"/>
      <c r="AZ201" s="228"/>
      <c r="BA201" s="227"/>
      <c r="BB201" s="227"/>
      <c r="BC201" s="227"/>
      <c r="BD201" s="178"/>
      <c r="BE201" s="178"/>
      <c r="BF201" s="178"/>
      <c r="BG201" s="173">
        <f>+T201+W201+Z201+AC201+AF201+AI201+AL201+AO201+AR201+AU201+AX201+BA201+BD201</f>
        <v>250000000</v>
      </c>
      <c r="BH201" s="173">
        <f t="shared" ref="BH201:BI201" si="297">+U201+X201+AA201+AD201+AG201+AJ201+AM201+AP201+AS201+AV201+AY201+BB201+BE201</f>
        <v>0</v>
      </c>
      <c r="BI201" s="173">
        <f t="shared" si="297"/>
        <v>0</v>
      </c>
    </row>
    <row r="202" spans="1:67" s="242" customFormat="1" ht="15.75" x14ac:dyDescent="0.2">
      <c r="A202" s="443"/>
      <c r="B202" s="444"/>
      <c r="C202" s="444"/>
      <c r="D202" s="445"/>
      <c r="E202" s="446"/>
      <c r="F202" s="446"/>
      <c r="G202" s="447"/>
      <c r="H202" s="447"/>
      <c r="I202" s="448"/>
      <c r="J202" s="449"/>
      <c r="K202" s="449"/>
      <c r="L202" s="448"/>
      <c r="M202" s="447"/>
      <c r="N202" s="447"/>
      <c r="O202" s="449"/>
      <c r="P202" s="449"/>
      <c r="Q202" s="447"/>
      <c r="R202" s="447"/>
      <c r="S202" s="448"/>
      <c r="T202" s="450"/>
      <c r="U202" s="450"/>
      <c r="V202" s="450"/>
      <c r="W202" s="450"/>
      <c r="X202" s="450"/>
      <c r="Y202" s="450"/>
      <c r="Z202" s="450"/>
      <c r="AA202" s="450"/>
      <c r="AB202" s="450"/>
      <c r="AC202" s="450"/>
      <c r="AD202" s="450"/>
      <c r="AE202" s="450"/>
      <c r="AF202" s="450"/>
      <c r="AG202" s="450"/>
      <c r="AH202" s="450"/>
      <c r="AI202" s="450"/>
      <c r="AJ202" s="450"/>
      <c r="AK202" s="450"/>
      <c r="AL202" s="450"/>
      <c r="AM202" s="450"/>
      <c r="AN202" s="450"/>
      <c r="AO202" s="450"/>
      <c r="AP202" s="450"/>
      <c r="AQ202" s="450"/>
      <c r="AR202" s="450"/>
      <c r="AS202" s="450"/>
      <c r="AT202" s="450"/>
      <c r="AU202" s="450"/>
      <c r="AV202" s="450"/>
      <c r="AW202" s="450"/>
      <c r="AX202" s="451"/>
      <c r="AY202" s="451"/>
      <c r="AZ202" s="451"/>
      <c r="BA202" s="450"/>
      <c r="BB202" s="450"/>
      <c r="BC202" s="450"/>
      <c r="BD202" s="450"/>
      <c r="BE202" s="450"/>
      <c r="BF202" s="450"/>
      <c r="BG202" s="451"/>
      <c r="BH202" s="451"/>
      <c r="BI202" s="451"/>
    </row>
    <row r="203" spans="1:67" ht="15.75" x14ac:dyDescent="0.2">
      <c r="A203" s="211" t="s">
        <v>711</v>
      </c>
      <c r="B203" s="211"/>
      <c r="C203" s="211"/>
      <c r="D203" s="212"/>
      <c r="E203" s="212"/>
      <c r="F203" s="213"/>
      <c r="G203" s="214"/>
      <c r="H203" s="156"/>
      <c r="I203" s="213"/>
      <c r="J203" s="214"/>
      <c r="K203" s="214"/>
      <c r="L203" s="213"/>
      <c r="M203" s="156"/>
      <c r="N203" s="156"/>
      <c r="O203" s="214"/>
      <c r="P203" s="214"/>
      <c r="Q203" s="212"/>
      <c r="R203" s="214"/>
      <c r="S203" s="213"/>
      <c r="T203" s="188">
        <f t="shared" ref="T203:BF203" si="298">T204</f>
        <v>0</v>
      </c>
      <c r="U203" s="188">
        <f t="shared" si="298"/>
        <v>0</v>
      </c>
      <c r="V203" s="188">
        <f t="shared" si="298"/>
        <v>0</v>
      </c>
      <c r="W203" s="188">
        <f t="shared" si="298"/>
        <v>0</v>
      </c>
      <c r="X203" s="188">
        <f t="shared" si="298"/>
        <v>0</v>
      </c>
      <c r="Y203" s="188">
        <f t="shared" si="298"/>
        <v>0</v>
      </c>
      <c r="Z203" s="188">
        <f t="shared" si="298"/>
        <v>0</v>
      </c>
      <c r="AA203" s="188">
        <f t="shared" si="298"/>
        <v>0</v>
      </c>
      <c r="AB203" s="188">
        <f t="shared" si="298"/>
        <v>0</v>
      </c>
      <c r="AC203" s="188">
        <f t="shared" si="298"/>
        <v>2849173512.6999998</v>
      </c>
      <c r="AD203" s="188">
        <f t="shared" si="298"/>
        <v>1346800605</v>
      </c>
      <c r="AE203" s="188">
        <f t="shared" si="298"/>
        <v>929384162</v>
      </c>
      <c r="AF203" s="188">
        <f t="shared" si="298"/>
        <v>0</v>
      </c>
      <c r="AG203" s="188">
        <f t="shared" si="298"/>
        <v>0</v>
      </c>
      <c r="AH203" s="188">
        <f t="shared" si="298"/>
        <v>0</v>
      </c>
      <c r="AI203" s="188">
        <f t="shared" si="298"/>
        <v>0</v>
      </c>
      <c r="AJ203" s="188">
        <f t="shared" si="298"/>
        <v>0</v>
      </c>
      <c r="AK203" s="188">
        <f t="shared" si="298"/>
        <v>0</v>
      </c>
      <c r="AL203" s="188">
        <f t="shared" si="298"/>
        <v>134989913515.46001</v>
      </c>
      <c r="AM203" s="188">
        <f t="shared" si="298"/>
        <v>90736278326</v>
      </c>
      <c r="AN203" s="188">
        <f t="shared" si="298"/>
        <v>89715762271</v>
      </c>
      <c r="AO203" s="188">
        <f t="shared" si="298"/>
        <v>23500000000</v>
      </c>
      <c r="AP203" s="188">
        <f t="shared" si="298"/>
        <v>19060689144</v>
      </c>
      <c r="AQ203" s="188">
        <f t="shared" si="298"/>
        <v>19060689144</v>
      </c>
      <c r="AR203" s="188">
        <f t="shared" si="298"/>
        <v>13759826753.450001</v>
      </c>
      <c r="AS203" s="188">
        <f t="shared" si="298"/>
        <v>12938796308</v>
      </c>
      <c r="AT203" s="188">
        <f t="shared" si="298"/>
        <v>7834225057</v>
      </c>
      <c r="AU203" s="188">
        <f t="shared" si="298"/>
        <v>0</v>
      </c>
      <c r="AV203" s="188">
        <f t="shared" si="298"/>
        <v>0</v>
      </c>
      <c r="AW203" s="188">
        <f t="shared" si="298"/>
        <v>0</v>
      </c>
      <c r="AX203" s="188">
        <f t="shared" si="298"/>
        <v>3959547493.3100004</v>
      </c>
      <c r="AY203" s="188">
        <f t="shared" si="298"/>
        <v>3242971655</v>
      </c>
      <c r="AZ203" s="188">
        <f t="shared" si="298"/>
        <v>2086041258</v>
      </c>
      <c r="BA203" s="188">
        <f t="shared" si="298"/>
        <v>83149.960000000006</v>
      </c>
      <c r="BB203" s="188">
        <f t="shared" si="298"/>
        <v>0</v>
      </c>
      <c r="BC203" s="188">
        <f t="shared" si="298"/>
        <v>0</v>
      </c>
      <c r="BD203" s="188">
        <f t="shared" si="298"/>
        <v>0</v>
      </c>
      <c r="BE203" s="188">
        <f t="shared" si="298"/>
        <v>0</v>
      </c>
      <c r="BF203" s="188">
        <f t="shared" si="298"/>
        <v>0</v>
      </c>
      <c r="BG203" s="188">
        <f t="shared" ref="BG203:BI203" si="299">BG204</f>
        <v>179058544424.88</v>
      </c>
      <c r="BH203" s="188">
        <f t="shared" si="299"/>
        <v>127325536038</v>
      </c>
      <c r="BI203" s="188">
        <f t="shared" si="299"/>
        <v>119626101892</v>
      </c>
      <c r="BJ203" s="487"/>
      <c r="BK203" s="487"/>
      <c r="BL203" s="487"/>
      <c r="BM203" s="487"/>
      <c r="BN203" s="487"/>
      <c r="BO203" s="487"/>
    </row>
    <row r="204" spans="1:67" ht="15.75" x14ac:dyDescent="0.2">
      <c r="A204" s="452"/>
      <c r="B204" s="259">
        <v>1</v>
      </c>
      <c r="C204" s="159" t="s">
        <v>1</v>
      </c>
      <c r="D204" s="160"/>
      <c r="E204" s="160"/>
      <c r="F204" s="161"/>
      <c r="G204" s="162"/>
      <c r="H204" s="163"/>
      <c r="I204" s="161"/>
      <c r="J204" s="162"/>
      <c r="K204" s="162"/>
      <c r="L204" s="161"/>
      <c r="M204" s="164"/>
      <c r="N204" s="164"/>
      <c r="O204" s="162"/>
      <c r="P204" s="162"/>
      <c r="Q204" s="160"/>
      <c r="R204" s="162"/>
      <c r="S204" s="161"/>
      <c r="T204" s="165">
        <f t="shared" ref="T204:BF204" si="300">T205+T227</f>
        <v>0</v>
      </c>
      <c r="U204" s="165">
        <f t="shared" si="300"/>
        <v>0</v>
      </c>
      <c r="V204" s="165">
        <f t="shared" si="300"/>
        <v>0</v>
      </c>
      <c r="W204" s="165">
        <f t="shared" si="300"/>
        <v>0</v>
      </c>
      <c r="X204" s="165">
        <f t="shared" si="300"/>
        <v>0</v>
      </c>
      <c r="Y204" s="165">
        <f t="shared" si="300"/>
        <v>0</v>
      </c>
      <c r="Z204" s="165">
        <f t="shared" si="300"/>
        <v>0</v>
      </c>
      <c r="AA204" s="165">
        <f t="shared" si="300"/>
        <v>0</v>
      </c>
      <c r="AB204" s="165">
        <f t="shared" si="300"/>
        <v>0</v>
      </c>
      <c r="AC204" s="165">
        <f t="shared" si="300"/>
        <v>2849173512.6999998</v>
      </c>
      <c r="AD204" s="165">
        <f t="shared" si="300"/>
        <v>1346800605</v>
      </c>
      <c r="AE204" s="165">
        <f t="shared" si="300"/>
        <v>929384162</v>
      </c>
      <c r="AF204" s="165">
        <f t="shared" si="300"/>
        <v>0</v>
      </c>
      <c r="AG204" s="165">
        <f t="shared" si="300"/>
        <v>0</v>
      </c>
      <c r="AH204" s="165">
        <f t="shared" si="300"/>
        <v>0</v>
      </c>
      <c r="AI204" s="165">
        <f t="shared" si="300"/>
        <v>0</v>
      </c>
      <c r="AJ204" s="165">
        <f t="shared" si="300"/>
        <v>0</v>
      </c>
      <c r="AK204" s="165">
        <f t="shared" si="300"/>
        <v>0</v>
      </c>
      <c r="AL204" s="165">
        <f t="shared" si="300"/>
        <v>134989913515.46001</v>
      </c>
      <c r="AM204" s="165">
        <f t="shared" si="300"/>
        <v>90736278326</v>
      </c>
      <c r="AN204" s="165">
        <f t="shared" si="300"/>
        <v>89715762271</v>
      </c>
      <c r="AO204" s="165">
        <f t="shared" si="300"/>
        <v>23500000000</v>
      </c>
      <c r="AP204" s="165">
        <f t="shared" si="300"/>
        <v>19060689144</v>
      </c>
      <c r="AQ204" s="165">
        <f t="shared" si="300"/>
        <v>19060689144</v>
      </c>
      <c r="AR204" s="165">
        <f t="shared" si="300"/>
        <v>13759826753.450001</v>
      </c>
      <c r="AS204" s="165">
        <f t="shared" si="300"/>
        <v>12938796308</v>
      </c>
      <c r="AT204" s="165">
        <f t="shared" si="300"/>
        <v>7834225057</v>
      </c>
      <c r="AU204" s="165">
        <f t="shared" si="300"/>
        <v>0</v>
      </c>
      <c r="AV204" s="165">
        <f t="shared" si="300"/>
        <v>0</v>
      </c>
      <c r="AW204" s="165">
        <f t="shared" si="300"/>
        <v>0</v>
      </c>
      <c r="AX204" s="165">
        <f t="shared" si="300"/>
        <v>3959547493.3100004</v>
      </c>
      <c r="AY204" s="165">
        <f t="shared" si="300"/>
        <v>3242971655</v>
      </c>
      <c r="AZ204" s="165">
        <f t="shared" si="300"/>
        <v>2086041258</v>
      </c>
      <c r="BA204" s="165">
        <f t="shared" si="300"/>
        <v>83149.960000000006</v>
      </c>
      <c r="BB204" s="165">
        <f t="shared" si="300"/>
        <v>0</v>
      </c>
      <c r="BC204" s="165">
        <f t="shared" si="300"/>
        <v>0</v>
      </c>
      <c r="BD204" s="165">
        <f t="shared" si="300"/>
        <v>0</v>
      </c>
      <c r="BE204" s="165">
        <f t="shared" si="300"/>
        <v>0</v>
      </c>
      <c r="BF204" s="165">
        <f t="shared" si="300"/>
        <v>0</v>
      </c>
      <c r="BG204" s="165">
        <f>BG205+BG227</f>
        <v>179058544424.88</v>
      </c>
      <c r="BH204" s="165">
        <f t="shared" ref="BH204:BI204" si="301">BH205+BH227</f>
        <v>127325536038</v>
      </c>
      <c r="BI204" s="165">
        <f t="shared" si="301"/>
        <v>119626101892</v>
      </c>
    </row>
    <row r="205" spans="1:67" ht="15.75" x14ac:dyDescent="0.2">
      <c r="A205" s="438"/>
      <c r="B205" s="440"/>
      <c r="C205" s="357">
        <v>15</v>
      </c>
      <c r="D205" s="170">
        <v>2201</v>
      </c>
      <c r="E205" s="224" t="s">
        <v>200</v>
      </c>
      <c r="F205" s="166"/>
      <c r="G205" s="167"/>
      <c r="H205" s="168"/>
      <c r="I205" s="166"/>
      <c r="J205" s="167"/>
      <c r="K205" s="167"/>
      <c r="L205" s="166"/>
      <c r="M205" s="169"/>
      <c r="N205" s="169"/>
      <c r="O205" s="167"/>
      <c r="P205" s="167"/>
      <c r="Q205" s="170"/>
      <c r="R205" s="167"/>
      <c r="S205" s="166"/>
      <c r="T205" s="171">
        <f t="shared" ref="T205:BF205" si="302">SUM(T206:T226)</f>
        <v>0</v>
      </c>
      <c r="U205" s="171">
        <f t="shared" si="302"/>
        <v>0</v>
      </c>
      <c r="V205" s="171">
        <f t="shared" si="302"/>
        <v>0</v>
      </c>
      <c r="W205" s="171">
        <f t="shared" si="302"/>
        <v>0</v>
      </c>
      <c r="X205" s="171">
        <f t="shared" si="302"/>
        <v>0</v>
      </c>
      <c r="Y205" s="171">
        <f t="shared" si="302"/>
        <v>0</v>
      </c>
      <c r="Z205" s="171">
        <f t="shared" si="302"/>
        <v>0</v>
      </c>
      <c r="AA205" s="171">
        <f t="shared" si="302"/>
        <v>0</v>
      </c>
      <c r="AB205" s="171">
        <f t="shared" si="302"/>
        <v>0</v>
      </c>
      <c r="AC205" s="171">
        <f t="shared" si="302"/>
        <v>2759173512.6999998</v>
      </c>
      <c r="AD205" s="171">
        <f t="shared" si="302"/>
        <v>1307577200</v>
      </c>
      <c r="AE205" s="171">
        <f t="shared" si="302"/>
        <v>919455336</v>
      </c>
      <c r="AF205" s="171">
        <f t="shared" si="302"/>
        <v>0</v>
      </c>
      <c r="AG205" s="171">
        <f t="shared" si="302"/>
        <v>0</v>
      </c>
      <c r="AH205" s="171">
        <f t="shared" si="302"/>
        <v>0</v>
      </c>
      <c r="AI205" s="171">
        <f t="shared" si="302"/>
        <v>0</v>
      </c>
      <c r="AJ205" s="171">
        <f t="shared" si="302"/>
        <v>0</v>
      </c>
      <c r="AK205" s="171">
        <f t="shared" si="302"/>
        <v>0</v>
      </c>
      <c r="AL205" s="171">
        <f t="shared" si="302"/>
        <v>134989913515.46001</v>
      </c>
      <c r="AM205" s="171">
        <f t="shared" si="302"/>
        <v>90736278326</v>
      </c>
      <c r="AN205" s="171">
        <f t="shared" si="302"/>
        <v>89715762271</v>
      </c>
      <c r="AO205" s="171">
        <f t="shared" si="302"/>
        <v>23500000000</v>
      </c>
      <c r="AP205" s="171">
        <f t="shared" si="302"/>
        <v>19060689144</v>
      </c>
      <c r="AQ205" s="171">
        <f t="shared" si="302"/>
        <v>19060689144</v>
      </c>
      <c r="AR205" s="171">
        <f t="shared" si="302"/>
        <v>13759826753.450001</v>
      </c>
      <c r="AS205" s="171">
        <f t="shared" si="302"/>
        <v>12938796308</v>
      </c>
      <c r="AT205" s="171">
        <f t="shared" si="302"/>
        <v>7834225057</v>
      </c>
      <c r="AU205" s="171">
        <f t="shared" si="302"/>
        <v>0</v>
      </c>
      <c r="AV205" s="171">
        <f t="shared" si="302"/>
        <v>0</v>
      </c>
      <c r="AW205" s="171">
        <f t="shared" si="302"/>
        <v>0</v>
      </c>
      <c r="AX205" s="171">
        <f t="shared" si="302"/>
        <v>3805708993.3100004</v>
      </c>
      <c r="AY205" s="171">
        <f t="shared" si="302"/>
        <v>3109172982</v>
      </c>
      <c r="AZ205" s="171">
        <f t="shared" si="302"/>
        <v>1952242585</v>
      </c>
      <c r="BA205" s="171">
        <f t="shared" si="302"/>
        <v>83149.960000000006</v>
      </c>
      <c r="BB205" s="171">
        <f t="shared" si="302"/>
        <v>0</v>
      </c>
      <c r="BC205" s="171">
        <f t="shared" si="302"/>
        <v>0</v>
      </c>
      <c r="BD205" s="171">
        <f t="shared" si="302"/>
        <v>0</v>
      </c>
      <c r="BE205" s="171">
        <f t="shared" si="302"/>
        <v>0</v>
      </c>
      <c r="BF205" s="171">
        <f t="shared" si="302"/>
        <v>0</v>
      </c>
      <c r="BG205" s="171">
        <f>SUM(BG206:BG226)</f>
        <v>178814705924.88</v>
      </c>
      <c r="BH205" s="171">
        <f t="shared" ref="BH205:BI205" si="303">SUM(BH206:BH226)</f>
        <v>127152513960</v>
      </c>
      <c r="BI205" s="171">
        <f t="shared" si="303"/>
        <v>119482374393</v>
      </c>
    </row>
    <row r="206" spans="1:67" ht="80.25" customHeight="1" x14ac:dyDescent="0.2">
      <c r="A206" s="438"/>
      <c r="B206" s="441"/>
      <c r="C206" s="373"/>
      <c r="D206" s="374"/>
      <c r="E206" s="354">
        <v>2201</v>
      </c>
      <c r="F206" s="355" t="s">
        <v>712</v>
      </c>
      <c r="G206" s="359" t="s">
        <v>713</v>
      </c>
      <c r="H206" s="354">
        <v>2201033</v>
      </c>
      <c r="I206" s="355" t="s">
        <v>714</v>
      </c>
      <c r="J206" s="359" t="s">
        <v>715</v>
      </c>
      <c r="K206" s="311">
        <v>220103300</v>
      </c>
      <c r="L206" s="304" t="s">
        <v>716</v>
      </c>
      <c r="M206" s="298" t="s">
        <v>188</v>
      </c>
      <c r="N206" s="298">
        <v>36000</v>
      </c>
      <c r="O206" s="298">
        <v>9000</v>
      </c>
      <c r="P206" s="298">
        <v>6750</v>
      </c>
      <c r="Q206" s="536" t="s">
        <v>207</v>
      </c>
      <c r="R206" s="517" t="s">
        <v>717</v>
      </c>
      <c r="S206" s="518" t="s">
        <v>718</v>
      </c>
      <c r="T206" s="43"/>
      <c r="U206" s="43"/>
      <c r="V206" s="43"/>
      <c r="W206" s="43"/>
      <c r="X206" s="43"/>
      <c r="Y206" s="43"/>
      <c r="Z206" s="43"/>
      <c r="AA206" s="43"/>
      <c r="AB206" s="43"/>
      <c r="AC206" s="43">
        <f>2349543380-59954338+259954557.96</f>
        <v>2549543599.96</v>
      </c>
      <c r="AD206" s="43">
        <v>1307577200</v>
      </c>
      <c r="AE206" s="43">
        <v>919455336</v>
      </c>
      <c r="AF206" s="43"/>
      <c r="AG206" s="43"/>
      <c r="AH206" s="43"/>
      <c r="AI206" s="43"/>
      <c r="AJ206" s="43"/>
      <c r="AK206" s="43"/>
      <c r="AL206" s="43"/>
      <c r="AM206" s="43"/>
      <c r="AN206" s="43"/>
      <c r="AO206" s="43"/>
      <c r="AP206" s="43"/>
      <c r="AQ206" s="43"/>
      <c r="AR206" s="43"/>
      <c r="AS206" s="43"/>
      <c r="AT206" s="43"/>
      <c r="AU206" s="43"/>
      <c r="AV206" s="43"/>
      <c r="AW206" s="43"/>
      <c r="AX206" s="393">
        <f>1140000000+130863000+400000000+182906493.22+1283000000</f>
        <v>3136769493.2200003</v>
      </c>
      <c r="AY206" s="393">
        <v>2655436849</v>
      </c>
      <c r="AZ206" s="393">
        <v>1789955050</v>
      </c>
      <c r="BA206" s="43"/>
      <c r="BB206" s="43"/>
      <c r="BC206" s="43"/>
      <c r="BD206" s="43"/>
      <c r="BE206" s="43"/>
      <c r="BF206" s="43"/>
      <c r="BG206" s="173">
        <f t="shared" ref="BG206:BI221" si="304">+T206+W206+Z206+AC206+AF206+AI206+AL206+AO206+AR206+AU206+AX206+BA206+BD206</f>
        <v>5686313093.1800003</v>
      </c>
      <c r="BH206" s="173">
        <f t="shared" si="304"/>
        <v>3963014049</v>
      </c>
      <c r="BI206" s="173">
        <f t="shared" si="304"/>
        <v>2709410386</v>
      </c>
    </row>
    <row r="207" spans="1:67" s="202" customFormat="1" ht="97.5" customHeight="1" x14ac:dyDescent="0.2">
      <c r="A207" s="456"/>
      <c r="B207" s="491"/>
      <c r="C207" s="492"/>
      <c r="D207" s="353"/>
      <c r="E207" s="494">
        <v>2201</v>
      </c>
      <c r="F207" s="493" t="s">
        <v>719</v>
      </c>
      <c r="G207" s="494" t="s">
        <v>720</v>
      </c>
      <c r="H207" s="494">
        <v>2201028</v>
      </c>
      <c r="I207" s="493" t="s">
        <v>721</v>
      </c>
      <c r="J207" s="494" t="s">
        <v>722</v>
      </c>
      <c r="K207" s="311">
        <v>220102801</v>
      </c>
      <c r="L207" s="493" t="s">
        <v>723</v>
      </c>
      <c r="M207" s="303" t="s">
        <v>98</v>
      </c>
      <c r="N207" s="303">
        <v>36000</v>
      </c>
      <c r="O207" s="303">
        <v>36000</v>
      </c>
      <c r="P207" s="303">
        <v>28368</v>
      </c>
      <c r="Q207" s="536"/>
      <c r="R207" s="517"/>
      <c r="S207" s="518"/>
      <c r="T207" s="43"/>
      <c r="U207" s="43"/>
      <c r="V207" s="43"/>
      <c r="W207" s="43"/>
      <c r="X207" s="43"/>
      <c r="Y207" s="43"/>
      <c r="Z207" s="43"/>
      <c r="AA207" s="43"/>
      <c r="AB207" s="43"/>
      <c r="AC207" s="378">
        <f>0+35173966.04</f>
        <v>35173966.039999999</v>
      </c>
      <c r="AD207" s="378">
        <v>0</v>
      </c>
      <c r="AE207" s="378"/>
      <c r="AF207" s="43"/>
      <c r="AG207" s="43"/>
      <c r="AH207" s="43"/>
      <c r="AI207" s="43"/>
      <c r="AJ207" s="43"/>
      <c r="AK207" s="43"/>
      <c r="AL207" s="43">
        <v>394351422</v>
      </c>
      <c r="AM207" s="43">
        <v>394351422</v>
      </c>
      <c r="AN207" s="43">
        <v>0</v>
      </c>
      <c r="AO207" s="495"/>
      <c r="AP207" s="495"/>
      <c r="AQ207" s="495"/>
      <c r="AR207" s="60">
        <f>12150000000-50000000+73030541.87+9572546.01+1577223665.57</f>
        <v>13759826753.450001</v>
      </c>
      <c r="AS207" s="60">
        <v>12938796308</v>
      </c>
      <c r="AT207" s="60">
        <v>7834225057</v>
      </c>
      <c r="AU207" s="43"/>
      <c r="AV207" s="43"/>
      <c r="AW207" s="43"/>
      <c r="AX207" s="60">
        <v>286000000</v>
      </c>
      <c r="AY207" s="60">
        <v>286000000</v>
      </c>
      <c r="AZ207" s="60">
        <v>73134202</v>
      </c>
      <c r="BA207" s="60">
        <v>83149.960000000006</v>
      </c>
      <c r="BB207" s="60">
        <v>0</v>
      </c>
      <c r="BC207" s="60">
        <v>0</v>
      </c>
      <c r="BD207" s="43"/>
      <c r="BE207" s="43"/>
      <c r="BF207" s="43"/>
      <c r="BG207" s="201">
        <f t="shared" si="304"/>
        <v>14475435291.450001</v>
      </c>
      <c r="BH207" s="201">
        <f t="shared" si="304"/>
        <v>13619147730</v>
      </c>
      <c r="BI207" s="201">
        <f t="shared" si="304"/>
        <v>7907359259</v>
      </c>
    </row>
    <row r="208" spans="1:67" ht="133.5" customHeight="1" x14ac:dyDescent="0.2">
      <c r="A208" s="438"/>
      <c r="B208" s="441"/>
      <c r="C208" s="373"/>
      <c r="D208" s="374"/>
      <c r="E208" s="354">
        <v>2201</v>
      </c>
      <c r="F208" s="355" t="s">
        <v>724</v>
      </c>
      <c r="G208" s="359" t="s">
        <v>725</v>
      </c>
      <c r="H208" s="354">
        <v>2201055</v>
      </c>
      <c r="I208" s="355" t="s">
        <v>726</v>
      </c>
      <c r="J208" s="359" t="s">
        <v>727</v>
      </c>
      <c r="K208" s="311">
        <v>220105500</v>
      </c>
      <c r="L208" s="304" t="s">
        <v>728</v>
      </c>
      <c r="M208" s="298" t="s">
        <v>98</v>
      </c>
      <c r="N208" s="298">
        <v>1</v>
      </c>
      <c r="O208" s="298">
        <v>1</v>
      </c>
      <c r="P208" s="332">
        <v>0</v>
      </c>
      <c r="Q208" s="536" t="s">
        <v>207</v>
      </c>
      <c r="R208" s="517" t="s">
        <v>729</v>
      </c>
      <c r="S208" s="518" t="s">
        <v>730</v>
      </c>
      <c r="T208" s="43"/>
      <c r="U208" s="43"/>
      <c r="V208" s="43"/>
      <c r="W208" s="43"/>
      <c r="X208" s="43"/>
      <c r="Y208" s="43"/>
      <c r="Z208" s="43"/>
      <c r="AA208" s="43"/>
      <c r="AB208" s="43"/>
      <c r="AC208" s="43"/>
      <c r="AD208" s="43"/>
      <c r="AE208" s="43"/>
      <c r="AF208" s="43"/>
      <c r="AG208" s="43"/>
      <c r="AH208" s="43"/>
      <c r="AI208" s="43"/>
      <c r="AJ208" s="43"/>
      <c r="AK208" s="43"/>
      <c r="AL208" s="43">
        <v>52000000</v>
      </c>
      <c r="AM208" s="43">
        <v>0</v>
      </c>
      <c r="AN208" s="43">
        <v>0</v>
      </c>
      <c r="AO208" s="43"/>
      <c r="AP208" s="43"/>
      <c r="AQ208" s="43"/>
      <c r="AR208" s="43"/>
      <c r="AS208" s="43"/>
      <c r="AT208" s="43"/>
      <c r="AU208" s="43"/>
      <c r="AV208" s="43"/>
      <c r="AW208" s="43"/>
      <c r="AX208" s="49">
        <v>0</v>
      </c>
      <c r="AY208" s="49"/>
      <c r="AZ208" s="49"/>
      <c r="BA208" s="43"/>
      <c r="BB208" s="43"/>
      <c r="BC208" s="43"/>
      <c r="BD208" s="43"/>
      <c r="BE208" s="43"/>
      <c r="BF208" s="43"/>
      <c r="BG208" s="173">
        <f t="shared" si="304"/>
        <v>52000000</v>
      </c>
      <c r="BH208" s="173">
        <f t="shared" si="304"/>
        <v>0</v>
      </c>
      <c r="BI208" s="173">
        <f t="shared" si="304"/>
        <v>0</v>
      </c>
    </row>
    <row r="209" spans="1:61" s="153" customFormat="1" ht="95.25" customHeight="1" x14ac:dyDescent="0.2">
      <c r="A209" s="462"/>
      <c r="B209" s="464"/>
      <c r="C209" s="390"/>
      <c r="D209" s="386"/>
      <c r="E209" s="226">
        <v>2201</v>
      </c>
      <c r="F209" s="225" t="s">
        <v>731</v>
      </c>
      <c r="G209" s="347" t="s">
        <v>732</v>
      </c>
      <c r="H209" s="226">
        <v>2201030</v>
      </c>
      <c r="I209" s="225" t="s">
        <v>733</v>
      </c>
      <c r="J209" s="347" t="s">
        <v>734</v>
      </c>
      <c r="K209" s="369">
        <v>220103000</v>
      </c>
      <c r="L209" s="342" t="s">
        <v>735</v>
      </c>
      <c r="M209" s="332" t="s">
        <v>98</v>
      </c>
      <c r="N209" s="332">
        <v>2500</v>
      </c>
      <c r="O209" s="332">
        <v>2500</v>
      </c>
      <c r="P209" s="332">
        <v>2445</v>
      </c>
      <c r="Q209" s="536"/>
      <c r="R209" s="517"/>
      <c r="S209" s="518"/>
      <c r="T209" s="344"/>
      <c r="U209" s="344"/>
      <c r="V209" s="344"/>
      <c r="W209" s="344"/>
      <c r="X209" s="344"/>
      <c r="Y209" s="344"/>
      <c r="Z209" s="344"/>
      <c r="AA209" s="344"/>
      <c r="AB209" s="344"/>
      <c r="AC209" s="344"/>
      <c r="AD209" s="344"/>
      <c r="AE209" s="344"/>
      <c r="AF209" s="344"/>
      <c r="AG209" s="344"/>
      <c r="AH209" s="344"/>
      <c r="AI209" s="344"/>
      <c r="AJ209" s="344"/>
      <c r="AK209" s="344"/>
      <c r="AL209" s="370">
        <v>1580000000</v>
      </c>
      <c r="AM209" s="370">
        <v>1187277568</v>
      </c>
      <c r="AN209" s="370">
        <v>825138344</v>
      </c>
      <c r="AO209" s="344"/>
      <c r="AP209" s="344"/>
      <c r="AQ209" s="344"/>
      <c r="AR209" s="344"/>
      <c r="AS209" s="344"/>
      <c r="AT209" s="344"/>
      <c r="AU209" s="344"/>
      <c r="AV209" s="344"/>
      <c r="AW209" s="344"/>
      <c r="AX209" s="365"/>
      <c r="AY209" s="365"/>
      <c r="AZ209" s="365"/>
      <c r="BA209" s="344"/>
      <c r="BB209" s="344"/>
      <c r="BC209" s="344"/>
      <c r="BD209" s="344"/>
      <c r="BE209" s="344"/>
      <c r="BF209" s="344"/>
      <c r="BG209" s="296">
        <f t="shared" si="304"/>
        <v>1580000000</v>
      </c>
      <c r="BH209" s="296">
        <f t="shared" si="304"/>
        <v>1187277568</v>
      </c>
      <c r="BI209" s="296">
        <f t="shared" si="304"/>
        <v>825138344</v>
      </c>
    </row>
    <row r="210" spans="1:61" ht="74.25" customHeight="1" x14ac:dyDescent="0.2">
      <c r="A210" s="438"/>
      <c r="B210" s="441"/>
      <c r="C210" s="373"/>
      <c r="D210" s="374"/>
      <c r="E210" s="354">
        <v>2201</v>
      </c>
      <c r="F210" s="356" t="s">
        <v>1478</v>
      </c>
      <c r="G210" s="354" t="s">
        <v>737</v>
      </c>
      <c r="H210" s="354">
        <v>2201071</v>
      </c>
      <c r="I210" s="355" t="s">
        <v>738</v>
      </c>
      <c r="J210" s="354" t="s">
        <v>739</v>
      </c>
      <c r="K210" s="311">
        <v>220107100</v>
      </c>
      <c r="L210" s="355" t="s">
        <v>740</v>
      </c>
      <c r="M210" s="298" t="s">
        <v>98</v>
      </c>
      <c r="N210" s="298">
        <v>54</v>
      </c>
      <c r="O210" s="298">
        <v>54</v>
      </c>
      <c r="P210" s="298">
        <v>54</v>
      </c>
      <c r="Q210" s="407" t="s">
        <v>207</v>
      </c>
      <c r="R210" s="354" t="s">
        <v>741</v>
      </c>
      <c r="S210" s="355" t="s">
        <v>8</v>
      </c>
      <c r="T210" s="43"/>
      <c r="U210" s="43"/>
      <c r="V210" s="43"/>
      <c r="W210" s="43"/>
      <c r="X210" s="43"/>
      <c r="Y210" s="43"/>
      <c r="Z210" s="43"/>
      <c r="AA210" s="43"/>
      <c r="AB210" s="43"/>
      <c r="AC210" s="43"/>
      <c r="AD210" s="43"/>
      <c r="AE210" s="43"/>
      <c r="AF210" s="43"/>
      <c r="AG210" s="43"/>
      <c r="AH210" s="43"/>
      <c r="AI210" s="43"/>
      <c r="AJ210" s="43"/>
      <c r="AK210" s="43"/>
      <c r="AL210" s="43">
        <f>128238000000+30000000+50000000+103135464.94</f>
        <v>128421135464.94</v>
      </c>
      <c r="AM210" s="43">
        <v>86987814495</v>
      </c>
      <c r="AN210" s="43">
        <v>86740967086</v>
      </c>
      <c r="AO210" s="60">
        <f>16500000000+7000000000</f>
        <v>23500000000</v>
      </c>
      <c r="AP210" s="60">
        <v>19060689144</v>
      </c>
      <c r="AQ210" s="60">
        <v>19060689144</v>
      </c>
      <c r="AR210" s="43"/>
      <c r="AS210" s="43"/>
      <c r="AT210" s="43"/>
      <c r="AU210" s="43"/>
      <c r="AV210" s="43"/>
      <c r="AW210" s="43"/>
      <c r="AX210" s="49"/>
      <c r="AY210" s="49"/>
      <c r="AZ210" s="49"/>
      <c r="BA210" s="43"/>
      <c r="BB210" s="43"/>
      <c r="BC210" s="43"/>
      <c r="BD210" s="43"/>
      <c r="BE210" s="43"/>
      <c r="BF210" s="43"/>
      <c r="BG210" s="173">
        <f t="shared" si="304"/>
        <v>151921135464.94</v>
      </c>
      <c r="BH210" s="173">
        <f t="shared" si="304"/>
        <v>106048503639</v>
      </c>
      <c r="BI210" s="173">
        <f t="shared" si="304"/>
        <v>105801656230</v>
      </c>
    </row>
    <row r="211" spans="1:61" ht="80.25" customHeight="1" x14ac:dyDescent="0.2">
      <c r="A211" s="438"/>
      <c r="B211" s="441"/>
      <c r="C211" s="373"/>
      <c r="D211" s="374"/>
      <c r="E211" s="354">
        <v>2201</v>
      </c>
      <c r="F211" s="356" t="s">
        <v>736</v>
      </c>
      <c r="G211" s="354" t="s">
        <v>737</v>
      </c>
      <c r="H211" s="354">
        <v>2201071</v>
      </c>
      <c r="I211" s="57" t="s">
        <v>738</v>
      </c>
      <c r="J211" s="354" t="s">
        <v>739</v>
      </c>
      <c r="K211" s="311">
        <v>220107100</v>
      </c>
      <c r="L211" s="355" t="s">
        <v>740</v>
      </c>
      <c r="M211" s="298" t="s">
        <v>98</v>
      </c>
      <c r="N211" s="298">
        <v>54</v>
      </c>
      <c r="O211" s="298">
        <v>54</v>
      </c>
      <c r="P211" s="298">
        <v>54</v>
      </c>
      <c r="Q211" s="407" t="s">
        <v>207</v>
      </c>
      <c r="R211" s="354" t="s">
        <v>742</v>
      </c>
      <c r="S211" s="355" t="s">
        <v>743</v>
      </c>
      <c r="T211" s="229"/>
      <c r="U211" s="229"/>
      <c r="V211" s="229"/>
      <c r="W211" s="229"/>
      <c r="X211" s="229"/>
      <c r="Y211" s="229"/>
      <c r="Z211" s="229"/>
      <c r="AA211" s="229"/>
      <c r="AB211" s="229"/>
      <c r="AC211" s="229"/>
      <c r="AD211" s="229"/>
      <c r="AE211" s="229"/>
      <c r="AF211" s="229"/>
      <c r="AG211" s="229"/>
      <c r="AH211" s="229"/>
      <c r="AI211" s="229"/>
      <c r="AJ211" s="229"/>
      <c r="AK211" s="229"/>
      <c r="AL211" s="58">
        <v>3762000000</v>
      </c>
      <c r="AM211" s="58">
        <v>1617561925</v>
      </c>
      <c r="AN211" s="58">
        <v>1600383925</v>
      </c>
      <c r="AO211" s="230"/>
      <c r="AP211" s="230"/>
      <c r="AQ211" s="230"/>
      <c r="AR211" s="229"/>
      <c r="AS211" s="229"/>
      <c r="AT211" s="229"/>
      <c r="AU211" s="229"/>
      <c r="AV211" s="229"/>
      <c r="AW211" s="229"/>
      <c r="AX211" s="49"/>
      <c r="AY211" s="49"/>
      <c r="AZ211" s="49"/>
      <c r="BA211" s="229"/>
      <c r="BB211" s="229"/>
      <c r="BC211" s="229"/>
      <c r="BD211" s="229"/>
      <c r="BE211" s="229"/>
      <c r="BF211" s="229"/>
      <c r="BG211" s="173">
        <f t="shared" si="304"/>
        <v>3762000000</v>
      </c>
      <c r="BH211" s="173">
        <f t="shared" si="304"/>
        <v>1617561925</v>
      </c>
      <c r="BI211" s="173">
        <f t="shared" si="304"/>
        <v>1600383925</v>
      </c>
    </row>
    <row r="212" spans="1:61" ht="101.25" customHeight="1" x14ac:dyDescent="0.2">
      <c r="A212" s="438"/>
      <c r="B212" s="441"/>
      <c r="C212" s="373"/>
      <c r="D212" s="374"/>
      <c r="E212" s="354">
        <v>2201</v>
      </c>
      <c r="F212" s="356" t="s">
        <v>744</v>
      </c>
      <c r="G212" s="298" t="s">
        <v>745</v>
      </c>
      <c r="H212" s="354">
        <v>2201006</v>
      </c>
      <c r="I212" s="355" t="s">
        <v>746</v>
      </c>
      <c r="J212" s="298" t="s">
        <v>747</v>
      </c>
      <c r="K212" s="311">
        <v>220100600</v>
      </c>
      <c r="L212" s="304" t="s">
        <v>748</v>
      </c>
      <c r="M212" s="298" t="s">
        <v>98</v>
      </c>
      <c r="N212" s="298">
        <v>54</v>
      </c>
      <c r="O212" s="298">
        <v>54</v>
      </c>
      <c r="P212" s="298">
        <v>54</v>
      </c>
      <c r="Q212" s="538" t="s">
        <v>207</v>
      </c>
      <c r="R212" s="517" t="s">
        <v>749</v>
      </c>
      <c r="S212" s="518" t="s">
        <v>750</v>
      </c>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365">
        <v>88560000</v>
      </c>
      <c r="AY212" s="365">
        <v>73893332</v>
      </c>
      <c r="AZ212" s="365">
        <v>23400000</v>
      </c>
      <c r="BA212" s="43"/>
      <c r="BB212" s="43"/>
      <c r="BC212" s="43"/>
      <c r="BD212" s="43"/>
      <c r="BE212" s="43"/>
      <c r="BF212" s="43"/>
      <c r="BG212" s="296">
        <f t="shared" si="304"/>
        <v>88560000</v>
      </c>
      <c r="BH212" s="173">
        <f t="shared" ref="BH212" si="305">+U212+X212+AA212+AD212+AG212+AJ212+AM212+AP212+AS212+AV212+AY212+BB212+BE212</f>
        <v>73893332</v>
      </c>
      <c r="BI212" s="173">
        <f t="shared" ref="BI212" si="306">+V212+Y212+AB212+AE212+AH212+AK212+AN212+AQ212+AT212+AW212+AZ212+BC212+BF212</f>
        <v>23400000</v>
      </c>
    </row>
    <row r="213" spans="1:61" ht="64.5" customHeight="1" x14ac:dyDescent="0.2">
      <c r="A213" s="438"/>
      <c r="B213" s="441"/>
      <c r="C213" s="373"/>
      <c r="D213" s="374"/>
      <c r="E213" s="354">
        <v>2201</v>
      </c>
      <c r="F213" s="356" t="s">
        <v>712</v>
      </c>
      <c r="G213" s="226" t="s">
        <v>713</v>
      </c>
      <c r="H213" s="354">
        <v>2201033</v>
      </c>
      <c r="I213" s="355" t="s">
        <v>714</v>
      </c>
      <c r="J213" s="354" t="s">
        <v>715</v>
      </c>
      <c r="K213" s="354">
        <v>220103300</v>
      </c>
      <c r="L213" s="355" t="s">
        <v>716</v>
      </c>
      <c r="M213" s="298" t="s">
        <v>188</v>
      </c>
      <c r="N213" s="298">
        <v>36000</v>
      </c>
      <c r="O213" s="298">
        <v>9000</v>
      </c>
      <c r="P213" s="298">
        <v>0</v>
      </c>
      <c r="Q213" s="538"/>
      <c r="R213" s="517"/>
      <c r="S213" s="518"/>
      <c r="T213" s="43"/>
      <c r="U213" s="43"/>
      <c r="V213" s="43"/>
      <c r="W213" s="43"/>
      <c r="X213" s="43"/>
      <c r="Y213" s="43"/>
      <c r="Z213" s="43"/>
      <c r="AA213" s="43"/>
      <c r="AB213" s="43"/>
      <c r="AC213" s="43"/>
      <c r="AD213" s="43"/>
      <c r="AE213" s="43"/>
      <c r="AF213" s="43"/>
      <c r="AG213" s="43"/>
      <c r="AH213" s="43"/>
      <c r="AI213" s="43"/>
      <c r="AJ213" s="43"/>
      <c r="AK213" s="43"/>
      <c r="AL213" s="43">
        <v>25000000</v>
      </c>
      <c r="AM213" s="43">
        <v>0</v>
      </c>
      <c r="AN213" s="43">
        <v>0</v>
      </c>
      <c r="AO213" s="43"/>
      <c r="AP213" s="43"/>
      <c r="AQ213" s="43"/>
      <c r="AR213" s="43"/>
      <c r="AS213" s="43"/>
      <c r="AT213" s="43"/>
      <c r="AU213" s="43"/>
      <c r="AV213" s="43"/>
      <c r="AW213" s="43"/>
      <c r="AX213" s="49"/>
      <c r="AY213" s="49"/>
      <c r="AZ213" s="49"/>
      <c r="BA213" s="43"/>
      <c r="BB213" s="43"/>
      <c r="BC213" s="43"/>
      <c r="BD213" s="43"/>
      <c r="BE213" s="43"/>
      <c r="BF213" s="43"/>
      <c r="BG213" s="173">
        <f t="shared" si="304"/>
        <v>25000000</v>
      </c>
      <c r="BH213" s="173">
        <f t="shared" si="304"/>
        <v>0</v>
      </c>
      <c r="BI213" s="173">
        <f t="shared" si="304"/>
        <v>0</v>
      </c>
    </row>
    <row r="214" spans="1:61" s="153" customFormat="1" ht="139.5" customHeight="1" x14ac:dyDescent="0.2">
      <c r="A214" s="462"/>
      <c r="B214" s="464"/>
      <c r="C214" s="390"/>
      <c r="D214" s="386"/>
      <c r="E214" s="226">
        <v>2201</v>
      </c>
      <c r="F214" s="335" t="s">
        <v>1416</v>
      </c>
      <c r="G214" s="347" t="s">
        <v>316</v>
      </c>
      <c r="H214" s="226">
        <v>2201068</v>
      </c>
      <c r="I214" s="225" t="s">
        <v>317</v>
      </c>
      <c r="J214" s="347" t="s">
        <v>318</v>
      </c>
      <c r="K214" s="369">
        <v>220106800</v>
      </c>
      <c r="L214" s="342" t="s">
        <v>319</v>
      </c>
      <c r="M214" s="226" t="s">
        <v>188</v>
      </c>
      <c r="N214" s="226">
        <v>266</v>
      </c>
      <c r="O214" s="226">
        <v>48</v>
      </c>
      <c r="P214" s="226">
        <v>48</v>
      </c>
      <c r="Q214" s="538"/>
      <c r="R214" s="517"/>
      <c r="S214" s="518"/>
      <c r="T214" s="344"/>
      <c r="U214" s="344"/>
      <c r="V214" s="344"/>
      <c r="W214" s="344"/>
      <c r="X214" s="344"/>
      <c r="Y214" s="344"/>
      <c r="Z214" s="344"/>
      <c r="AA214" s="344"/>
      <c r="AB214" s="344"/>
      <c r="AC214" s="344"/>
      <c r="AD214" s="344"/>
      <c r="AE214" s="344"/>
      <c r="AF214" s="344"/>
      <c r="AG214" s="344"/>
      <c r="AH214" s="344"/>
      <c r="AI214" s="344"/>
      <c r="AJ214" s="344"/>
      <c r="AK214" s="344"/>
      <c r="AL214" s="344"/>
      <c r="AM214" s="344"/>
      <c r="AN214" s="344"/>
      <c r="AO214" s="344"/>
      <c r="AP214" s="344"/>
      <c r="AQ214" s="344"/>
      <c r="AR214" s="344"/>
      <c r="AS214" s="344"/>
      <c r="AT214" s="344"/>
      <c r="AU214" s="344"/>
      <c r="AV214" s="344"/>
      <c r="AW214" s="344"/>
      <c r="AX214" s="365">
        <f>35000000-8222000+8000000</f>
        <v>34778000</v>
      </c>
      <c r="AY214" s="365">
        <v>18756135</v>
      </c>
      <c r="AZ214" s="365">
        <v>0</v>
      </c>
      <c r="BA214" s="344"/>
      <c r="BB214" s="344"/>
      <c r="BC214" s="344"/>
      <c r="BD214" s="344"/>
      <c r="BE214" s="344"/>
      <c r="BF214" s="344"/>
      <c r="BG214" s="296">
        <f t="shared" si="304"/>
        <v>34778000</v>
      </c>
      <c r="BH214" s="296">
        <f t="shared" si="304"/>
        <v>18756135</v>
      </c>
      <c r="BI214" s="296">
        <f t="shared" si="304"/>
        <v>0</v>
      </c>
    </row>
    <row r="215" spans="1:61" ht="102" customHeight="1" x14ac:dyDescent="0.2">
      <c r="A215" s="438"/>
      <c r="B215" s="441"/>
      <c r="C215" s="373"/>
      <c r="D215" s="374"/>
      <c r="E215" s="354">
        <v>2201</v>
      </c>
      <c r="F215" s="356" t="s">
        <v>719</v>
      </c>
      <c r="G215" s="354" t="s">
        <v>751</v>
      </c>
      <c r="H215" s="354">
        <v>2201046</v>
      </c>
      <c r="I215" s="355" t="s">
        <v>752</v>
      </c>
      <c r="J215" s="354" t="s">
        <v>753</v>
      </c>
      <c r="K215" s="311">
        <v>220104602</v>
      </c>
      <c r="L215" s="355" t="s">
        <v>754</v>
      </c>
      <c r="M215" s="298" t="s">
        <v>188</v>
      </c>
      <c r="N215" s="298">
        <v>54</v>
      </c>
      <c r="O215" s="298">
        <v>5</v>
      </c>
      <c r="P215" s="298">
        <v>1</v>
      </c>
      <c r="Q215" s="538"/>
      <c r="R215" s="517"/>
      <c r="S215" s="518"/>
      <c r="T215" s="43"/>
      <c r="U215" s="43"/>
      <c r="V215" s="43"/>
      <c r="W215" s="43"/>
      <c r="X215" s="43"/>
      <c r="Y215" s="43"/>
      <c r="Z215" s="43"/>
      <c r="AA215" s="43"/>
      <c r="AB215" s="43"/>
      <c r="AC215" s="231"/>
      <c r="AD215" s="231"/>
      <c r="AE215" s="231"/>
      <c r="AF215" s="43"/>
      <c r="AG215" s="43"/>
      <c r="AH215" s="43"/>
      <c r="AI215" s="43"/>
      <c r="AJ215" s="43"/>
      <c r="AK215" s="43"/>
      <c r="AL215" s="43"/>
      <c r="AM215" s="43"/>
      <c r="AN215" s="43"/>
      <c r="AO215" s="43"/>
      <c r="AP215" s="43"/>
      <c r="AQ215" s="43"/>
      <c r="AR215" s="43"/>
      <c r="AS215" s="43"/>
      <c r="AT215" s="43"/>
      <c r="AU215" s="43"/>
      <c r="AV215" s="43"/>
      <c r="AW215" s="43"/>
      <c r="AX215" s="49">
        <f>10000000+5000000-9600000</f>
        <v>5400000</v>
      </c>
      <c r="AY215" s="49">
        <v>0</v>
      </c>
      <c r="AZ215" s="49">
        <v>0</v>
      </c>
      <c r="BA215" s="43"/>
      <c r="BB215" s="43"/>
      <c r="BC215" s="43"/>
      <c r="BD215" s="43"/>
      <c r="BE215" s="43"/>
      <c r="BF215" s="43"/>
      <c r="BG215" s="173">
        <f t="shared" si="304"/>
        <v>5400000</v>
      </c>
      <c r="BH215" s="173">
        <f t="shared" si="304"/>
        <v>0</v>
      </c>
      <c r="BI215" s="173">
        <f t="shared" si="304"/>
        <v>0</v>
      </c>
    </row>
    <row r="216" spans="1:61" ht="92.25" customHeight="1" x14ac:dyDescent="0.2">
      <c r="A216" s="438"/>
      <c r="B216" s="441"/>
      <c r="C216" s="373"/>
      <c r="D216" s="374"/>
      <c r="E216" s="354">
        <v>2201</v>
      </c>
      <c r="F216" s="355" t="s">
        <v>202</v>
      </c>
      <c r="G216" s="354" t="s">
        <v>203</v>
      </c>
      <c r="H216" s="354" t="s">
        <v>92</v>
      </c>
      <c r="I216" s="355" t="s">
        <v>204</v>
      </c>
      <c r="J216" s="354" t="s">
        <v>205</v>
      </c>
      <c r="K216" s="354" t="s">
        <v>1417</v>
      </c>
      <c r="L216" s="355" t="s">
        <v>206</v>
      </c>
      <c r="M216" s="354" t="s">
        <v>188</v>
      </c>
      <c r="N216" s="354">
        <v>54</v>
      </c>
      <c r="O216" s="354">
        <v>9</v>
      </c>
      <c r="P216" s="354">
        <v>2</v>
      </c>
      <c r="Q216" s="538"/>
      <c r="R216" s="517"/>
      <c r="S216" s="518"/>
      <c r="T216" s="43"/>
      <c r="U216" s="43"/>
      <c r="V216" s="43"/>
      <c r="W216" s="43"/>
      <c r="X216" s="43"/>
      <c r="Y216" s="43"/>
      <c r="Z216" s="43"/>
      <c r="AA216" s="43"/>
      <c r="AB216" s="43"/>
      <c r="AC216" s="59"/>
      <c r="AD216" s="59"/>
      <c r="AE216" s="59"/>
      <c r="AF216" s="43"/>
      <c r="AG216" s="43"/>
      <c r="AH216" s="43"/>
      <c r="AI216" s="43"/>
      <c r="AJ216" s="43"/>
      <c r="AK216" s="43"/>
      <c r="AL216" s="43">
        <v>12426628.52</v>
      </c>
      <c r="AM216" s="43">
        <v>0</v>
      </c>
      <c r="AN216" s="43">
        <v>0</v>
      </c>
      <c r="AO216" s="43"/>
      <c r="AP216" s="43"/>
      <c r="AQ216" s="43"/>
      <c r="AR216" s="43"/>
      <c r="AS216" s="43"/>
      <c r="AT216" s="43"/>
      <c r="AU216" s="43"/>
      <c r="AV216" s="43"/>
      <c r="AW216" s="43"/>
      <c r="AX216" s="49">
        <f>20000000+5000000</f>
        <v>25000000</v>
      </c>
      <c r="AY216" s="49">
        <v>18360000</v>
      </c>
      <c r="AZ216" s="49">
        <v>18360000</v>
      </c>
      <c r="BA216" s="43"/>
      <c r="BB216" s="43"/>
      <c r="BC216" s="43"/>
      <c r="BD216" s="43"/>
      <c r="BE216" s="43"/>
      <c r="BF216" s="43"/>
      <c r="BG216" s="173">
        <f t="shared" si="304"/>
        <v>37426628.519999996</v>
      </c>
      <c r="BH216" s="173">
        <f t="shared" si="304"/>
        <v>18360000</v>
      </c>
      <c r="BI216" s="173">
        <f t="shared" si="304"/>
        <v>18360000</v>
      </c>
    </row>
    <row r="217" spans="1:61" ht="112.5" customHeight="1" x14ac:dyDescent="0.2">
      <c r="A217" s="438"/>
      <c r="B217" s="441"/>
      <c r="C217" s="373"/>
      <c r="D217" s="374"/>
      <c r="E217" s="354">
        <v>2201</v>
      </c>
      <c r="F217" s="356" t="s">
        <v>755</v>
      </c>
      <c r="G217" s="354">
        <v>15.8</v>
      </c>
      <c r="H217" s="354">
        <v>2201026</v>
      </c>
      <c r="I217" s="355" t="s">
        <v>756</v>
      </c>
      <c r="J217" s="354" t="s">
        <v>757</v>
      </c>
      <c r="K217" s="311">
        <v>220102600</v>
      </c>
      <c r="L217" s="355" t="s">
        <v>758</v>
      </c>
      <c r="M217" s="298" t="s">
        <v>188</v>
      </c>
      <c r="N217" s="298">
        <v>54</v>
      </c>
      <c r="O217" s="298">
        <v>5</v>
      </c>
      <c r="P217" s="298">
        <v>0</v>
      </c>
      <c r="Q217" s="538"/>
      <c r="R217" s="517"/>
      <c r="S217" s="518"/>
      <c r="T217" s="43"/>
      <c r="U217" s="43"/>
      <c r="V217" s="43"/>
      <c r="W217" s="43"/>
      <c r="X217" s="43"/>
      <c r="Y217" s="43"/>
      <c r="Z217" s="43"/>
      <c r="AA217" s="43"/>
      <c r="AB217" s="43"/>
      <c r="AC217" s="43">
        <v>174455946.69999999</v>
      </c>
      <c r="AD217" s="43">
        <v>0</v>
      </c>
      <c r="AE217" s="43">
        <v>0</v>
      </c>
      <c r="AF217" s="43"/>
      <c r="AG217" s="43"/>
      <c r="AH217" s="43"/>
      <c r="AI217" s="43"/>
      <c r="AJ217" s="43"/>
      <c r="AK217" s="43"/>
      <c r="AL217" s="43">
        <v>43000000</v>
      </c>
      <c r="AM217" s="43">
        <v>0</v>
      </c>
      <c r="AN217" s="43">
        <v>0</v>
      </c>
      <c r="AO217" s="43"/>
      <c r="AP217" s="43"/>
      <c r="AQ217" s="43"/>
      <c r="AR217" s="43"/>
      <c r="AS217" s="43"/>
      <c r="AT217" s="43"/>
      <c r="AU217" s="43"/>
      <c r="AV217" s="43"/>
      <c r="AW217" s="43"/>
      <c r="AX217" s="49">
        <v>63201500.090000004</v>
      </c>
      <c r="AY217" s="49">
        <v>0</v>
      </c>
      <c r="AZ217" s="49">
        <v>0</v>
      </c>
      <c r="BA217" s="43"/>
      <c r="BB217" s="43"/>
      <c r="BC217" s="43"/>
      <c r="BD217" s="43"/>
      <c r="BE217" s="43"/>
      <c r="BF217" s="43"/>
      <c r="BG217" s="296">
        <f t="shared" si="304"/>
        <v>280657446.78999996</v>
      </c>
      <c r="BH217" s="173">
        <v>0</v>
      </c>
      <c r="BI217" s="173">
        <v>0</v>
      </c>
    </row>
    <row r="218" spans="1:61" ht="100.5" customHeight="1" x14ac:dyDescent="0.2">
      <c r="A218" s="438"/>
      <c r="B218" s="441"/>
      <c r="C218" s="373"/>
      <c r="D218" s="374"/>
      <c r="E218" s="354">
        <v>2201</v>
      </c>
      <c r="F218" s="356" t="s">
        <v>744</v>
      </c>
      <c r="G218" s="332" t="s">
        <v>745</v>
      </c>
      <c r="H218" s="354">
        <v>2201006</v>
      </c>
      <c r="I218" s="355" t="s">
        <v>746</v>
      </c>
      <c r="J218" s="298" t="s">
        <v>747</v>
      </c>
      <c r="K218" s="311">
        <v>220100600</v>
      </c>
      <c r="L218" s="304" t="s">
        <v>748</v>
      </c>
      <c r="M218" s="298" t="s">
        <v>98</v>
      </c>
      <c r="N218" s="298">
        <v>54</v>
      </c>
      <c r="O218" s="298">
        <v>54</v>
      </c>
      <c r="P218" s="298">
        <v>54</v>
      </c>
      <c r="Q218" s="407" t="s">
        <v>207</v>
      </c>
      <c r="R218" s="354" t="s">
        <v>759</v>
      </c>
      <c r="S218" s="355" t="s">
        <v>760</v>
      </c>
      <c r="T218" s="43"/>
      <c r="U218" s="43"/>
      <c r="V218" s="43"/>
      <c r="W218" s="43"/>
      <c r="X218" s="43"/>
      <c r="Y218" s="43"/>
      <c r="Z218" s="43"/>
      <c r="AA218" s="43"/>
      <c r="AB218" s="43"/>
      <c r="AC218" s="43"/>
      <c r="AD218" s="43"/>
      <c r="AE218" s="43"/>
      <c r="AF218" s="43"/>
      <c r="AG218" s="43"/>
      <c r="AH218" s="43"/>
      <c r="AI218" s="43"/>
      <c r="AJ218" s="43"/>
      <c r="AK218" s="43"/>
      <c r="AL218" s="58"/>
      <c r="AM218" s="58"/>
      <c r="AN218" s="58"/>
      <c r="AO218" s="43"/>
      <c r="AP218" s="43"/>
      <c r="AQ218" s="43"/>
      <c r="AR218" s="43"/>
      <c r="AS218" s="43"/>
      <c r="AT218" s="43"/>
      <c r="AU218" s="43"/>
      <c r="AV218" s="43"/>
      <c r="AW218" s="43"/>
      <c r="AX218" s="49">
        <v>20000000</v>
      </c>
      <c r="AY218" s="49">
        <v>19200000</v>
      </c>
      <c r="AZ218" s="49">
        <v>19200000</v>
      </c>
      <c r="BA218" s="43"/>
      <c r="BB218" s="43"/>
      <c r="BC218" s="43"/>
      <c r="BD218" s="43"/>
      <c r="BE218" s="43"/>
      <c r="BF218" s="43"/>
      <c r="BG218" s="173">
        <f t="shared" si="304"/>
        <v>20000000</v>
      </c>
      <c r="BH218" s="173">
        <f t="shared" si="304"/>
        <v>19200000</v>
      </c>
      <c r="BI218" s="173">
        <f t="shared" si="304"/>
        <v>19200000</v>
      </c>
    </row>
    <row r="219" spans="1:61" s="180" customFormat="1" ht="108" customHeight="1" x14ac:dyDescent="0.25">
      <c r="A219" s="460"/>
      <c r="B219" s="441"/>
      <c r="C219" s="373"/>
      <c r="D219" s="374"/>
      <c r="E219" s="354">
        <v>2201</v>
      </c>
      <c r="F219" s="356" t="s">
        <v>719</v>
      </c>
      <c r="G219" s="226" t="s">
        <v>751</v>
      </c>
      <c r="H219" s="354">
        <v>2201046</v>
      </c>
      <c r="I219" s="355" t="s">
        <v>752</v>
      </c>
      <c r="J219" s="354" t="s">
        <v>753</v>
      </c>
      <c r="K219" s="311">
        <v>220104602</v>
      </c>
      <c r="L219" s="355" t="s">
        <v>754</v>
      </c>
      <c r="M219" s="298" t="s">
        <v>188</v>
      </c>
      <c r="N219" s="298">
        <v>54</v>
      </c>
      <c r="O219" s="298">
        <v>5</v>
      </c>
      <c r="P219" s="298">
        <v>1</v>
      </c>
      <c r="Q219" s="407" t="s">
        <v>207</v>
      </c>
      <c r="R219" s="354" t="s">
        <v>761</v>
      </c>
      <c r="S219" s="355" t="s">
        <v>762</v>
      </c>
      <c r="T219" s="43"/>
      <c r="U219" s="43"/>
      <c r="V219" s="43"/>
      <c r="W219" s="43"/>
      <c r="X219" s="43"/>
      <c r="Y219" s="43"/>
      <c r="Z219" s="43"/>
      <c r="AA219" s="43"/>
      <c r="AB219" s="43"/>
      <c r="AC219" s="43"/>
      <c r="AD219" s="43"/>
      <c r="AE219" s="43"/>
      <c r="AF219" s="43"/>
      <c r="AG219" s="43"/>
      <c r="AH219" s="43"/>
      <c r="AI219" s="43"/>
      <c r="AJ219" s="43"/>
      <c r="AK219" s="43"/>
      <c r="AL219" s="61"/>
      <c r="AM219" s="61"/>
      <c r="AN219" s="61"/>
      <c r="AO219" s="61"/>
      <c r="AP219" s="61"/>
      <c r="AQ219" s="61"/>
      <c r="AR219" s="43"/>
      <c r="AS219" s="43"/>
      <c r="AT219" s="43"/>
      <c r="AU219" s="43"/>
      <c r="AV219" s="43"/>
      <c r="AW219" s="43"/>
      <c r="AX219" s="49">
        <v>76000000</v>
      </c>
      <c r="AY219" s="49">
        <v>12513333</v>
      </c>
      <c r="AZ219" s="49">
        <v>12513333</v>
      </c>
      <c r="BA219" s="43"/>
      <c r="BB219" s="43"/>
      <c r="BC219" s="43"/>
      <c r="BD219" s="43"/>
      <c r="BE219" s="43"/>
      <c r="BF219" s="43"/>
      <c r="BG219" s="173">
        <f t="shared" si="304"/>
        <v>76000000</v>
      </c>
      <c r="BH219" s="173">
        <f t="shared" si="304"/>
        <v>12513333</v>
      </c>
      <c r="BI219" s="173">
        <f t="shared" si="304"/>
        <v>12513333</v>
      </c>
    </row>
    <row r="220" spans="1:61" ht="85.5" customHeight="1" x14ac:dyDescent="0.2">
      <c r="A220" s="438"/>
      <c r="B220" s="441"/>
      <c r="C220" s="373"/>
      <c r="D220" s="374"/>
      <c r="E220" s="354">
        <v>2201</v>
      </c>
      <c r="F220" s="356" t="s">
        <v>763</v>
      </c>
      <c r="G220" s="359" t="s">
        <v>764</v>
      </c>
      <c r="H220" s="354">
        <v>2201037</v>
      </c>
      <c r="I220" s="355" t="s">
        <v>765</v>
      </c>
      <c r="J220" s="359" t="s">
        <v>766</v>
      </c>
      <c r="K220" s="311">
        <v>220103700</v>
      </c>
      <c r="L220" s="304" t="s">
        <v>767</v>
      </c>
      <c r="M220" s="298" t="s">
        <v>98</v>
      </c>
      <c r="N220" s="298">
        <v>54</v>
      </c>
      <c r="O220" s="298">
        <v>54</v>
      </c>
      <c r="P220" s="298">
        <v>54</v>
      </c>
      <c r="Q220" s="407" t="s">
        <v>207</v>
      </c>
      <c r="R220" s="354" t="s">
        <v>768</v>
      </c>
      <c r="S220" s="355" t="s">
        <v>769</v>
      </c>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60">
        <f>25000000-5000000+20000000</f>
        <v>40000000</v>
      </c>
      <c r="AY220" s="60">
        <v>25013333</v>
      </c>
      <c r="AZ220" s="60">
        <v>15680000</v>
      </c>
      <c r="BA220" s="43"/>
      <c r="BB220" s="43"/>
      <c r="BC220" s="43"/>
      <c r="BD220" s="43"/>
      <c r="BE220" s="43"/>
      <c r="BF220" s="43"/>
      <c r="BG220" s="173">
        <f t="shared" si="304"/>
        <v>40000000</v>
      </c>
      <c r="BH220" s="173">
        <f t="shared" si="304"/>
        <v>25013333</v>
      </c>
      <c r="BI220" s="173">
        <f t="shared" si="304"/>
        <v>15680000</v>
      </c>
    </row>
    <row r="221" spans="1:61" ht="63" customHeight="1" x14ac:dyDescent="0.2">
      <c r="A221" s="438"/>
      <c r="B221" s="441"/>
      <c r="C221" s="373"/>
      <c r="D221" s="374"/>
      <c r="E221" s="354">
        <v>2201</v>
      </c>
      <c r="F221" s="524" t="s">
        <v>719</v>
      </c>
      <c r="G221" s="546" t="s">
        <v>770</v>
      </c>
      <c r="H221" s="517">
        <v>2201050</v>
      </c>
      <c r="I221" s="524" t="s">
        <v>771</v>
      </c>
      <c r="J221" s="359" t="s">
        <v>772</v>
      </c>
      <c r="K221" s="311">
        <v>220105001</v>
      </c>
      <c r="L221" s="304" t="s">
        <v>773</v>
      </c>
      <c r="M221" s="298" t="s">
        <v>98</v>
      </c>
      <c r="N221" s="298">
        <v>150</v>
      </c>
      <c r="O221" s="298">
        <v>150</v>
      </c>
      <c r="P221" s="332">
        <v>54</v>
      </c>
      <c r="Q221" s="407" t="s">
        <v>207</v>
      </c>
      <c r="R221" s="547" t="s">
        <v>774</v>
      </c>
      <c r="S221" s="518" t="s">
        <v>775</v>
      </c>
      <c r="T221" s="43"/>
      <c r="U221" s="43"/>
      <c r="V221" s="43"/>
      <c r="W221" s="43"/>
      <c r="X221" s="43"/>
      <c r="Y221" s="43"/>
      <c r="Z221" s="43"/>
      <c r="AA221" s="43"/>
      <c r="AB221" s="43"/>
      <c r="AC221" s="43"/>
      <c r="AD221" s="43"/>
      <c r="AE221" s="43"/>
      <c r="AF221" s="43"/>
      <c r="AG221" s="43"/>
      <c r="AH221" s="43"/>
      <c r="AI221" s="43"/>
      <c r="AJ221" s="43"/>
      <c r="AK221" s="43"/>
      <c r="AL221" s="394">
        <v>700000000</v>
      </c>
      <c r="AM221" s="394">
        <v>549272916</v>
      </c>
      <c r="AN221" s="394">
        <v>549272916</v>
      </c>
      <c r="AO221" s="43"/>
      <c r="AP221" s="43"/>
      <c r="AQ221" s="43"/>
      <c r="AR221" s="43"/>
      <c r="AS221" s="43"/>
      <c r="AT221" s="43"/>
      <c r="AU221" s="43"/>
      <c r="AV221" s="43"/>
      <c r="AW221" s="43"/>
      <c r="AX221" s="60"/>
      <c r="AY221" s="60"/>
      <c r="AZ221" s="60"/>
      <c r="BA221" s="43"/>
      <c r="BB221" s="43"/>
      <c r="BC221" s="43"/>
      <c r="BD221" s="43"/>
      <c r="BE221" s="43"/>
      <c r="BF221" s="43"/>
      <c r="BG221" s="173">
        <f t="shared" si="304"/>
        <v>700000000</v>
      </c>
      <c r="BH221" s="173">
        <f t="shared" si="304"/>
        <v>549272916</v>
      </c>
      <c r="BI221" s="173">
        <f t="shared" si="304"/>
        <v>549272916</v>
      </c>
    </row>
    <row r="222" spans="1:61" s="202" customFormat="1" ht="90.75" customHeight="1" x14ac:dyDescent="0.2">
      <c r="A222" s="456"/>
      <c r="B222" s="491"/>
      <c r="C222" s="492"/>
      <c r="D222" s="353"/>
      <c r="E222" s="494">
        <v>2201</v>
      </c>
      <c r="F222" s="524"/>
      <c r="G222" s="546"/>
      <c r="H222" s="517"/>
      <c r="I222" s="524"/>
      <c r="J222" s="496" t="s">
        <v>776</v>
      </c>
      <c r="K222" s="311">
        <v>220105000</v>
      </c>
      <c r="L222" s="308" t="s">
        <v>777</v>
      </c>
      <c r="M222" s="303" t="s">
        <v>188</v>
      </c>
      <c r="N222" s="303">
        <v>33000</v>
      </c>
      <c r="O222" s="303">
        <v>10000</v>
      </c>
      <c r="P222" s="303">
        <v>7650</v>
      </c>
      <c r="Q222" s="308" t="s">
        <v>207</v>
      </c>
      <c r="R222" s="547"/>
      <c r="S222" s="518"/>
      <c r="T222" s="43"/>
      <c r="U222" s="43"/>
      <c r="V222" s="43"/>
      <c r="W222" s="43"/>
      <c r="X222" s="43"/>
      <c r="Y222" s="43"/>
      <c r="Z222" s="43"/>
      <c r="AA222" s="43"/>
      <c r="AB222" s="43"/>
      <c r="AC222" s="43"/>
      <c r="AD222" s="43"/>
      <c r="AE222" s="43"/>
      <c r="AF222" s="43"/>
      <c r="AG222" s="43"/>
      <c r="AH222" s="43"/>
      <c r="AI222" s="43"/>
      <c r="AJ222" s="43"/>
      <c r="AK222" s="43"/>
      <c r="AL222" s="497"/>
      <c r="AM222" s="497"/>
      <c r="AN222" s="497"/>
      <c r="AO222" s="43"/>
      <c r="AP222" s="43"/>
      <c r="AQ222" s="43"/>
      <c r="AR222" s="43"/>
      <c r="AS222" s="43"/>
      <c r="AT222" s="43"/>
      <c r="AU222" s="43"/>
      <c r="AV222" s="43"/>
      <c r="AW222" s="43"/>
      <c r="AX222" s="60"/>
      <c r="AY222" s="60"/>
      <c r="AZ222" s="60"/>
      <c r="BA222" s="43"/>
      <c r="BB222" s="43"/>
      <c r="BC222" s="43"/>
      <c r="BD222" s="43"/>
      <c r="BE222" s="43"/>
      <c r="BF222" s="43"/>
      <c r="BG222" s="201"/>
      <c r="BH222" s="201"/>
      <c r="BI222" s="201"/>
    </row>
    <row r="223" spans="1:61" ht="63.75" customHeight="1" x14ac:dyDescent="0.2">
      <c r="A223" s="438"/>
      <c r="B223" s="441"/>
      <c r="C223" s="373"/>
      <c r="D223" s="374"/>
      <c r="E223" s="354">
        <v>2201</v>
      </c>
      <c r="F223" s="356" t="s">
        <v>778</v>
      </c>
      <c r="G223" s="359" t="s">
        <v>779</v>
      </c>
      <c r="H223" s="354">
        <v>2201034</v>
      </c>
      <c r="I223" s="355" t="s">
        <v>1479</v>
      </c>
      <c r="J223" s="359" t="s">
        <v>780</v>
      </c>
      <c r="K223" s="311">
        <v>220103400</v>
      </c>
      <c r="L223" s="304" t="s">
        <v>781</v>
      </c>
      <c r="M223" s="298" t="s">
        <v>188</v>
      </c>
      <c r="N223" s="298">
        <v>15000</v>
      </c>
      <c r="O223" s="298">
        <v>100</v>
      </c>
      <c r="P223" s="303">
        <v>102</v>
      </c>
      <c r="Q223" s="536" t="s">
        <v>207</v>
      </c>
      <c r="R223" s="517" t="s">
        <v>782</v>
      </c>
      <c r="S223" s="518" t="s">
        <v>783</v>
      </c>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395">
        <f>15000000-10000000</f>
        <v>5000000</v>
      </c>
      <c r="AY223" s="395">
        <v>0</v>
      </c>
      <c r="AZ223" s="395">
        <v>0</v>
      </c>
      <c r="BA223" s="43"/>
      <c r="BB223" s="43"/>
      <c r="BC223" s="43"/>
      <c r="BD223" s="43"/>
      <c r="BE223" s="43"/>
      <c r="BF223" s="43"/>
      <c r="BG223" s="173">
        <f>+T223+W223+Z223+AC223+AF223+AI223+AL223+AO223+AR223+AU223+AX223+BA223+BD223</f>
        <v>5000000</v>
      </c>
      <c r="BH223" s="173">
        <f t="shared" ref="BH223:BI226" si="307">+U223+X223+AA223+AD223+AG223+AJ223+AM223+AP223+AS223+AV223+AY223+BB223+BE223</f>
        <v>0</v>
      </c>
      <c r="BI223" s="173">
        <f t="shared" si="307"/>
        <v>0</v>
      </c>
    </row>
    <row r="224" spans="1:61" ht="88.5" customHeight="1" x14ac:dyDescent="0.2">
      <c r="A224" s="438"/>
      <c r="B224" s="441"/>
      <c r="C224" s="373"/>
      <c r="D224" s="374"/>
      <c r="E224" s="354">
        <v>2201</v>
      </c>
      <c r="F224" s="356" t="s">
        <v>778</v>
      </c>
      <c r="G224" s="359" t="s">
        <v>779</v>
      </c>
      <c r="H224" s="354">
        <v>2201034</v>
      </c>
      <c r="I224" s="355" t="s">
        <v>1479</v>
      </c>
      <c r="J224" s="359" t="s">
        <v>784</v>
      </c>
      <c r="K224" s="311">
        <v>220103401</v>
      </c>
      <c r="L224" s="308" t="s">
        <v>785</v>
      </c>
      <c r="M224" s="303" t="s">
        <v>98</v>
      </c>
      <c r="N224" s="303">
        <v>54</v>
      </c>
      <c r="O224" s="303">
        <v>54</v>
      </c>
      <c r="P224" s="303">
        <v>54</v>
      </c>
      <c r="Q224" s="536"/>
      <c r="R224" s="517"/>
      <c r="S224" s="518"/>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395">
        <v>10000000</v>
      </c>
      <c r="AY224" s="395">
        <v>0</v>
      </c>
      <c r="AZ224" s="395">
        <v>0</v>
      </c>
      <c r="BA224" s="344"/>
      <c r="BB224" s="43"/>
      <c r="BC224" s="43"/>
      <c r="BD224" s="43"/>
      <c r="BE224" s="43"/>
      <c r="BF224" s="43"/>
      <c r="BG224" s="173">
        <f>+T224+W224+Z224+AC224+AF224+AI224+AL224+AO224+AR224+AU224+AX224+BA224+BD224</f>
        <v>10000000</v>
      </c>
      <c r="BH224" s="173">
        <f t="shared" si="307"/>
        <v>0</v>
      </c>
      <c r="BI224" s="173">
        <f t="shared" si="307"/>
        <v>0</v>
      </c>
    </row>
    <row r="225" spans="1:67" ht="61.5" customHeight="1" x14ac:dyDescent="0.2">
      <c r="A225" s="438"/>
      <c r="B225" s="441"/>
      <c r="C225" s="373"/>
      <c r="D225" s="374"/>
      <c r="E225" s="354">
        <v>2201</v>
      </c>
      <c r="F225" s="356" t="s">
        <v>778</v>
      </c>
      <c r="G225" s="354" t="s">
        <v>786</v>
      </c>
      <c r="H225" s="354">
        <v>2201060</v>
      </c>
      <c r="I225" s="355" t="s">
        <v>787</v>
      </c>
      <c r="J225" s="354" t="s">
        <v>788</v>
      </c>
      <c r="K225" s="311">
        <v>220106000</v>
      </c>
      <c r="L225" s="355" t="s">
        <v>789</v>
      </c>
      <c r="M225" s="298" t="s">
        <v>188</v>
      </c>
      <c r="N225" s="298">
        <v>500</v>
      </c>
      <c r="O225" s="298">
        <v>50</v>
      </c>
      <c r="P225" s="298">
        <v>37</v>
      </c>
      <c r="Q225" s="536"/>
      <c r="R225" s="517"/>
      <c r="S225" s="518"/>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60">
        <v>5000000</v>
      </c>
      <c r="AY225" s="60">
        <v>0</v>
      </c>
      <c r="AZ225" s="60">
        <v>0</v>
      </c>
      <c r="BA225" s="43"/>
      <c r="BB225" s="43"/>
      <c r="BC225" s="43"/>
      <c r="BD225" s="43"/>
      <c r="BE225" s="43"/>
      <c r="BF225" s="43"/>
      <c r="BG225" s="173">
        <f>+T225+W225+Z225+AC225+AF225+AI225+AL225+AO225+AR225+AU225+AX225+BA225+BD225</f>
        <v>5000000</v>
      </c>
      <c r="BH225" s="173">
        <f t="shared" si="307"/>
        <v>0</v>
      </c>
      <c r="BI225" s="173">
        <f t="shared" si="307"/>
        <v>0</v>
      </c>
    </row>
    <row r="226" spans="1:67" ht="118.5" customHeight="1" x14ac:dyDescent="0.2">
      <c r="A226" s="438"/>
      <c r="B226" s="441"/>
      <c r="C226" s="373"/>
      <c r="D226" s="374"/>
      <c r="E226" s="354">
        <v>2201</v>
      </c>
      <c r="F226" s="356" t="s">
        <v>744</v>
      </c>
      <c r="G226" s="354" t="s">
        <v>790</v>
      </c>
      <c r="H226" s="354">
        <v>2201015</v>
      </c>
      <c r="I226" s="355" t="s">
        <v>791</v>
      </c>
      <c r="J226" s="354" t="s">
        <v>792</v>
      </c>
      <c r="K226" s="199">
        <v>220101500</v>
      </c>
      <c r="L226" s="355" t="s">
        <v>793</v>
      </c>
      <c r="M226" s="298" t="s">
        <v>98</v>
      </c>
      <c r="N226" s="298">
        <v>11</v>
      </c>
      <c r="O226" s="298">
        <v>11</v>
      </c>
      <c r="P226" s="332">
        <v>0</v>
      </c>
      <c r="Q226" s="407" t="s">
        <v>207</v>
      </c>
      <c r="R226" s="354" t="s">
        <v>794</v>
      </c>
      <c r="S226" s="355" t="s">
        <v>1450</v>
      </c>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60">
        <v>10000000</v>
      </c>
      <c r="AY226" s="60">
        <v>0</v>
      </c>
      <c r="AZ226" s="60">
        <v>0</v>
      </c>
      <c r="BA226" s="43"/>
      <c r="BB226" s="43"/>
      <c r="BC226" s="43"/>
      <c r="BD226" s="43"/>
      <c r="BE226" s="43"/>
      <c r="BF226" s="43"/>
      <c r="BG226" s="173">
        <f>+T226+W226+Z226+AC226+AF226+AI226+AL226+AO226+AR226+AU226+AX226+BA226+BD226</f>
        <v>10000000</v>
      </c>
      <c r="BH226" s="173">
        <f t="shared" si="307"/>
        <v>0</v>
      </c>
      <c r="BI226" s="173">
        <f t="shared" si="307"/>
        <v>0</v>
      </c>
    </row>
    <row r="227" spans="1:67" ht="27" customHeight="1" x14ac:dyDescent="0.2">
      <c r="A227" s="438"/>
      <c r="B227" s="441"/>
      <c r="C227" s="195">
        <v>44</v>
      </c>
      <c r="D227" s="167" t="s">
        <v>92</v>
      </c>
      <c r="E227" s="357" t="s">
        <v>795</v>
      </c>
      <c r="F227" s="166"/>
      <c r="G227" s="167"/>
      <c r="H227" s="168"/>
      <c r="I227" s="166"/>
      <c r="J227" s="167"/>
      <c r="K227" s="167"/>
      <c r="L227" s="166"/>
      <c r="M227" s="169"/>
      <c r="N227" s="169"/>
      <c r="O227" s="167"/>
      <c r="P227" s="167"/>
      <c r="Q227" s="424"/>
      <c r="R227" s="167"/>
      <c r="S227" s="166"/>
      <c r="T227" s="171">
        <f t="shared" ref="T227:BG227" si="308">SUM(T228:T229)</f>
        <v>0</v>
      </c>
      <c r="U227" s="171">
        <f t="shared" si="308"/>
        <v>0</v>
      </c>
      <c r="V227" s="171">
        <f t="shared" si="308"/>
        <v>0</v>
      </c>
      <c r="W227" s="171">
        <f t="shared" si="308"/>
        <v>0</v>
      </c>
      <c r="X227" s="171">
        <f t="shared" si="308"/>
        <v>0</v>
      </c>
      <c r="Y227" s="171">
        <f t="shared" si="308"/>
        <v>0</v>
      </c>
      <c r="Z227" s="171">
        <f t="shared" si="308"/>
        <v>0</v>
      </c>
      <c r="AA227" s="171">
        <f t="shared" si="308"/>
        <v>0</v>
      </c>
      <c r="AB227" s="171">
        <f t="shared" si="308"/>
        <v>0</v>
      </c>
      <c r="AC227" s="171">
        <f t="shared" si="308"/>
        <v>90000000</v>
      </c>
      <c r="AD227" s="171">
        <f t="shared" si="308"/>
        <v>39223405</v>
      </c>
      <c r="AE227" s="171">
        <f t="shared" si="308"/>
        <v>9928826</v>
      </c>
      <c r="AF227" s="171">
        <f t="shared" si="308"/>
        <v>0</v>
      </c>
      <c r="AG227" s="171">
        <f t="shared" si="308"/>
        <v>0</v>
      </c>
      <c r="AH227" s="171">
        <f t="shared" si="308"/>
        <v>0</v>
      </c>
      <c r="AI227" s="171">
        <f t="shared" si="308"/>
        <v>0</v>
      </c>
      <c r="AJ227" s="171">
        <f t="shared" si="308"/>
        <v>0</v>
      </c>
      <c r="AK227" s="171">
        <f t="shared" si="308"/>
        <v>0</v>
      </c>
      <c r="AL227" s="171">
        <f t="shared" si="308"/>
        <v>0</v>
      </c>
      <c r="AM227" s="171">
        <f t="shared" si="308"/>
        <v>0</v>
      </c>
      <c r="AN227" s="171">
        <f t="shared" si="308"/>
        <v>0</v>
      </c>
      <c r="AO227" s="171">
        <f t="shared" si="308"/>
        <v>0</v>
      </c>
      <c r="AP227" s="171">
        <f t="shared" si="308"/>
        <v>0</v>
      </c>
      <c r="AQ227" s="171">
        <f t="shared" si="308"/>
        <v>0</v>
      </c>
      <c r="AR227" s="171">
        <f t="shared" si="308"/>
        <v>0</v>
      </c>
      <c r="AS227" s="171">
        <f t="shared" si="308"/>
        <v>0</v>
      </c>
      <c r="AT227" s="171">
        <f t="shared" si="308"/>
        <v>0</v>
      </c>
      <c r="AU227" s="171">
        <f t="shared" si="308"/>
        <v>0</v>
      </c>
      <c r="AV227" s="171">
        <f t="shared" si="308"/>
        <v>0</v>
      </c>
      <c r="AW227" s="171">
        <f t="shared" si="308"/>
        <v>0</v>
      </c>
      <c r="AX227" s="171">
        <f t="shared" si="308"/>
        <v>153838500</v>
      </c>
      <c r="AY227" s="171">
        <f t="shared" si="308"/>
        <v>133798673</v>
      </c>
      <c r="AZ227" s="171">
        <f t="shared" si="308"/>
        <v>133798673</v>
      </c>
      <c r="BA227" s="171">
        <f t="shared" si="308"/>
        <v>0</v>
      </c>
      <c r="BB227" s="171">
        <f t="shared" si="308"/>
        <v>0</v>
      </c>
      <c r="BC227" s="171">
        <f t="shared" si="308"/>
        <v>0</v>
      </c>
      <c r="BD227" s="171">
        <f t="shared" si="308"/>
        <v>0</v>
      </c>
      <c r="BE227" s="171">
        <f t="shared" si="308"/>
        <v>0</v>
      </c>
      <c r="BF227" s="171">
        <f t="shared" si="308"/>
        <v>0</v>
      </c>
      <c r="BG227" s="171">
        <f t="shared" si="308"/>
        <v>243838500</v>
      </c>
      <c r="BH227" s="171">
        <f t="shared" ref="BH227:BI227" si="309">SUM(BH228:BH229)</f>
        <v>173022078</v>
      </c>
      <c r="BI227" s="171">
        <f t="shared" si="309"/>
        <v>143727499</v>
      </c>
    </row>
    <row r="228" spans="1:67" s="180" customFormat="1" ht="99.75" customHeight="1" x14ac:dyDescent="0.25">
      <c r="A228" s="460"/>
      <c r="B228" s="441"/>
      <c r="C228" s="373"/>
      <c r="D228" s="374"/>
      <c r="E228" s="354" t="s">
        <v>92</v>
      </c>
      <c r="F228" s="356" t="s">
        <v>796</v>
      </c>
      <c r="G228" s="354" t="s">
        <v>797</v>
      </c>
      <c r="H228" s="354" t="s">
        <v>92</v>
      </c>
      <c r="I228" s="355" t="s">
        <v>798</v>
      </c>
      <c r="J228" s="354" t="s">
        <v>799</v>
      </c>
      <c r="K228" s="354" t="s">
        <v>92</v>
      </c>
      <c r="L228" s="355" t="s">
        <v>800</v>
      </c>
      <c r="M228" s="298" t="s">
        <v>98</v>
      </c>
      <c r="N228" s="298">
        <v>1</v>
      </c>
      <c r="O228" s="298">
        <v>1</v>
      </c>
      <c r="P228" s="298">
        <v>0.7</v>
      </c>
      <c r="Q228" s="407" t="s">
        <v>207</v>
      </c>
      <c r="R228" s="354" t="s">
        <v>761</v>
      </c>
      <c r="S228" s="355" t="s">
        <v>801</v>
      </c>
      <c r="T228" s="43"/>
      <c r="U228" s="43"/>
      <c r="V228" s="43"/>
      <c r="W228" s="43"/>
      <c r="X228" s="43"/>
      <c r="Y228" s="43"/>
      <c r="Z228" s="43"/>
      <c r="AA228" s="43"/>
      <c r="AB228" s="43"/>
      <c r="AC228" s="43">
        <v>40000000</v>
      </c>
      <c r="AD228" s="43">
        <v>29294579</v>
      </c>
      <c r="AE228" s="43">
        <v>0</v>
      </c>
      <c r="AF228" s="43"/>
      <c r="AG228" s="43"/>
      <c r="AH228" s="43"/>
      <c r="AI228" s="43"/>
      <c r="AJ228" s="43"/>
      <c r="AK228" s="43"/>
      <c r="AL228" s="61"/>
      <c r="AM228" s="61"/>
      <c r="AN228" s="61"/>
      <c r="AO228" s="61"/>
      <c r="AP228" s="61"/>
      <c r="AQ228" s="61"/>
      <c r="AR228" s="43"/>
      <c r="AS228" s="43"/>
      <c r="AT228" s="43"/>
      <c r="AU228" s="43"/>
      <c r="AV228" s="43"/>
      <c r="AW228" s="43"/>
      <c r="AX228" s="49">
        <f>126778000-76778000-46161500</f>
        <v>3838500</v>
      </c>
      <c r="AY228" s="49">
        <v>0</v>
      </c>
      <c r="AZ228" s="49">
        <v>0</v>
      </c>
      <c r="BA228" s="43"/>
      <c r="BB228" s="43"/>
      <c r="BC228" s="43"/>
      <c r="BD228" s="43"/>
      <c r="BE228" s="43"/>
      <c r="BF228" s="43"/>
      <c r="BG228" s="173">
        <f>+T228+W228+Z228+AC228+AF228+AI228+AL228+AO228+AR228+AU228+AX228+BA228+BD228</f>
        <v>43838500</v>
      </c>
      <c r="BH228" s="173">
        <f t="shared" ref="BH228:BI229" si="310">+U228+X228+AA228+AD228+AG228+AJ228+AM228+AP228+AS228+AV228+AY228+BB228+BE228</f>
        <v>29294579</v>
      </c>
      <c r="BI228" s="173">
        <f t="shared" si="310"/>
        <v>0</v>
      </c>
    </row>
    <row r="229" spans="1:67" s="180" customFormat="1" ht="111" customHeight="1" x14ac:dyDescent="0.25">
      <c r="A229" s="458"/>
      <c r="B229" s="442"/>
      <c r="C229" s="373"/>
      <c r="D229" s="374"/>
      <c r="E229" s="354" t="s">
        <v>92</v>
      </c>
      <c r="F229" s="356" t="s">
        <v>796</v>
      </c>
      <c r="G229" s="298" t="s">
        <v>797</v>
      </c>
      <c r="H229" s="354" t="s">
        <v>92</v>
      </c>
      <c r="I229" s="355" t="s">
        <v>798</v>
      </c>
      <c r="J229" s="298" t="s">
        <v>799</v>
      </c>
      <c r="K229" s="305" t="s">
        <v>92</v>
      </c>
      <c r="L229" s="304" t="s">
        <v>800</v>
      </c>
      <c r="M229" s="354" t="s">
        <v>98</v>
      </c>
      <c r="N229" s="354">
        <v>1</v>
      </c>
      <c r="O229" s="199">
        <v>1</v>
      </c>
      <c r="P229" s="199">
        <v>0.8</v>
      </c>
      <c r="Q229" s="407" t="s">
        <v>207</v>
      </c>
      <c r="R229" s="233" t="s">
        <v>802</v>
      </c>
      <c r="S229" s="355" t="s">
        <v>1451</v>
      </c>
      <c r="T229" s="43"/>
      <c r="U229" s="43"/>
      <c r="V229" s="43"/>
      <c r="W229" s="43"/>
      <c r="X229" s="43"/>
      <c r="Y229" s="43"/>
      <c r="Z229" s="43"/>
      <c r="AA229" s="43"/>
      <c r="AB229" s="43"/>
      <c r="AC229" s="43">
        <v>50000000</v>
      </c>
      <c r="AD229" s="43">
        <v>9928826</v>
      </c>
      <c r="AE229" s="43">
        <v>9928826</v>
      </c>
      <c r="AF229" s="43"/>
      <c r="AG229" s="43"/>
      <c r="AH229" s="43"/>
      <c r="AI229" s="43"/>
      <c r="AJ229" s="43"/>
      <c r="AK229" s="43"/>
      <c r="AL229" s="61"/>
      <c r="AM229" s="61"/>
      <c r="AN229" s="61"/>
      <c r="AO229" s="61"/>
      <c r="AP229" s="61"/>
      <c r="AQ229" s="61"/>
      <c r="AR229" s="43"/>
      <c r="AS229" s="43"/>
      <c r="AT229" s="43"/>
      <c r="AU229" s="43"/>
      <c r="AV229" s="43"/>
      <c r="AW229" s="43"/>
      <c r="AX229" s="49">
        <f>145000000+5000000</f>
        <v>150000000</v>
      </c>
      <c r="AY229" s="49">
        <v>133798673</v>
      </c>
      <c r="AZ229" s="49">
        <v>133798673</v>
      </c>
      <c r="BA229" s="43"/>
      <c r="BB229" s="43"/>
      <c r="BC229" s="43"/>
      <c r="BD229" s="43"/>
      <c r="BE229" s="43"/>
      <c r="BF229" s="43"/>
      <c r="BG229" s="173">
        <f>+T229+W229+Z229+AC229+AF229+AI229+AL229+AO229+AR229+AU229+AX229+BA229+BD229</f>
        <v>200000000</v>
      </c>
      <c r="BH229" s="173">
        <f t="shared" si="310"/>
        <v>143727499</v>
      </c>
      <c r="BI229" s="173">
        <f t="shared" si="310"/>
        <v>143727499</v>
      </c>
    </row>
    <row r="230" spans="1:67" s="242" customFormat="1" ht="15.75" x14ac:dyDescent="0.2">
      <c r="A230" s="443"/>
      <c r="B230" s="444"/>
      <c r="C230" s="444"/>
      <c r="D230" s="445"/>
      <c r="E230" s="446"/>
      <c r="F230" s="446"/>
      <c r="G230" s="447"/>
      <c r="H230" s="447"/>
      <c r="I230" s="448"/>
      <c r="J230" s="449"/>
      <c r="K230" s="449"/>
      <c r="L230" s="448"/>
      <c r="M230" s="447"/>
      <c r="N230" s="447"/>
      <c r="O230" s="449"/>
      <c r="P230" s="449"/>
      <c r="Q230" s="447"/>
      <c r="R230" s="447"/>
      <c r="S230" s="448"/>
      <c r="T230" s="450"/>
      <c r="U230" s="450"/>
      <c r="V230" s="450"/>
      <c r="W230" s="450"/>
      <c r="X230" s="450"/>
      <c r="Y230" s="450"/>
      <c r="Z230" s="450"/>
      <c r="AA230" s="450"/>
      <c r="AB230" s="450"/>
      <c r="AC230" s="450"/>
      <c r="AD230" s="450"/>
      <c r="AE230" s="450"/>
      <c r="AF230" s="450"/>
      <c r="AG230" s="450"/>
      <c r="AH230" s="450"/>
      <c r="AI230" s="450"/>
      <c r="AJ230" s="450"/>
      <c r="AK230" s="450"/>
      <c r="AL230" s="450"/>
      <c r="AM230" s="450"/>
      <c r="AN230" s="450"/>
      <c r="AO230" s="450"/>
      <c r="AP230" s="450"/>
      <c r="AQ230" s="450"/>
      <c r="AR230" s="450"/>
      <c r="AS230" s="450"/>
      <c r="AT230" s="450"/>
      <c r="AU230" s="450"/>
      <c r="AV230" s="450"/>
      <c r="AW230" s="450"/>
      <c r="AX230" s="451"/>
      <c r="AY230" s="451"/>
      <c r="AZ230" s="451"/>
      <c r="BA230" s="450"/>
      <c r="BB230" s="450"/>
      <c r="BC230" s="450"/>
      <c r="BD230" s="450"/>
      <c r="BE230" s="450"/>
      <c r="BF230" s="450"/>
      <c r="BG230" s="451"/>
      <c r="BH230" s="451"/>
      <c r="BI230" s="451"/>
    </row>
    <row r="231" spans="1:67" s="179" customFormat="1" ht="15.75" x14ac:dyDescent="0.2">
      <c r="A231" s="211" t="s">
        <v>804</v>
      </c>
      <c r="B231" s="211"/>
      <c r="C231" s="211"/>
      <c r="D231" s="212"/>
      <c r="E231" s="212"/>
      <c r="F231" s="213"/>
      <c r="G231" s="214"/>
      <c r="H231" s="156"/>
      <c r="I231" s="213"/>
      <c r="J231" s="214"/>
      <c r="K231" s="214"/>
      <c r="L231" s="213"/>
      <c r="M231" s="156"/>
      <c r="N231" s="156"/>
      <c r="O231" s="214"/>
      <c r="P231" s="214"/>
      <c r="Q231" s="425"/>
      <c r="R231" s="214"/>
      <c r="S231" s="213"/>
      <c r="T231" s="188">
        <f>T232+T268+T271</f>
        <v>4262727592.3899999</v>
      </c>
      <c r="U231" s="188">
        <f t="shared" ref="U231:V231" si="311">U232+U268+U271</f>
        <v>1070402240</v>
      </c>
      <c r="V231" s="188">
        <f t="shared" si="311"/>
        <v>1070402240</v>
      </c>
      <c r="W231" s="188">
        <f>W232+W268+W271</f>
        <v>0</v>
      </c>
      <c r="X231" s="188"/>
      <c r="Y231" s="188"/>
      <c r="Z231" s="188">
        <f>Z232+Z268+Z271</f>
        <v>0</v>
      </c>
      <c r="AA231" s="188"/>
      <c r="AB231" s="188"/>
      <c r="AC231" s="188">
        <f>AC232+AC268+AC271</f>
        <v>0</v>
      </c>
      <c r="AD231" s="188"/>
      <c r="AE231" s="188"/>
      <c r="AF231" s="188">
        <f>AF232+AF268+AF271</f>
        <v>0</v>
      </c>
      <c r="AG231" s="188"/>
      <c r="AH231" s="188"/>
      <c r="AI231" s="188">
        <f>AI232+AI268+AI271</f>
        <v>0</v>
      </c>
      <c r="AJ231" s="188"/>
      <c r="AK231" s="188"/>
      <c r="AL231" s="188">
        <f>AL232+AL268+AL271</f>
        <v>0</v>
      </c>
      <c r="AM231" s="188"/>
      <c r="AN231" s="188"/>
      <c r="AO231" s="188">
        <f>AO232+AO268+AO271</f>
        <v>0</v>
      </c>
      <c r="AP231" s="188"/>
      <c r="AQ231" s="188"/>
      <c r="AR231" s="188">
        <f>AR232+AR268+AR271</f>
        <v>0</v>
      </c>
      <c r="AS231" s="188"/>
      <c r="AT231" s="188"/>
      <c r="AU231" s="188">
        <f>AU232+AU268+AU271</f>
        <v>0</v>
      </c>
      <c r="AV231" s="188"/>
      <c r="AW231" s="188"/>
      <c r="AX231" s="188">
        <f>AX232+AX268+AX271</f>
        <v>1481047309</v>
      </c>
      <c r="AY231" s="188">
        <f t="shared" ref="AY231:AZ231" si="312">AY232+AY268+AY271</f>
        <v>663173632</v>
      </c>
      <c r="AZ231" s="188">
        <f t="shared" si="312"/>
        <v>317485330</v>
      </c>
      <c r="BA231" s="188">
        <f>BA232+BA268+BA271</f>
        <v>0</v>
      </c>
      <c r="BB231" s="188"/>
      <c r="BC231" s="188"/>
      <c r="BD231" s="188">
        <f>BD232+BD268+BD271</f>
        <v>0</v>
      </c>
      <c r="BE231" s="188"/>
      <c r="BF231" s="188"/>
      <c r="BG231" s="188">
        <f>BG232+BG268+BG271</f>
        <v>5743774901.3899994</v>
      </c>
      <c r="BH231" s="188">
        <f>BH232+BH268+BH271</f>
        <v>1733575872</v>
      </c>
      <c r="BI231" s="188">
        <f>BI232+BI268+BI271</f>
        <v>1387887570</v>
      </c>
      <c r="BJ231" s="487"/>
      <c r="BK231" s="487"/>
      <c r="BL231" s="487"/>
      <c r="BM231" s="487"/>
      <c r="BN231" s="487"/>
      <c r="BO231" s="487"/>
    </row>
    <row r="232" spans="1:67" s="179" customFormat="1" ht="19.5" customHeight="1" x14ac:dyDescent="0.2">
      <c r="A232" s="469"/>
      <c r="B232" s="259">
        <v>1</v>
      </c>
      <c r="C232" s="159" t="s">
        <v>805</v>
      </c>
      <c r="D232" s="160"/>
      <c r="E232" s="160"/>
      <c r="F232" s="161"/>
      <c r="G232" s="162"/>
      <c r="H232" s="163"/>
      <c r="I232" s="161"/>
      <c r="J232" s="162"/>
      <c r="K232" s="162"/>
      <c r="L232" s="161"/>
      <c r="M232" s="164"/>
      <c r="N232" s="164"/>
      <c r="O232" s="162"/>
      <c r="P232" s="162"/>
      <c r="Q232" s="426"/>
      <c r="R232" s="162"/>
      <c r="S232" s="161"/>
      <c r="T232" s="165">
        <f>+T233+T236+T238+T247+T255+T265</f>
        <v>4262727592.3899999</v>
      </c>
      <c r="U232" s="165">
        <f t="shared" ref="U232:V232" si="313">+U233+U236+U238+U247+U255+U265</f>
        <v>1070402240</v>
      </c>
      <c r="V232" s="165">
        <f t="shared" si="313"/>
        <v>1070402240</v>
      </c>
      <c r="W232" s="165">
        <f>+W233+W236+W238+W247+W255+W265</f>
        <v>0</v>
      </c>
      <c r="X232" s="165"/>
      <c r="Y232" s="165"/>
      <c r="Z232" s="165">
        <f>+Z233+Z236+Z238+Z247+Z255+Z265</f>
        <v>0</v>
      </c>
      <c r="AA232" s="165"/>
      <c r="AB232" s="165"/>
      <c r="AC232" s="165">
        <f>+AC233+AC236+AC238+AC247+AC255+AC265</f>
        <v>0</v>
      </c>
      <c r="AD232" s="165"/>
      <c r="AE232" s="165"/>
      <c r="AF232" s="165">
        <f>+AF233+AF236+AF238+AF247+AF255+AF265</f>
        <v>0</v>
      </c>
      <c r="AG232" s="165"/>
      <c r="AH232" s="165"/>
      <c r="AI232" s="165">
        <f>+AI233+AI236+AI238+AI247+AI255+AI265</f>
        <v>0</v>
      </c>
      <c r="AJ232" s="165"/>
      <c r="AK232" s="165"/>
      <c r="AL232" s="165">
        <f>+AL233+AL236+AL238+AL247+AL255+AL265</f>
        <v>0</v>
      </c>
      <c r="AM232" s="165"/>
      <c r="AN232" s="165"/>
      <c r="AO232" s="165">
        <f>+AO233+AO236+AO238+AO247+AO255+AO265</f>
        <v>0</v>
      </c>
      <c r="AP232" s="165"/>
      <c r="AQ232" s="165"/>
      <c r="AR232" s="165">
        <f>+AR233+AR236+AR238+AR247+AR255+AR265</f>
        <v>0</v>
      </c>
      <c r="AS232" s="165"/>
      <c r="AT232" s="165"/>
      <c r="AU232" s="165">
        <f>+AU233+AU236+AU238+AU247+AU255+AU265</f>
        <v>0</v>
      </c>
      <c r="AV232" s="165"/>
      <c r="AW232" s="165"/>
      <c r="AX232" s="165">
        <f>+AX233+AX236+AX238+AX247+AX255+AX265</f>
        <v>1441047309</v>
      </c>
      <c r="AY232" s="165">
        <f t="shared" ref="AY232:AZ232" si="314">+AY233+AY236+AY238+AY247+AY255+AY265</f>
        <v>663173632</v>
      </c>
      <c r="AZ232" s="165">
        <f t="shared" si="314"/>
        <v>317485330</v>
      </c>
      <c r="BA232" s="165">
        <f>+BA233+BA236+BA238+BA247+BA255+BA265</f>
        <v>0</v>
      </c>
      <c r="BB232" s="165"/>
      <c r="BC232" s="165"/>
      <c r="BD232" s="165">
        <f>+BD233+BD236+BD238+BD247+BD255+BD265</f>
        <v>0</v>
      </c>
      <c r="BE232" s="165"/>
      <c r="BF232" s="165"/>
      <c r="BG232" s="165">
        <f>+BG233+BG236+BG238+BG247+BG255+BG265</f>
        <v>5703774901.3899994</v>
      </c>
      <c r="BH232" s="165">
        <f>+BH233+BH236+BH238+BH247+BH255+BH265</f>
        <v>1733575872</v>
      </c>
      <c r="BI232" s="165">
        <f>+BI233+BI236+BI238+BI247+BI255+BI265</f>
        <v>1387887570</v>
      </c>
    </row>
    <row r="233" spans="1:67" s="179" customFormat="1" ht="23.25" customHeight="1" x14ac:dyDescent="0.2">
      <c r="A233" s="453"/>
      <c r="B233" s="440"/>
      <c r="C233" s="195">
        <v>12</v>
      </c>
      <c r="D233" s="167">
        <v>1905</v>
      </c>
      <c r="E233" s="396" t="s">
        <v>806</v>
      </c>
      <c r="F233" s="166"/>
      <c r="G233" s="167"/>
      <c r="H233" s="168"/>
      <c r="I233" s="166"/>
      <c r="J233" s="167"/>
      <c r="K233" s="167"/>
      <c r="L233" s="166"/>
      <c r="M233" s="169"/>
      <c r="N233" s="169"/>
      <c r="O233" s="167"/>
      <c r="P233" s="167"/>
      <c r="Q233" s="424"/>
      <c r="R233" s="167"/>
      <c r="S233" s="166"/>
      <c r="T233" s="63">
        <f t="shared" ref="T233:BD233" si="315">SUM(T234:T235)</f>
        <v>0</v>
      </c>
      <c r="U233" s="63">
        <f t="shared" ref="U233:V233" si="316">SUM(U234:U235)</f>
        <v>0</v>
      </c>
      <c r="V233" s="63">
        <f t="shared" si="316"/>
        <v>0</v>
      </c>
      <c r="W233" s="63">
        <f t="shared" si="315"/>
        <v>0</v>
      </c>
      <c r="X233" s="63"/>
      <c r="Y233" s="63"/>
      <c r="Z233" s="63">
        <f t="shared" si="315"/>
        <v>0</v>
      </c>
      <c r="AA233" s="63"/>
      <c r="AB233" s="63"/>
      <c r="AC233" s="63">
        <f t="shared" si="315"/>
        <v>0</v>
      </c>
      <c r="AD233" s="63"/>
      <c r="AE233" s="63"/>
      <c r="AF233" s="63">
        <f t="shared" si="315"/>
        <v>0</v>
      </c>
      <c r="AG233" s="63"/>
      <c r="AH233" s="63"/>
      <c r="AI233" s="63">
        <f t="shared" si="315"/>
        <v>0</v>
      </c>
      <c r="AJ233" s="63"/>
      <c r="AK233" s="63"/>
      <c r="AL233" s="63">
        <f t="shared" si="315"/>
        <v>0</v>
      </c>
      <c r="AM233" s="63"/>
      <c r="AN233" s="63"/>
      <c r="AO233" s="63">
        <f t="shared" si="315"/>
        <v>0</v>
      </c>
      <c r="AP233" s="63"/>
      <c r="AQ233" s="63"/>
      <c r="AR233" s="63">
        <f t="shared" si="315"/>
        <v>0</v>
      </c>
      <c r="AS233" s="63"/>
      <c r="AT233" s="63"/>
      <c r="AU233" s="63">
        <f t="shared" si="315"/>
        <v>0</v>
      </c>
      <c r="AV233" s="63"/>
      <c r="AW233" s="63"/>
      <c r="AX233" s="63">
        <f t="shared" si="315"/>
        <v>54477635</v>
      </c>
      <c r="AY233" s="63">
        <f t="shared" ref="AY233:AZ233" si="317">SUM(AY234:AY235)</f>
        <v>27640000</v>
      </c>
      <c r="AZ233" s="63">
        <f t="shared" si="317"/>
        <v>0</v>
      </c>
      <c r="BA233" s="63">
        <f t="shared" si="315"/>
        <v>0</v>
      </c>
      <c r="BB233" s="63"/>
      <c r="BC233" s="63"/>
      <c r="BD233" s="63">
        <f t="shared" si="315"/>
        <v>0</v>
      </c>
      <c r="BE233" s="63"/>
      <c r="BF233" s="63"/>
      <c r="BG233" s="63">
        <f>SUM(BG234:BG235)</f>
        <v>54477635</v>
      </c>
      <c r="BH233" s="63">
        <f t="shared" ref="BH233:BI233" si="318">SUM(BH234:BH235)</f>
        <v>27640000</v>
      </c>
      <c r="BI233" s="63">
        <f t="shared" si="318"/>
        <v>0</v>
      </c>
    </row>
    <row r="234" spans="1:67" s="179" customFormat="1" ht="237.75" customHeight="1" x14ac:dyDescent="0.2">
      <c r="A234" s="453"/>
      <c r="B234" s="441"/>
      <c r="C234" s="375"/>
      <c r="D234" s="354"/>
      <c r="E234" s="364">
        <v>1905</v>
      </c>
      <c r="F234" s="355" t="s">
        <v>807</v>
      </c>
      <c r="G234" s="226" t="s">
        <v>808</v>
      </c>
      <c r="H234" s="199">
        <v>1905021</v>
      </c>
      <c r="I234" s="355" t="s">
        <v>809</v>
      </c>
      <c r="J234" s="354" t="s">
        <v>810</v>
      </c>
      <c r="K234" s="199">
        <v>190502100</v>
      </c>
      <c r="L234" s="355" t="s">
        <v>811</v>
      </c>
      <c r="M234" s="298" t="s">
        <v>98</v>
      </c>
      <c r="N234" s="298">
        <v>12</v>
      </c>
      <c r="O234" s="298">
        <v>12</v>
      </c>
      <c r="P234" s="298">
        <v>0</v>
      </c>
      <c r="Q234" s="518" t="s">
        <v>197</v>
      </c>
      <c r="R234" s="517" t="s">
        <v>812</v>
      </c>
      <c r="S234" s="537" t="s">
        <v>813</v>
      </c>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9">
        <f>25000000+10000000</f>
        <v>35000000</v>
      </c>
      <c r="AY234" s="365">
        <v>20266667</v>
      </c>
      <c r="AZ234" s="49">
        <v>0</v>
      </c>
      <c r="BA234" s="43"/>
      <c r="BB234" s="43"/>
      <c r="BC234" s="43"/>
      <c r="BD234" s="43"/>
      <c r="BE234" s="43"/>
      <c r="BF234" s="43"/>
      <c r="BG234" s="173">
        <f>+T234+W234+Z234+AC234+AF234+AI234+AL234+AO234+AR234+AU234+AX234+BA234+BD234</f>
        <v>35000000</v>
      </c>
      <c r="BH234" s="173">
        <f t="shared" ref="BH234:BI235" si="319">+U234+X234+AA234+AD234+AG234+AJ234+AM234+AP234+AS234+AV234+AY234+BB234+BE234</f>
        <v>20266667</v>
      </c>
      <c r="BI234" s="173">
        <f t="shared" si="319"/>
        <v>0</v>
      </c>
    </row>
    <row r="235" spans="1:67" s="179" customFormat="1" ht="177" customHeight="1" x14ac:dyDescent="0.2">
      <c r="A235" s="453"/>
      <c r="B235" s="441"/>
      <c r="C235" s="375"/>
      <c r="D235" s="354"/>
      <c r="E235" s="364">
        <v>1905</v>
      </c>
      <c r="F235" s="355" t="s">
        <v>1485</v>
      </c>
      <c r="G235" s="332" t="s">
        <v>814</v>
      </c>
      <c r="H235" s="237">
        <v>1905022</v>
      </c>
      <c r="I235" s="238" t="s">
        <v>815</v>
      </c>
      <c r="J235" s="298" t="s">
        <v>816</v>
      </c>
      <c r="K235" s="298">
        <v>190502200</v>
      </c>
      <c r="L235" s="304" t="s">
        <v>817</v>
      </c>
      <c r="M235" s="298" t="s">
        <v>98</v>
      </c>
      <c r="N235" s="298">
        <v>12</v>
      </c>
      <c r="O235" s="298">
        <v>12</v>
      </c>
      <c r="P235" s="298">
        <v>0</v>
      </c>
      <c r="Q235" s="518"/>
      <c r="R235" s="517"/>
      <c r="S235" s="537"/>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365">
        <f>29477635-10000000</f>
        <v>19477635</v>
      </c>
      <c r="AY235" s="365">
        <v>7373333</v>
      </c>
      <c r="AZ235" s="365">
        <v>0</v>
      </c>
      <c r="BA235" s="43"/>
      <c r="BB235" s="43"/>
      <c r="BC235" s="43"/>
      <c r="BD235" s="43"/>
      <c r="BE235" s="43"/>
      <c r="BF235" s="43"/>
      <c r="BG235" s="173">
        <f>+T235+W235+Z235+AC235+AF235+AI235+AL235+AO235+AR235+AU235+AX235+BA235+BD235</f>
        <v>19477635</v>
      </c>
      <c r="BH235" s="173">
        <f t="shared" si="319"/>
        <v>7373333</v>
      </c>
      <c r="BI235" s="173">
        <f t="shared" si="319"/>
        <v>0</v>
      </c>
    </row>
    <row r="236" spans="1:67" s="179" customFormat="1" ht="15.75" customHeight="1" x14ac:dyDescent="0.2">
      <c r="A236" s="453"/>
      <c r="B236" s="441"/>
      <c r="C236" s="195">
        <v>25</v>
      </c>
      <c r="D236" s="167">
        <v>3301</v>
      </c>
      <c r="E236" s="357" t="s">
        <v>210</v>
      </c>
      <c r="F236" s="166"/>
      <c r="G236" s="167"/>
      <c r="H236" s="168"/>
      <c r="I236" s="166"/>
      <c r="J236" s="167"/>
      <c r="K236" s="167"/>
      <c r="L236" s="166"/>
      <c r="M236" s="397"/>
      <c r="N236" s="397"/>
      <c r="O236" s="167"/>
      <c r="P236" s="167"/>
      <c r="Q236" s="424"/>
      <c r="R236" s="167"/>
      <c r="S236" s="166"/>
      <c r="T236" s="63">
        <f t="shared" ref="T236:BI236" si="320">SUM(T237)</f>
        <v>0</v>
      </c>
      <c r="U236" s="63"/>
      <c r="V236" s="63"/>
      <c r="W236" s="63">
        <f t="shared" si="320"/>
        <v>0</v>
      </c>
      <c r="X236" s="63"/>
      <c r="Y236" s="63"/>
      <c r="Z236" s="63">
        <f t="shared" si="320"/>
        <v>0</v>
      </c>
      <c r="AA236" s="63"/>
      <c r="AB236" s="63"/>
      <c r="AC236" s="63">
        <f t="shared" si="320"/>
        <v>0</v>
      </c>
      <c r="AD236" s="63"/>
      <c r="AE236" s="63"/>
      <c r="AF236" s="63">
        <f t="shared" si="320"/>
        <v>0</v>
      </c>
      <c r="AG236" s="63"/>
      <c r="AH236" s="63"/>
      <c r="AI236" s="63">
        <f t="shared" si="320"/>
        <v>0</v>
      </c>
      <c r="AJ236" s="63"/>
      <c r="AK236" s="63"/>
      <c r="AL236" s="63">
        <f t="shared" si="320"/>
        <v>0</v>
      </c>
      <c r="AM236" s="63"/>
      <c r="AN236" s="63"/>
      <c r="AO236" s="63">
        <f t="shared" si="320"/>
        <v>0</v>
      </c>
      <c r="AP236" s="63"/>
      <c r="AQ236" s="63"/>
      <c r="AR236" s="63">
        <f t="shared" si="320"/>
        <v>0</v>
      </c>
      <c r="AS236" s="63"/>
      <c r="AT236" s="63"/>
      <c r="AU236" s="63">
        <f t="shared" si="320"/>
        <v>0</v>
      </c>
      <c r="AV236" s="63"/>
      <c r="AW236" s="63"/>
      <c r="AX236" s="63">
        <f t="shared" si="320"/>
        <v>47000000</v>
      </c>
      <c r="AY236" s="63">
        <f t="shared" si="320"/>
        <v>32133333</v>
      </c>
      <c r="AZ236" s="63">
        <f t="shared" si="320"/>
        <v>0</v>
      </c>
      <c r="BA236" s="63">
        <f t="shared" si="320"/>
        <v>0</v>
      </c>
      <c r="BB236" s="63"/>
      <c r="BC236" s="63"/>
      <c r="BD236" s="63">
        <f t="shared" si="320"/>
        <v>0</v>
      </c>
      <c r="BE236" s="63"/>
      <c r="BF236" s="63"/>
      <c r="BG236" s="63">
        <f t="shared" si="320"/>
        <v>47000000</v>
      </c>
      <c r="BH236" s="63">
        <f t="shared" si="320"/>
        <v>32133333</v>
      </c>
      <c r="BI236" s="63">
        <f t="shared" si="320"/>
        <v>0</v>
      </c>
    </row>
    <row r="237" spans="1:67" s="179" customFormat="1" ht="65.25" customHeight="1" x14ac:dyDescent="0.2">
      <c r="A237" s="453"/>
      <c r="B237" s="441"/>
      <c r="C237" s="375"/>
      <c r="D237" s="354"/>
      <c r="E237" s="364">
        <v>3301</v>
      </c>
      <c r="F237" s="355" t="s">
        <v>1484</v>
      </c>
      <c r="G237" s="226" t="s">
        <v>818</v>
      </c>
      <c r="H237" s="199">
        <v>3301051</v>
      </c>
      <c r="I237" s="355" t="s">
        <v>819</v>
      </c>
      <c r="J237" s="354" t="s">
        <v>820</v>
      </c>
      <c r="K237" s="199">
        <v>330105110</v>
      </c>
      <c r="L237" s="355" t="s">
        <v>821</v>
      </c>
      <c r="M237" s="298" t="s">
        <v>188</v>
      </c>
      <c r="N237" s="298">
        <v>1000</v>
      </c>
      <c r="O237" s="298">
        <v>50</v>
      </c>
      <c r="P237" s="298">
        <v>0</v>
      </c>
      <c r="Q237" s="421" t="s">
        <v>217</v>
      </c>
      <c r="R237" s="354" t="s">
        <v>822</v>
      </c>
      <c r="S237" s="355" t="s">
        <v>823</v>
      </c>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9">
        <f>20000000+27000000</f>
        <v>47000000</v>
      </c>
      <c r="AY237" s="49">
        <v>32133333</v>
      </c>
      <c r="AZ237" s="49">
        <v>0</v>
      </c>
      <c r="BA237" s="43"/>
      <c r="BB237" s="43"/>
      <c r="BC237" s="43"/>
      <c r="BD237" s="43"/>
      <c r="BE237" s="43"/>
      <c r="BF237" s="43"/>
      <c r="BG237" s="173">
        <f>+T237+W237+Z237+AC237+AF237+AI237+AL237+AO237+AR237+AU237+AX237+BA237+BD237</f>
        <v>47000000</v>
      </c>
      <c r="BH237" s="173">
        <f t="shared" ref="BH237:BI237" si="321">+U237+X237+AA237+AD237+AG237+AJ237+AM237+AP237+AS237+AV237+AY237+BB237+BE237</f>
        <v>32133333</v>
      </c>
      <c r="BI237" s="173">
        <f t="shared" si="321"/>
        <v>0</v>
      </c>
    </row>
    <row r="238" spans="1:67" s="179" customFormat="1" ht="15.75" x14ac:dyDescent="0.2">
      <c r="A238" s="453"/>
      <c r="B238" s="441"/>
      <c r="C238" s="195">
        <v>36</v>
      </c>
      <c r="D238" s="167">
        <v>4102</v>
      </c>
      <c r="E238" s="357" t="s">
        <v>824</v>
      </c>
      <c r="F238" s="166"/>
      <c r="G238" s="167"/>
      <c r="H238" s="168"/>
      <c r="I238" s="166"/>
      <c r="J238" s="167"/>
      <c r="K238" s="167"/>
      <c r="L238" s="166"/>
      <c r="M238" s="169"/>
      <c r="N238" s="169"/>
      <c r="O238" s="167"/>
      <c r="P238" s="167"/>
      <c r="Q238" s="170"/>
      <c r="R238" s="167"/>
      <c r="S238" s="166"/>
      <c r="T238" s="63">
        <f>SUM(T239:T246)</f>
        <v>0</v>
      </c>
      <c r="U238" s="63"/>
      <c r="V238" s="63"/>
      <c r="W238" s="63">
        <f>SUM(W239:W246)</f>
        <v>0</v>
      </c>
      <c r="X238" s="63"/>
      <c r="Y238" s="63"/>
      <c r="Z238" s="63">
        <f>SUM(Z239:Z246)</f>
        <v>0</v>
      </c>
      <c r="AA238" s="63"/>
      <c r="AB238" s="63"/>
      <c r="AC238" s="63">
        <f>SUM(AC239:AC246)</f>
        <v>0</v>
      </c>
      <c r="AD238" s="63"/>
      <c r="AE238" s="63"/>
      <c r="AF238" s="63">
        <f>SUM(AF239:AF246)</f>
        <v>0</v>
      </c>
      <c r="AG238" s="63"/>
      <c r="AH238" s="63"/>
      <c r="AI238" s="63">
        <f>SUM(AI239:AI246)</f>
        <v>0</v>
      </c>
      <c r="AJ238" s="63"/>
      <c r="AK238" s="63"/>
      <c r="AL238" s="63">
        <f>SUM(AL239:AL246)</f>
        <v>0</v>
      </c>
      <c r="AM238" s="63"/>
      <c r="AN238" s="63"/>
      <c r="AO238" s="63">
        <f>SUM(AO239:AO246)</f>
        <v>0</v>
      </c>
      <c r="AP238" s="63"/>
      <c r="AQ238" s="63"/>
      <c r="AR238" s="63">
        <f>SUM(AR239:AR246)</f>
        <v>0</v>
      </c>
      <c r="AS238" s="63"/>
      <c r="AT238" s="63"/>
      <c r="AU238" s="63">
        <f>SUM(AU239:AU246)</f>
        <v>0</v>
      </c>
      <c r="AV238" s="63"/>
      <c r="AW238" s="63"/>
      <c r="AX238" s="63">
        <f>SUM(AX239:AX246)</f>
        <v>497297832</v>
      </c>
      <c r="AY238" s="63">
        <f t="shared" ref="AY238:AZ238" si="322">SUM(AY239:AY246)</f>
        <v>232033663</v>
      </c>
      <c r="AZ238" s="63">
        <f t="shared" si="322"/>
        <v>143233664</v>
      </c>
      <c r="BA238" s="63">
        <f>SUM(BA239:BA246)</f>
        <v>0</v>
      </c>
      <c r="BB238" s="63"/>
      <c r="BC238" s="63"/>
      <c r="BD238" s="63">
        <f>SUM(BD239:BD246)</f>
        <v>0</v>
      </c>
      <c r="BE238" s="63"/>
      <c r="BF238" s="63"/>
      <c r="BG238" s="63">
        <f>SUM(BG239:BG246)</f>
        <v>497297832</v>
      </c>
      <c r="BH238" s="63">
        <f>SUM(BH239:BH246)</f>
        <v>232033663</v>
      </c>
      <c r="BI238" s="63">
        <f>SUM(BI239:BI246)</f>
        <v>143233664</v>
      </c>
    </row>
    <row r="239" spans="1:67" s="179" customFormat="1" ht="78" customHeight="1" x14ac:dyDescent="0.2">
      <c r="A239" s="453"/>
      <c r="B239" s="441"/>
      <c r="C239" s="373"/>
      <c r="D239" s="374"/>
      <c r="E239" s="364">
        <v>4102</v>
      </c>
      <c r="F239" s="355" t="s">
        <v>1483</v>
      </c>
      <c r="G239" s="332" t="s">
        <v>825</v>
      </c>
      <c r="H239" s="199" t="s">
        <v>92</v>
      </c>
      <c r="I239" s="355" t="s">
        <v>826</v>
      </c>
      <c r="J239" s="298" t="s">
        <v>827</v>
      </c>
      <c r="K239" s="301" t="s">
        <v>92</v>
      </c>
      <c r="L239" s="306" t="s">
        <v>828</v>
      </c>
      <c r="M239" s="301" t="s">
        <v>98</v>
      </c>
      <c r="N239" s="301">
        <v>1</v>
      </c>
      <c r="O239" s="301">
        <v>1</v>
      </c>
      <c r="P239" s="301">
        <v>0</v>
      </c>
      <c r="Q239" s="518" t="s">
        <v>328</v>
      </c>
      <c r="R239" s="517" t="s">
        <v>829</v>
      </c>
      <c r="S239" s="518" t="s">
        <v>1452</v>
      </c>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9">
        <v>30000000</v>
      </c>
      <c r="AY239" s="49">
        <v>5333333</v>
      </c>
      <c r="AZ239" s="49">
        <v>0</v>
      </c>
      <c r="BA239" s="43"/>
      <c r="BB239" s="43"/>
      <c r="BC239" s="43"/>
      <c r="BD239" s="43"/>
      <c r="BE239" s="43"/>
      <c r="BF239" s="43"/>
      <c r="BG239" s="201">
        <f t="shared" ref="BG239:BI246" si="323">+T239+W239+Z239+AC239+AF239+AI239+AL239+AO239+AR239+AU239+AX239+BA239+BD239</f>
        <v>30000000</v>
      </c>
      <c r="BH239" s="201">
        <f t="shared" si="323"/>
        <v>5333333</v>
      </c>
      <c r="BI239" s="201">
        <f t="shared" si="323"/>
        <v>0</v>
      </c>
    </row>
    <row r="240" spans="1:67" s="179" customFormat="1" ht="72.75" customHeight="1" x14ac:dyDescent="0.2">
      <c r="A240" s="453"/>
      <c r="B240" s="441"/>
      <c r="C240" s="373"/>
      <c r="D240" s="374"/>
      <c r="E240" s="364">
        <v>4102</v>
      </c>
      <c r="F240" s="355" t="s">
        <v>831</v>
      </c>
      <c r="G240" s="332" t="s">
        <v>832</v>
      </c>
      <c r="H240" s="199" t="s">
        <v>92</v>
      </c>
      <c r="I240" s="355" t="s">
        <v>833</v>
      </c>
      <c r="J240" s="298" t="s">
        <v>834</v>
      </c>
      <c r="K240" s="301" t="s">
        <v>92</v>
      </c>
      <c r="L240" s="306" t="s">
        <v>835</v>
      </c>
      <c r="M240" s="301" t="s">
        <v>98</v>
      </c>
      <c r="N240" s="301">
        <v>12</v>
      </c>
      <c r="O240" s="301">
        <v>12</v>
      </c>
      <c r="P240" s="301">
        <v>12</v>
      </c>
      <c r="Q240" s="518"/>
      <c r="R240" s="517"/>
      <c r="S240" s="518"/>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9">
        <v>25000000</v>
      </c>
      <c r="AY240" s="49">
        <v>21866666</v>
      </c>
      <c r="AZ240" s="49">
        <v>8533333</v>
      </c>
      <c r="BA240" s="43"/>
      <c r="BB240" s="43"/>
      <c r="BC240" s="43"/>
      <c r="BD240" s="43"/>
      <c r="BE240" s="43"/>
      <c r="BF240" s="43"/>
      <c r="BG240" s="201">
        <f t="shared" si="323"/>
        <v>25000000</v>
      </c>
      <c r="BH240" s="201">
        <f t="shared" si="323"/>
        <v>21866666</v>
      </c>
      <c r="BI240" s="201">
        <f t="shared" si="323"/>
        <v>8533333</v>
      </c>
    </row>
    <row r="241" spans="1:61" s="179" customFormat="1" ht="162.75" customHeight="1" x14ac:dyDescent="0.2">
      <c r="A241" s="453"/>
      <c r="B241" s="441"/>
      <c r="C241" s="375"/>
      <c r="D241" s="354"/>
      <c r="E241" s="364">
        <v>4102</v>
      </c>
      <c r="F241" s="355" t="s">
        <v>836</v>
      </c>
      <c r="G241" s="332" t="s">
        <v>837</v>
      </c>
      <c r="H241" s="199" t="s">
        <v>92</v>
      </c>
      <c r="I241" s="355" t="s">
        <v>838</v>
      </c>
      <c r="J241" s="298" t="s">
        <v>839</v>
      </c>
      <c r="K241" s="301" t="s">
        <v>92</v>
      </c>
      <c r="L241" s="306" t="s">
        <v>840</v>
      </c>
      <c r="M241" s="301" t="s">
        <v>98</v>
      </c>
      <c r="N241" s="301">
        <v>1</v>
      </c>
      <c r="O241" s="301">
        <v>1</v>
      </c>
      <c r="P241" s="341">
        <v>0.6</v>
      </c>
      <c r="Q241" s="423" t="s">
        <v>114</v>
      </c>
      <c r="R241" s="354" t="s">
        <v>841</v>
      </c>
      <c r="S241" s="355" t="s">
        <v>1453</v>
      </c>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9">
        <f>180000000-100103834</f>
        <v>79896166</v>
      </c>
      <c r="AY241" s="49">
        <v>60296166</v>
      </c>
      <c r="AZ241" s="49">
        <v>32896166</v>
      </c>
      <c r="BA241" s="43"/>
      <c r="BB241" s="43"/>
      <c r="BC241" s="43"/>
      <c r="BD241" s="43"/>
      <c r="BE241" s="43"/>
      <c r="BF241" s="43"/>
      <c r="BG241" s="201">
        <f t="shared" si="323"/>
        <v>79896166</v>
      </c>
      <c r="BH241" s="201">
        <f t="shared" si="323"/>
        <v>60296166</v>
      </c>
      <c r="BI241" s="201">
        <f t="shared" si="323"/>
        <v>32896166</v>
      </c>
    </row>
    <row r="242" spans="1:61" s="236" customFormat="1" ht="183.75" customHeight="1" x14ac:dyDescent="0.2">
      <c r="A242" s="470"/>
      <c r="B242" s="498"/>
      <c r="C242" s="398"/>
      <c r="D242" s="500"/>
      <c r="E242" s="232">
        <v>4102</v>
      </c>
      <c r="F242" s="243" t="s">
        <v>843</v>
      </c>
      <c r="G242" s="500" t="s">
        <v>844</v>
      </c>
      <c r="H242" s="199" t="s">
        <v>92</v>
      </c>
      <c r="I242" s="499" t="s">
        <v>845</v>
      </c>
      <c r="J242" s="500" t="s">
        <v>846</v>
      </c>
      <c r="K242" s="301" t="s">
        <v>92</v>
      </c>
      <c r="L242" s="499" t="s">
        <v>847</v>
      </c>
      <c r="M242" s="301" t="s">
        <v>98</v>
      </c>
      <c r="N242" s="301">
        <v>1</v>
      </c>
      <c r="O242" s="301">
        <v>1</v>
      </c>
      <c r="P242" s="301">
        <v>0.45</v>
      </c>
      <c r="Q242" s="243" t="s">
        <v>328</v>
      </c>
      <c r="R242" s="500" t="s">
        <v>848</v>
      </c>
      <c r="S242" s="499" t="s">
        <v>849</v>
      </c>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9">
        <f>240000000</f>
        <v>240000000</v>
      </c>
      <c r="AY242" s="49">
        <v>104135832</v>
      </c>
      <c r="AZ242" s="49">
        <v>61402499</v>
      </c>
      <c r="BA242" s="43"/>
      <c r="BB242" s="43"/>
      <c r="BC242" s="43"/>
      <c r="BD242" s="43"/>
      <c r="BE242" s="43"/>
      <c r="BF242" s="43"/>
      <c r="BG242" s="201">
        <f t="shared" si="323"/>
        <v>240000000</v>
      </c>
      <c r="BH242" s="201">
        <f t="shared" si="323"/>
        <v>104135832</v>
      </c>
      <c r="BI242" s="201">
        <f t="shared" si="323"/>
        <v>61402499</v>
      </c>
    </row>
    <row r="243" spans="1:61" s="179" customFormat="1" ht="117" customHeight="1" x14ac:dyDescent="0.2">
      <c r="A243" s="453"/>
      <c r="B243" s="441"/>
      <c r="C243" s="375"/>
      <c r="D243" s="354"/>
      <c r="E243" s="364">
        <v>4102</v>
      </c>
      <c r="F243" s="355" t="s">
        <v>850</v>
      </c>
      <c r="G243" s="332" t="s">
        <v>851</v>
      </c>
      <c r="H243" s="199" t="s">
        <v>92</v>
      </c>
      <c r="I243" s="356" t="s">
        <v>852</v>
      </c>
      <c r="J243" s="298" t="s">
        <v>853</v>
      </c>
      <c r="K243" s="301" t="s">
        <v>92</v>
      </c>
      <c r="L243" s="355" t="s">
        <v>854</v>
      </c>
      <c r="M243" s="301" t="s">
        <v>98</v>
      </c>
      <c r="N243" s="301">
        <v>1</v>
      </c>
      <c r="O243" s="301">
        <v>1</v>
      </c>
      <c r="P243" s="301">
        <v>1</v>
      </c>
      <c r="Q243" s="423" t="s">
        <v>328</v>
      </c>
      <c r="R243" s="354" t="s">
        <v>822</v>
      </c>
      <c r="S243" s="355" t="s">
        <v>823</v>
      </c>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9">
        <f>180000000-139598334</f>
        <v>40401666</v>
      </c>
      <c r="AY243" s="49">
        <v>40401666</v>
      </c>
      <c r="AZ243" s="49">
        <v>40401666</v>
      </c>
      <c r="BA243" s="43"/>
      <c r="BB243" s="43"/>
      <c r="BC243" s="43"/>
      <c r="BD243" s="43"/>
      <c r="BE243" s="43"/>
      <c r="BF243" s="43"/>
      <c r="BG243" s="201">
        <f t="shared" si="323"/>
        <v>40401666</v>
      </c>
      <c r="BH243" s="201">
        <f t="shared" si="323"/>
        <v>40401666</v>
      </c>
      <c r="BI243" s="201">
        <f t="shared" si="323"/>
        <v>40401666</v>
      </c>
    </row>
    <row r="244" spans="1:61" s="179" customFormat="1" ht="153.75" customHeight="1" x14ac:dyDescent="0.2">
      <c r="A244" s="453"/>
      <c r="B244" s="441"/>
      <c r="C244" s="375"/>
      <c r="D244" s="354"/>
      <c r="E244" s="364">
        <v>4102</v>
      </c>
      <c r="F244" s="355" t="s">
        <v>855</v>
      </c>
      <c r="G244" s="226" t="s">
        <v>856</v>
      </c>
      <c r="H244" s="199" t="s">
        <v>92</v>
      </c>
      <c r="I244" s="355" t="s">
        <v>857</v>
      </c>
      <c r="J244" s="354" t="s">
        <v>858</v>
      </c>
      <c r="K244" s="301" t="s">
        <v>92</v>
      </c>
      <c r="L244" s="355" t="s">
        <v>859</v>
      </c>
      <c r="M244" s="301" t="s">
        <v>98</v>
      </c>
      <c r="N244" s="301">
        <v>12</v>
      </c>
      <c r="O244" s="301">
        <v>12</v>
      </c>
      <c r="P244" s="301">
        <v>0</v>
      </c>
      <c r="Q244" s="423" t="s">
        <v>301</v>
      </c>
      <c r="R244" s="354" t="s">
        <v>860</v>
      </c>
      <c r="S244" s="238" t="s">
        <v>861</v>
      </c>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9">
        <v>13000000</v>
      </c>
      <c r="AY244" s="49">
        <v>0</v>
      </c>
      <c r="AZ244" s="49">
        <v>0</v>
      </c>
      <c r="BA244" s="43"/>
      <c r="BB244" s="43"/>
      <c r="BC244" s="43"/>
      <c r="BD244" s="43"/>
      <c r="BE244" s="43"/>
      <c r="BF244" s="43"/>
      <c r="BG244" s="201">
        <f t="shared" si="323"/>
        <v>13000000</v>
      </c>
      <c r="BH244" s="201">
        <f t="shared" si="323"/>
        <v>0</v>
      </c>
      <c r="BI244" s="201">
        <f t="shared" si="323"/>
        <v>0</v>
      </c>
    </row>
    <row r="245" spans="1:61" s="236" customFormat="1" ht="216.75" customHeight="1" x14ac:dyDescent="0.2">
      <c r="A245" s="470"/>
      <c r="B245" s="457"/>
      <c r="C245" s="398"/>
      <c r="D245" s="361"/>
      <c r="E245" s="364">
        <v>4102</v>
      </c>
      <c r="F245" s="362" t="s">
        <v>1486</v>
      </c>
      <c r="G245" s="367" t="s">
        <v>862</v>
      </c>
      <c r="H245" s="234">
        <v>4102022</v>
      </c>
      <c r="I245" s="235" t="s">
        <v>863</v>
      </c>
      <c r="J245" s="234" t="s">
        <v>864</v>
      </c>
      <c r="K245" s="234" t="s">
        <v>865</v>
      </c>
      <c r="L245" s="235" t="s">
        <v>866</v>
      </c>
      <c r="M245" s="301" t="s">
        <v>188</v>
      </c>
      <c r="N245" s="301">
        <v>64</v>
      </c>
      <c r="O245" s="301">
        <v>6</v>
      </c>
      <c r="P245" s="301">
        <v>0</v>
      </c>
      <c r="Q245" s="243" t="s">
        <v>328</v>
      </c>
      <c r="R245" s="226" t="s">
        <v>867</v>
      </c>
      <c r="S245" s="368" t="s">
        <v>868</v>
      </c>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9">
        <v>55000000</v>
      </c>
      <c r="AY245" s="49">
        <v>0</v>
      </c>
      <c r="AZ245" s="49">
        <v>0</v>
      </c>
      <c r="BA245" s="43"/>
      <c r="BB245" s="43"/>
      <c r="BC245" s="43"/>
      <c r="BD245" s="43"/>
      <c r="BE245" s="43"/>
      <c r="BF245" s="43"/>
      <c r="BG245" s="201">
        <f t="shared" si="323"/>
        <v>55000000</v>
      </c>
      <c r="BH245" s="201">
        <f t="shared" si="323"/>
        <v>0</v>
      </c>
      <c r="BI245" s="201">
        <f t="shared" si="323"/>
        <v>0</v>
      </c>
    </row>
    <row r="246" spans="1:61" s="179" customFormat="1" ht="111" customHeight="1" x14ac:dyDescent="0.2">
      <c r="A246" s="453"/>
      <c r="B246" s="441"/>
      <c r="C246" s="375"/>
      <c r="D246" s="354"/>
      <c r="E246" s="364">
        <v>4102</v>
      </c>
      <c r="F246" s="355" t="s">
        <v>869</v>
      </c>
      <c r="G246" s="332" t="s">
        <v>870</v>
      </c>
      <c r="H246" s="354">
        <v>4102038</v>
      </c>
      <c r="I246" s="355" t="s">
        <v>871</v>
      </c>
      <c r="J246" s="298" t="s">
        <v>872</v>
      </c>
      <c r="K246" s="298">
        <v>410203800</v>
      </c>
      <c r="L246" s="304" t="s">
        <v>873</v>
      </c>
      <c r="M246" s="301" t="s">
        <v>188</v>
      </c>
      <c r="N246" s="301">
        <v>40</v>
      </c>
      <c r="O246" s="301">
        <v>10</v>
      </c>
      <c r="P246" s="301">
        <v>0</v>
      </c>
      <c r="Q246" s="423" t="s">
        <v>301</v>
      </c>
      <c r="R246" s="354" t="s">
        <v>874</v>
      </c>
      <c r="S246" s="238" t="s">
        <v>875</v>
      </c>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9">
        <v>14000000</v>
      </c>
      <c r="AY246" s="49">
        <v>0</v>
      </c>
      <c r="AZ246" s="49">
        <v>0</v>
      </c>
      <c r="BA246" s="43"/>
      <c r="BB246" s="43"/>
      <c r="BC246" s="43"/>
      <c r="BD246" s="43"/>
      <c r="BE246" s="43"/>
      <c r="BF246" s="43"/>
      <c r="BG246" s="201">
        <f t="shared" si="323"/>
        <v>14000000</v>
      </c>
      <c r="BH246" s="201">
        <f t="shared" si="323"/>
        <v>0</v>
      </c>
      <c r="BI246" s="201">
        <f t="shared" si="323"/>
        <v>0</v>
      </c>
    </row>
    <row r="247" spans="1:61" s="179" customFormat="1" ht="15.75" x14ac:dyDescent="0.2">
      <c r="A247" s="453"/>
      <c r="B247" s="441"/>
      <c r="C247" s="195">
        <v>37</v>
      </c>
      <c r="D247" s="167">
        <v>4103</v>
      </c>
      <c r="E247" s="357" t="s">
        <v>349</v>
      </c>
      <c r="F247" s="166"/>
      <c r="G247" s="167"/>
      <c r="H247" s="168"/>
      <c r="I247" s="166"/>
      <c r="J247" s="167"/>
      <c r="K247" s="167"/>
      <c r="L247" s="166"/>
      <c r="M247" s="169"/>
      <c r="N247" s="169"/>
      <c r="O247" s="167"/>
      <c r="P247" s="167"/>
      <c r="Q247" s="424"/>
      <c r="R247" s="167"/>
      <c r="S247" s="166"/>
      <c r="T247" s="63">
        <f t="shared" ref="T247:BD247" si="324">SUM(T248:T254)</f>
        <v>0</v>
      </c>
      <c r="U247" s="63"/>
      <c r="V247" s="63"/>
      <c r="W247" s="63">
        <f t="shared" si="324"/>
        <v>0</v>
      </c>
      <c r="X247" s="63"/>
      <c r="Y247" s="63"/>
      <c r="Z247" s="63">
        <f t="shared" si="324"/>
        <v>0</v>
      </c>
      <c r="AA247" s="63"/>
      <c r="AB247" s="63"/>
      <c r="AC247" s="63">
        <f t="shared" si="324"/>
        <v>0</v>
      </c>
      <c r="AD247" s="63"/>
      <c r="AE247" s="63"/>
      <c r="AF247" s="63">
        <f t="shared" si="324"/>
        <v>0</v>
      </c>
      <c r="AG247" s="63"/>
      <c r="AH247" s="63"/>
      <c r="AI247" s="63">
        <f t="shared" si="324"/>
        <v>0</v>
      </c>
      <c r="AJ247" s="63"/>
      <c r="AK247" s="63"/>
      <c r="AL247" s="63">
        <f t="shared" si="324"/>
        <v>0</v>
      </c>
      <c r="AM247" s="63"/>
      <c r="AN247" s="63"/>
      <c r="AO247" s="63">
        <f t="shared" si="324"/>
        <v>0</v>
      </c>
      <c r="AP247" s="63"/>
      <c r="AQ247" s="63"/>
      <c r="AR247" s="63">
        <f t="shared" si="324"/>
        <v>0</v>
      </c>
      <c r="AS247" s="63"/>
      <c r="AT247" s="63"/>
      <c r="AU247" s="63">
        <f t="shared" si="324"/>
        <v>0</v>
      </c>
      <c r="AV247" s="63"/>
      <c r="AW247" s="63"/>
      <c r="AX247" s="63">
        <f t="shared" si="324"/>
        <v>233020000</v>
      </c>
      <c r="AY247" s="63">
        <f t="shared" si="324"/>
        <v>74594999</v>
      </c>
      <c r="AZ247" s="63">
        <f t="shared" si="324"/>
        <v>9520000</v>
      </c>
      <c r="BA247" s="63">
        <f t="shared" si="324"/>
        <v>0</v>
      </c>
      <c r="BB247" s="63"/>
      <c r="BC247" s="63"/>
      <c r="BD247" s="63">
        <f t="shared" si="324"/>
        <v>0</v>
      </c>
      <c r="BE247" s="63"/>
      <c r="BF247" s="63"/>
      <c r="BG247" s="63">
        <f>SUM(BG248:BG254)</f>
        <v>233020000</v>
      </c>
      <c r="BH247" s="63">
        <f t="shared" ref="BH247:BI247" si="325">SUM(BH248:BH254)</f>
        <v>74594999</v>
      </c>
      <c r="BI247" s="63">
        <f t="shared" si="325"/>
        <v>9520000</v>
      </c>
    </row>
    <row r="248" spans="1:61" s="179" customFormat="1" ht="76.5" customHeight="1" x14ac:dyDescent="0.2">
      <c r="A248" s="453"/>
      <c r="B248" s="441"/>
      <c r="C248" s="375"/>
      <c r="D248" s="354"/>
      <c r="E248" s="364">
        <v>4103</v>
      </c>
      <c r="F248" s="355" t="s">
        <v>1454</v>
      </c>
      <c r="G248" s="332" t="s">
        <v>1503</v>
      </c>
      <c r="H248" s="199">
        <v>4103059</v>
      </c>
      <c r="I248" s="355" t="s">
        <v>876</v>
      </c>
      <c r="J248" s="298" t="s">
        <v>877</v>
      </c>
      <c r="K248" s="301">
        <v>410305900</v>
      </c>
      <c r="L248" s="304" t="s">
        <v>878</v>
      </c>
      <c r="M248" s="298" t="s">
        <v>188</v>
      </c>
      <c r="N248" s="298">
        <v>50</v>
      </c>
      <c r="O248" s="298">
        <v>8</v>
      </c>
      <c r="P248" s="298">
        <v>0</v>
      </c>
      <c r="Q248" s="423" t="s">
        <v>328</v>
      </c>
      <c r="R248" s="354" t="s">
        <v>822</v>
      </c>
      <c r="S248" s="355" t="s">
        <v>823</v>
      </c>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9">
        <v>27000000</v>
      </c>
      <c r="AY248" s="49">
        <v>6000000</v>
      </c>
      <c r="AZ248" s="49">
        <v>0</v>
      </c>
      <c r="BA248" s="43"/>
      <c r="BB248" s="43"/>
      <c r="BC248" s="43"/>
      <c r="BD248" s="43"/>
      <c r="BE248" s="43"/>
      <c r="BF248" s="43"/>
      <c r="BG248" s="201">
        <f t="shared" ref="BG248:BI254" si="326">+T248+W248+Z248+AC248+AF248+AI248+AL248+AO248+AR248+AU248+AX248+BA248+BD248</f>
        <v>27000000</v>
      </c>
      <c r="BH248" s="201">
        <f t="shared" si="326"/>
        <v>6000000</v>
      </c>
      <c r="BI248" s="201">
        <f t="shared" si="326"/>
        <v>0</v>
      </c>
    </row>
    <row r="249" spans="1:61" s="179" customFormat="1" ht="112.5" customHeight="1" x14ac:dyDescent="0.2">
      <c r="A249" s="453"/>
      <c r="B249" s="441"/>
      <c r="C249" s="375"/>
      <c r="D249" s="354"/>
      <c r="E249" s="364">
        <v>4103</v>
      </c>
      <c r="F249" s="356" t="s">
        <v>879</v>
      </c>
      <c r="G249" s="332" t="s">
        <v>880</v>
      </c>
      <c r="H249" s="363">
        <v>4103052</v>
      </c>
      <c r="I249" s="356" t="s">
        <v>881</v>
      </c>
      <c r="J249" s="298" t="s">
        <v>882</v>
      </c>
      <c r="K249" s="305">
        <v>410305202</v>
      </c>
      <c r="L249" s="306" t="s">
        <v>1400</v>
      </c>
      <c r="M249" s="298" t="s">
        <v>98</v>
      </c>
      <c r="N249" s="298">
        <v>1</v>
      </c>
      <c r="O249" s="298">
        <v>1</v>
      </c>
      <c r="P249" s="298">
        <v>0.7</v>
      </c>
      <c r="Q249" s="423" t="s">
        <v>328</v>
      </c>
      <c r="R249" s="354" t="s">
        <v>883</v>
      </c>
      <c r="S249" s="355" t="s">
        <v>884</v>
      </c>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9">
        <v>44520000</v>
      </c>
      <c r="AY249" s="49">
        <v>44520000</v>
      </c>
      <c r="AZ249" s="49">
        <v>9520000</v>
      </c>
      <c r="BA249" s="43"/>
      <c r="BB249" s="43"/>
      <c r="BC249" s="43"/>
      <c r="BD249" s="43"/>
      <c r="BE249" s="43"/>
      <c r="BF249" s="43"/>
      <c r="BG249" s="201">
        <f t="shared" si="326"/>
        <v>44520000</v>
      </c>
      <c r="BH249" s="201">
        <f t="shared" si="326"/>
        <v>44520000</v>
      </c>
      <c r="BI249" s="201">
        <f t="shared" si="326"/>
        <v>9520000</v>
      </c>
    </row>
    <row r="250" spans="1:61" s="179" customFormat="1" ht="116.25" customHeight="1" x14ac:dyDescent="0.2">
      <c r="A250" s="453"/>
      <c r="B250" s="441"/>
      <c r="C250" s="375"/>
      <c r="D250" s="354"/>
      <c r="E250" s="364">
        <v>4103</v>
      </c>
      <c r="F250" s="355" t="s">
        <v>1487</v>
      </c>
      <c r="G250" s="332" t="s">
        <v>885</v>
      </c>
      <c r="H250" s="354">
        <v>4103050</v>
      </c>
      <c r="I250" s="355" t="s">
        <v>886</v>
      </c>
      <c r="J250" s="298" t="s">
        <v>887</v>
      </c>
      <c r="K250" s="298">
        <v>410305001</v>
      </c>
      <c r="L250" s="304" t="s">
        <v>888</v>
      </c>
      <c r="M250" s="298" t="s">
        <v>98</v>
      </c>
      <c r="N250" s="298">
        <v>12</v>
      </c>
      <c r="O250" s="298">
        <v>12</v>
      </c>
      <c r="P250" s="298">
        <v>0</v>
      </c>
      <c r="Q250" s="423" t="s">
        <v>301</v>
      </c>
      <c r="R250" s="354" t="s">
        <v>860</v>
      </c>
      <c r="S250" s="238" t="s">
        <v>861</v>
      </c>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9">
        <v>25000000</v>
      </c>
      <c r="AY250" s="49">
        <v>24074999</v>
      </c>
      <c r="AZ250" s="49">
        <v>0</v>
      </c>
      <c r="BA250" s="43"/>
      <c r="BB250" s="43"/>
      <c r="BC250" s="43"/>
      <c r="BD250" s="43"/>
      <c r="BE250" s="43"/>
      <c r="BF250" s="43"/>
      <c r="BG250" s="201">
        <f t="shared" si="326"/>
        <v>25000000</v>
      </c>
      <c r="BH250" s="201">
        <f t="shared" si="326"/>
        <v>24074999</v>
      </c>
      <c r="BI250" s="201">
        <f t="shared" si="326"/>
        <v>0</v>
      </c>
    </row>
    <row r="251" spans="1:61" s="179" customFormat="1" ht="116.25" customHeight="1" x14ac:dyDescent="0.2">
      <c r="A251" s="453"/>
      <c r="B251" s="441"/>
      <c r="C251" s="375"/>
      <c r="D251" s="354"/>
      <c r="E251" s="364">
        <v>4103</v>
      </c>
      <c r="F251" s="355" t="s">
        <v>889</v>
      </c>
      <c r="G251" s="332" t="s">
        <v>890</v>
      </c>
      <c r="H251" s="199">
        <v>4103058</v>
      </c>
      <c r="I251" s="355" t="s">
        <v>891</v>
      </c>
      <c r="J251" s="298" t="s">
        <v>892</v>
      </c>
      <c r="K251" s="301">
        <v>410305800</v>
      </c>
      <c r="L251" s="304" t="s">
        <v>893</v>
      </c>
      <c r="M251" s="298" t="s">
        <v>188</v>
      </c>
      <c r="N251" s="298">
        <v>12</v>
      </c>
      <c r="O251" s="298">
        <v>1</v>
      </c>
      <c r="P251" s="298">
        <v>0</v>
      </c>
      <c r="Q251" s="423" t="s">
        <v>328</v>
      </c>
      <c r="R251" s="354" t="s">
        <v>894</v>
      </c>
      <c r="S251" s="355" t="s">
        <v>895</v>
      </c>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9">
        <v>27000000</v>
      </c>
      <c r="AY251" s="49">
        <v>0</v>
      </c>
      <c r="AZ251" s="49">
        <v>0</v>
      </c>
      <c r="BA251" s="43"/>
      <c r="BB251" s="43"/>
      <c r="BC251" s="43"/>
      <c r="BD251" s="43"/>
      <c r="BE251" s="43"/>
      <c r="BF251" s="43"/>
      <c r="BG251" s="201">
        <f t="shared" si="326"/>
        <v>27000000</v>
      </c>
      <c r="BH251" s="201">
        <f t="shared" si="326"/>
        <v>0</v>
      </c>
      <c r="BI251" s="201">
        <f t="shared" si="326"/>
        <v>0</v>
      </c>
    </row>
    <row r="252" spans="1:61" s="179" customFormat="1" ht="98.25" customHeight="1" x14ac:dyDescent="0.2">
      <c r="A252" s="453"/>
      <c r="B252" s="441"/>
      <c r="C252" s="375"/>
      <c r="D252" s="354"/>
      <c r="E252" s="364">
        <v>4103</v>
      </c>
      <c r="F252" s="47" t="s">
        <v>896</v>
      </c>
      <c r="G252" s="332" t="s">
        <v>897</v>
      </c>
      <c r="H252" s="199" t="s">
        <v>92</v>
      </c>
      <c r="I252" s="355" t="s">
        <v>898</v>
      </c>
      <c r="J252" s="298" t="s">
        <v>899</v>
      </c>
      <c r="K252" s="301" t="s">
        <v>92</v>
      </c>
      <c r="L252" s="304" t="s">
        <v>900</v>
      </c>
      <c r="M252" s="298" t="s">
        <v>188</v>
      </c>
      <c r="N252" s="298">
        <v>17</v>
      </c>
      <c r="O252" s="298">
        <v>2</v>
      </c>
      <c r="P252" s="332">
        <v>0</v>
      </c>
      <c r="Q252" s="524" t="s">
        <v>328</v>
      </c>
      <c r="R252" s="517" t="s">
        <v>901</v>
      </c>
      <c r="S252" s="518" t="s">
        <v>902</v>
      </c>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9">
        <v>30000000</v>
      </c>
      <c r="AY252" s="49">
        <v>0</v>
      </c>
      <c r="AZ252" s="49">
        <v>0</v>
      </c>
      <c r="BA252" s="43"/>
      <c r="BB252" s="43"/>
      <c r="BC252" s="43"/>
      <c r="BD252" s="43"/>
      <c r="BE252" s="43"/>
      <c r="BF252" s="43"/>
      <c r="BG252" s="201">
        <f t="shared" si="326"/>
        <v>30000000</v>
      </c>
      <c r="BH252" s="201">
        <f t="shared" si="326"/>
        <v>0</v>
      </c>
      <c r="BI252" s="201">
        <f t="shared" si="326"/>
        <v>0</v>
      </c>
    </row>
    <row r="253" spans="1:61" s="179" customFormat="1" ht="96" customHeight="1" x14ac:dyDescent="0.2">
      <c r="A253" s="453"/>
      <c r="B253" s="441"/>
      <c r="C253" s="375"/>
      <c r="D253" s="354"/>
      <c r="E253" s="364">
        <v>4103</v>
      </c>
      <c r="F253" s="47" t="s">
        <v>903</v>
      </c>
      <c r="G253" s="226" t="s">
        <v>904</v>
      </c>
      <c r="H253" s="199" t="s">
        <v>92</v>
      </c>
      <c r="I253" s="355" t="s">
        <v>905</v>
      </c>
      <c r="J253" s="354" t="s">
        <v>906</v>
      </c>
      <c r="K253" s="301" t="s">
        <v>92</v>
      </c>
      <c r="L253" s="355" t="s">
        <v>907</v>
      </c>
      <c r="M253" s="298" t="s">
        <v>98</v>
      </c>
      <c r="N253" s="298">
        <v>2</v>
      </c>
      <c r="O253" s="298">
        <v>2</v>
      </c>
      <c r="P253" s="332">
        <v>0</v>
      </c>
      <c r="Q253" s="524"/>
      <c r="R253" s="517"/>
      <c r="S253" s="518"/>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9">
        <v>49500000</v>
      </c>
      <c r="AY253" s="49">
        <v>0</v>
      </c>
      <c r="AZ253" s="49">
        <v>0</v>
      </c>
      <c r="BA253" s="43"/>
      <c r="BB253" s="43"/>
      <c r="BC253" s="43"/>
      <c r="BD253" s="43"/>
      <c r="BE253" s="43"/>
      <c r="BF253" s="43"/>
      <c r="BG253" s="201">
        <f t="shared" si="326"/>
        <v>49500000</v>
      </c>
      <c r="BH253" s="173">
        <f t="shared" si="326"/>
        <v>0</v>
      </c>
      <c r="BI253" s="173">
        <f t="shared" si="326"/>
        <v>0</v>
      </c>
    </row>
    <row r="254" spans="1:61" s="179" customFormat="1" ht="102.75" customHeight="1" x14ac:dyDescent="0.2">
      <c r="A254" s="453"/>
      <c r="B254" s="441"/>
      <c r="C254" s="375"/>
      <c r="D254" s="354"/>
      <c r="E254" s="364">
        <v>4103</v>
      </c>
      <c r="F254" s="356" t="s">
        <v>1488</v>
      </c>
      <c r="G254" s="332" t="s">
        <v>908</v>
      </c>
      <c r="H254" s="199" t="s">
        <v>92</v>
      </c>
      <c r="I254" s="355" t="s">
        <v>1489</v>
      </c>
      <c r="J254" s="298" t="s">
        <v>909</v>
      </c>
      <c r="K254" s="301" t="s">
        <v>92</v>
      </c>
      <c r="L254" s="304" t="s">
        <v>910</v>
      </c>
      <c r="M254" s="298" t="s">
        <v>98</v>
      </c>
      <c r="N254" s="298">
        <v>1</v>
      </c>
      <c r="O254" s="298">
        <v>1</v>
      </c>
      <c r="P254" s="298">
        <v>0</v>
      </c>
      <c r="Q254" s="423" t="s">
        <v>328</v>
      </c>
      <c r="R254" s="354" t="s">
        <v>911</v>
      </c>
      <c r="S254" s="355" t="s">
        <v>912</v>
      </c>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9">
        <f>70000000-40000000</f>
        <v>30000000</v>
      </c>
      <c r="AY254" s="49">
        <v>0</v>
      </c>
      <c r="AZ254" s="49">
        <v>0</v>
      </c>
      <c r="BA254" s="43"/>
      <c r="BB254" s="43"/>
      <c r="BC254" s="43"/>
      <c r="BD254" s="43"/>
      <c r="BE254" s="43"/>
      <c r="BF254" s="43"/>
      <c r="BG254" s="201">
        <f t="shared" si="326"/>
        <v>30000000</v>
      </c>
      <c r="BH254" s="173">
        <f t="shared" si="326"/>
        <v>0</v>
      </c>
      <c r="BI254" s="173">
        <f t="shared" si="326"/>
        <v>0</v>
      </c>
    </row>
    <row r="255" spans="1:61" s="179" customFormat="1" ht="15.75" x14ac:dyDescent="0.2">
      <c r="A255" s="453"/>
      <c r="B255" s="441"/>
      <c r="C255" s="195">
        <v>38</v>
      </c>
      <c r="D255" s="167">
        <v>4104</v>
      </c>
      <c r="E255" s="357" t="s">
        <v>913</v>
      </c>
      <c r="F255" s="166"/>
      <c r="G255" s="167"/>
      <c r="H255" s="168"/>
      <c r="I255" s="166"/>
      <c r="J255" s="167"/>
      <c r="K255" s="167"/>
      <c r="L255" s="166"/>
      <c r="M255" s="399"/>
      <c r="N255" s="400"/>
      <c r="O255" s="167"/>
      <c r="P255" s="167"/>
      <c r="Q255" s="424"/>
      <c r="R255" s="167"/>
      <c r="S255" s="166"/>
      <c r="T255" s="63">
        <f t="shared" ref="T255:BD255" si="327">SUM(T256:T264)</f>
        <v>4262727592.3899999</v>
      </c>
      <c r="U255" s="63">
        <f t="shared" si="327"/>
        <v>1070402240</v>
      </c>
      <c r="V255" s="63">
        <f t="shared" si="327"/>
        <v>1070402240</v>
      </c>
      <c r="W255" s="63">
        <f t="shared" si="327"/>
        <v>0</v>
      </c>
      <c r="X255" s="63"/>
      <c r="Y255" s="63"/>
      <c r="Z255" s="63">
        <f t="shared" si="327"/>
        <v>0</v>
      </c>
      <c r="AA255" s="63"/>
      <c r="AB255" s="63"/>
      <c r="AC255" s="63">
        <f t="shared" si="327"/>
        <v>0</v>
      </c>
      <c r="AD255" s="63"/>
      <c r="AE255" s="63"/>
      <c r="AF255" s="63">
        <f t="shared" si="327"/>
        <v>0</v>
      </c>
      <c r="AG255" s="63"/>
      <c r="AH255" s="63"/>
      <c r="AI255" s="63">
        <f t="shared" si="327"/>
        <v>0</v>
      </c>
      <c r="AJ255" s="63"/>
      <c r="AK255" s="63"/>
      <c r="AL255" s="63">
        <f t="shared" si="327"/>
        <v>0</v>
      </c>
      <c r="AM255" s="63"/>
      <c r="AN255" s="63"/>
      <c r="AO255" s="63">
        <f t="shared" si="327"/>
        <v>0</v>
      </c>
      <c r="AP255" s="63"/>
      <c r="AQ255" s="63"/>
      <c r="AR255" s="63">
        <f t="shared" si="327"/>
        <v>0</v>
      </c>
      <c r="AS255" s="63"/>
      <c r="AT255" s="63"/>
      <c r="AU255" s="63">
        <f t="shared" si="327"/>
        <v>0</v>
      </c>
      <c r="AV255" s="63"/>
      <c r="AW255" s="63"/>
      <c r="AX255" s="63">
        <f t="shared" si="327"/>
        <v>529251842</v>
      </c>
      <c r="AY255" s="63">
        <f t="shared" si="327"/>
        <v>296771637</v>
      </c>
      <c r="AZ255" s="63">
        <f t="shared" si="327"/>
        <v>164731666</v>
      </c>
      <c r="BA255" s="63">
        <f t="shared" si="327"/>
        <v>0</v>
      </c>
      <c r="BB255" s="63"/>
      <c r="BC255" s="63"/>
      <c r="BD255" s="63">
        <f t="shared" si="327"/>
        <v>0</v>
      </c>
      <c r="BE255" s="63"/>
      <c r="BF255" s="63"/>
      <c r="BG255" s="63">
        <f>SUM(BG256:BG264)</f>
        <v>4791979434.3899994</v>
      </c>
      <c r="BH255" s="63">
        <f t="shared" ref="BH255:BI255" si="328">SUM(BH256:BH264)</f>
        <v>1367173877</v>
      </c>
      <c r="BI255" s="63">
        <f t="shared" si="328"/>
        <v>1235133906</v>
      </c>
    </row>
    <row r="256" spans="1:61" s="179" customFormat="1" ht="138.75" customHeight="1" x14ac:dyDescent="0.2">
      <c r="A256" s="453"/>
      <c r="B256" s="441"/>
      <c r="C256" s="375"/>
      <c r="D256" s="354"/>
      <c r="E256" s="364">
        <v>4104</v>
      </c>
      <c r="F256" s="355" t="s">
        <v>1490</v>
      </c>
      <c r="G256" s="367" t="s">
        <v>914</v>
      </c>
      <c r="H256" s="199" t="s">
        <v>915</v>
      </c>
      <c r="I256" s="355" t="s">
        <v>916</v>
      </c>
      <c r="J256" s="354" t="s">
        <v>917</v>
      </c>
      <c r="K256" s="199">
        <v>410403500</v>
      </c>
      <c r="L256" s="355" t="s">
        <v>918</v>
      </c>
      <c r="M256" s="298" t="s">
        <v>188</v>
      </c>
      <c r="N256" s="298">
        <v>500</v>
      </c>
      <c r="O256" s="298">
        <v>20</v>
      </c>
      <c r="P256" s="298">
        <v>0</v>
      </c>
      <c r="Q256" s="524" t="s">
        <v>328</v>
      </c>
      <c r="R256" s="517" t="s">
        <v>894</v>
      </c>
      <c r="S256" s="518" t="s">
        <v>895</v>
      </c>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9">
        <v>14000000</v>
      </c>
      <c r="AY256" s="365">
        <v>8333333</v>
      </c>
      <c r="AZ256" s="49">
        <v>0</v>
      </c>
      <c r="BA256" s="43"/>
      <c r="BB256" s="43"/>
      <c r="BC256" s="43"/>
      <c r="BD256" s="43"/>
      <c r="BE256" s="43"/>
      <c r="BF256" s="43"/>
      <c r="BG256" s="201">
        <f t="shared" ref="BG256:BI264" si="329">+T256+W256+Z256+AC256+AF256+AI256+AL256+AO256+AR256+AU256+AX256+BA256+BD256</f>
        <v>14000000</v>
      </c>
      <c r="BH256" s="201">
        <f t="shared" si="329"/>
        <v>8333333</v>
      </c>
      <c r="BI256" s="173">
        <f t="shared" si="329"/>
        <v>0</v>
      </c>
    </row>
    <row r="257" spans="1:61" s="179" customFormat="1" ht="81.75" customHeight="1" x14ac:dyDescent="0.2">
      <c r="A257" s="453"/>
      <c r="B257" s="441"/>
      <c r="C257" s="375"/>
      <c r="D257" s="354"/>
      <c r="E257" s="364">
        <v>4104</v>
      </c>
      <c r="F257" s="355" t="s">
        <v>1491</v>
      </c>
      <c r="G257" s="226" t="s">
        <v>914</v>
      </c>
      <c r="H257" s="199" t="s">
        <v>915</v>
      </c>
      <c r="I257" s="355" t="s">
        <v>916</v>
      </c>
      <c r="J257" s="298" t="s">
        <v>919</v>
      </c>
      <c r="K257" s="301" t="s">
        <v>92</v>
      </c>
      <c r="L257" s="312" t="s">
        <v>920</v>
      </c>
      <c r="M257" s="358" t="s">
        <v>98</v>
      </c>
      <c r="N257" s="354">
        <v>12</v>
      </c>
      <c r="O257" s="237">
        <v>12</v>
      </c>
      <c r="P257" s="367">
        <v>8</v>
      </c>
      <c r="Q257" s="524"/>
      <c r="R257" s="517"/>
      <c r="S257" s="518"/>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9">
        <v>25000000</v>
      </c>
      <c r="AY257" s="365">
        <v>5639971</v>
      </c>
      <c r="AZ257" s="49">
        <v>0</v>
      </c>
      <c r="BA257" s="43"/>
      <c r="BB257" s="43"/>
      <c r="BC257" s="43"/>
      <c r="BD257" s="43"/>
      <c r="BE257" s="43"/>
      <c r="BF257" s="43"/>
      <c r="BG257" s="201">
        <f t="shared" si="329"/>
        <v>25000000</v>
      </c>
      <c r="BH257" s="201">
        <f t="shared" si="329"/>
        <v>5639971</v>
      </c>
      <c r="BI257" s="173">
        <f t="shared" si="329"/>
        <v>0</v>
      </c>
    </row>
    <row r="258" spans="1:61" s="179" customFormat="1" ht="88.5" customHeight="1" x14ac:dyDescent="0.2">
      <c r="A258" s="453"/>
      <c r="B258" s="441"/>
      <c r="C258" s="375"/>
      <c r="D258" s="354"/>
      <c r="E258" s="364">
        <v>4104</v>
      </c>
      <c r="F258" s="355" t="s">
        <v>921</v>
      </c>
      <c r="G258" s="332" t="s">
        <v>922</v>
      </c>
      <c r="H258" s="199" t="s">
        <v>923</v>
      </c>
      <c r="I258" s="355" t="s">
        <v>924</v>
      </c>
      <c r="J258" s="354" t="s">
        <v>925</v>
      </c>
      <c r="K258" s="301" t="s">
        <v>92</v>
      </c>
      <c r="L258" s="355" t="s">
        <v>926</v>
      </c>
      <c r="M258" s="298" t="s">
        <v>98</v>
      </c>
      <c r="N258" s="298">
        <v>12</v>
      </c>
      <c r="O258" s="298">
        <v>12</v>
      </c>
      <c r="P258" s="298">
        <v>0</v>
      </c>
      <c r="Q258" s="423" t="s">
        <v>328</v>
      </c>
      <c r="R258" s="354" t="s">
        <v>927</v>
      </c>
      <c r="S258" s="355" t="s">
        <v>928</v>
      </c>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9">
        <v>18000000</v>
      </c>
      <c r="AY258" s="49">
        <v>14666666</v>
      </c>
      <c r="AZ258" s="49">
        <v>0</v>
      </c>
      <c r="BA258" s="43"/>
      <c r="BB258" s="43"/>
      <c r="BC258" s="43"/>
      <c r="BD258" s="43"/>
      <c r="BE258" s="43"/>
      <c r="BF258" s="43"/>
      <c r="BG258" s="201">
        <f t="shared" si="329"/>
        <v>18000000</v>
      </c>
      <c r="BH258" s="201">
        <f t="shared" si="329"/>
        <v>14666666</v>
      </c>
      <c r="BI258" s="173">
        <f t="shared" si="329"/>
        <v>0</v>
      </c>
    </row>
    <row r="259" spans="1:61" s="179" customFormat="1" ht="126.75" customHeight="1" x14ac:dyDescent="0.2">
      <c r="A259" s="453"/>
      <c r="B259" s="441"/>
      <c r="C259" s="375"/>
      <c r="D259" s="354"/>
      <c r="E259" s="364">
        <v>4104</v>
      </c>
      <c r="F259" s="355" t="s">
        <v>929</v>
      </c>
      <c r="G259" s="226" t="s">
        <v>930</v>
      </c>
      <c r="H259" s="237" t="s">
        <v>92</v>
      </c>
      <c r="I259" s="356" t="s">
        <v>931</v>
      </c>
      <c r="J259" s="301" t="s">
        <v>932</v>
      </c>
      <c r="K259" s="301" t="s">
        <v>92</v>
      </c>
      <c r="L259" s="306" t="s">
        <v>933</v>
      </c>
      <c r="M259" s="298" t="s">
        <v>98</v>
      </c>
      <c r="N259" s="298">
        <v>1</v>
      </c>
      <c r="O259" s="298">
        <v>1</v>
      </c>
      <c r="P259" s="332">
        <v>0.6</v>
      </c>
      <c r="Q259" s="423" t="s">
        <v>328</v>
      </c>
      <c r="R259" s="354" t="s">
        <v>934</v>
      </c>
      <c r="S259" s="355" t="s">
        <v>1455</v>
      </c>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9">
        <f>170000000-86020000</f>
        <v>83980000</v>
      </c>
      <c r="AY259" s="49">
        <v>59213333</v>
      </c>
      <c r="AZ259" s="49">
        <v>42580000</v>
      </c>
      <c r="BA259" s="43"/>
      <c r="BB259" s="43"/>
      <c r="BC259" s="43"/>
      <c r="BD259" s="43"/>
      <c r="BE259" s="43"/>
      <c r="BF259" s="43"/>
      <c r="BG259" s="173">
        <f t="shared" si="329"/>
        <v>83980000</v>
      </c>
      <c r="BH259" s="173">
        <f t="shared" si="329"/>
        <v>59213333</v>
      </c>
      <c r="BI259" s="173">
        <f t="shared" si="329"/>
        <v>42580000</v>
      </c>
    </row>
    <row r="260" spans="1:61" s="179" customFormat="1" ht="179.25" customHeight="1" x14ac:dyDescent="0.2">
      <c r="A260" s="453"/>
      <c r="B260" s="441"/>
      <c r="C260" s="375"/>
      <c r="D260" s="354"/>
      <c r="E260" s="364">
        <v>4104</v>
      </c>
      <c r="F260" s="355" t="s">
        <v>936</v>
      </c>
      <c r="G260" s="341" t="s">
        <v>937</v>
      </c>
      <c r="H260" s="237" t="s">
        <v>92</v>
      </c>
      <c r="I260" s="356" t="s">
        <v>938</v>
      </c>
      <c r="J260" s="301" t="s">
        <v>939</v>
      </c>
      <c r="K260" s="301" t="s">
        <v>92</v>
      </c>
      <c r="L260" s="306" t="s">
        <v>940</v>
      </c>
      <c r="M260" s="298" t="s">
        <v>98</v>
      </c>
      <c r="N260" s="298">
        <v>1</v>
      </c>
      <c r="O260" s="298">
        <v>1</v>
      </c>
      <c r="P260" s="332">
        <v>0.7</v>
      </c>
      <c r="Q260" s="423" t="s">
        <v>114</v>
      </c>
      <c r="R260" s="354" t="s">
        <v>941</v>
      </c>
      <c r="S260" s="355" t="s">
        <v>1456</v>
      </c>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9">
        <f>140000000-60275000</f>
        <v>79725000</v>
      </c>
      <c r="AY260" s="49">
        <v>63825001</v>
      </c>
      <c r="AZ260" s="49">
        <v>34725000</v>
      </c>
      <c r="BA260" s="43"/>
      <c r="BB260" s="43"/>
      <c r="BC260" s="43"/>
      <c r="BD260" s="43"/>
      <c r="BE260" s="43"/>
      <c r="BF260" s="43"/>
      <c r="BG260" s="173">
        <f t="shared" si="329"/>
        <v>79725000</v>
      </c>
      <c r="BH260" s="173">
        <f t="shared" si="329"/>
        <v>63825001</v>
      </c>
      <c r="BI260" s="173">
        <f t="shared" si="329"/>
        <v>34725000</v>
      </c>
    </row>
    <row r="261" spans="1:61" s="179" customFormat="1" ht="243" customHeight="1" x14ac:dyDescent="0.2">
      <c r="A261" s="453"/>
      <c r="B261" s="441"/>
      <c r="C261" s="375"/>
      <c r="D261" s="354"/>
      <c r="E261" s="364">
        <v>4104</v>
      </c>
      <c r="F261" s="355" t="s">
        <v>1492</v>
      </c>
      <c r="G261" s="341" t="s">
        <v>943</v>
      </c>
      <c r="H261" s="237" t="s">
        <v>92</v>
      </c>
      <c r="I261" s="238" t="s">
        <v>944</v>
      </c>
      <c r="J261" s="298" t="s">
        <v>945</v>
      </c>
      <c r="K261" s="301" t="s">
        <v>92</v>
      </c>
      <c r="L261" s="312" t="s">
        <v>946</v>
      </c>
      <c r="M261" s="298" t="s">
        <v>98</v>
      </c>
      <c r="N261" s="298">
        <v>1</v>
      </c>
      <c r="O261" s="298">
        <v>1</v>
      </c>
      <c r="P261" s="332">
        <v>0.7</v>
      </c>
      <c r="Q261" s="518" t="s">
        <v>328</v>
      </c>
      <c r="R261" s="517" t="s">
        <v>947</v>
      </c>
      <c r="S261" s="518" t="s">
        <v>948</v>
      </c>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365">
        <v>95000000</v>
      </c>
      <c r="AY261" s="365">
        <v>76906667</v>
      </c>
      <c r="AZ261" s="365">
        <v>49325333</v>
      </c>
      <c r="BA261" s="43"/>
      <c r="BB261" s="43"/>
      <c r="BC261" s="43"/>
      <c r="BD261" s="43"/>
      <c r="BE261" s="43"/>
      <c r="BF261" s="43"/>
      <c r="BG261" s="173">
        <f t="shared" si="329"/>
        <v>95000000</v>
      </c>
      <c r="BH261" s="173">
        <f t="shared" si="329"/>
        <v>76906667</v>
      </c>
      <c r="BI261" s="173">
        <f t="shared" si="329"/>
        <v>49325333</v>
      </c>
    </row>
    <row r="262" spans="1:61" s="179" customFormat="1" ht="90" customHeight="1" x14ac:dyDescent="0.2">
      <c r="A262" s="453"/>
      <c r="B262" s="441"/>
      <c r="C262" s="375"/>
      <c r="D262" s="354"/>
      <c r="E262" s="364">
        <v>4104</v>
      </c>
      <c r="F262" s="355" t="s">
        <v>949</v>
      </c>
      <c r="G262" s="332" t="s">
        <v>950</v>
      </c>
      <c r="H262" s="199">
        <v>4104015</v>
      </c>
      <c r="I262" s="238" t="s">
        <v>951</v>
      </c>
      <c r="J262" s="298" t="s">
        <v>952</v>
      </c>
      <c r="K262" s="301">
        <v>410401500</v>
      </c>
      <c r="L262" s="304" t="s">
        <v>953</v>
      </c>
      <c r="M262" s="303" t="s">
        <v>98</v>
      </c>
      <c r="N262" s="303">
        <v>7500</v>
      </c>
      <c r="O262" s="303">
        <v>7500</v>
      </c>
      <c r="P262" s="303">
        <v>3511</v>
      </c>
      <c r="Q262" s="518"/>
      <c r="R262" s="517"/>
      <c r="S262" s="518"/>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9">
        <v>25000000</v>
      </c>
      <c r="AY262" s="365">
        <v>19999999</v>
      </c>
      <c r="AZ262" s="365">
        <v>6048000</v>
      </c>
      <c r="BA262" s="43"/>
      <c r="BB262" s="43"/>
      <c r="BC262" s="43"/>
      <c r="BD262" s="43"/>
      <c r="BE262" s="43"/>
      <c r="BF262" s="43"/>
      <c r="BG262" s="201">
        <f t="shared" si="329"/>
        <v>25000000</v>
      </c>
      <c r="BH262" s="201">
        <f t="shared" si="329"/>
        <v>19999999</v>
      </c>
      <c r="BI262" s="201">
        <f t="shared" si="329"/>
        <v>6048000</v>
      </c>
    </row>
    <row r="263" spans="1:61" s="179" customFormat="1" ht="78.75" customHeight="1" x14ac:dyDescent="0.2">
      <c r="A263" s="453"/>
      <c r="B263" s="441"/>
      <c r="C263" s="375"/>
      <c r="D263" s="354"/>
      <c r="E263" s="364">
        <v>4104</v>
      </c>
      <c r="F263" s="355" t="s">
        <v>1493</v>
      </c>
      <c r="G263" s="332" t="s">
        <v>954</v>
      </c>
      <c r="H263" s="363" t="s">
        <v>92</v>
      </c>
      <c r="I263" s="238" t="s">
        <v>955</v>
      </c>
      <c r="J263" s="298" t="s">
        <v>956</v>
      </c>
      <c r="K263" s="301" t="s">
        <v>92</v>
      </c>
      <c r="L263" s="312" t="s">
        <v>957</v>
      </c>
      <c r="M263" s="354" t="s">
        <v>98</v>
      </c>
      <c r="N263" s="354">
        <v>12</v>
      </c>
      <c r="O263" s="298">
        <v>12</v>
      </c>
      <c r="P263" s="298">
        <v>12</v>
      </c>
      <c r="Q263" s="518"/>
      <c r="R263" s="517"/>
      <c r="S263" s="518"/>
      <c r="T263" s="61">
        <v>4262727592.3899999</v>
      </c>
      <c r="U263" s="61">
        <v>1070402240</v>
      </c>
      <c r="V263" s="61">
        <v>1070402240</v>
      </c>
      <c r="W263" s="239"/>
      <c r="X263" s="239"/>
      <c r="Y263" s="239"/>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9"/>
      <c r="AY263" s="49"/>
      <c r="AZ263" s="49"/>
      <c r="BA263" s="43"/>
      <c r="BB263" s="43"/>
      <c r="BC263" s="43"/>
      <c r="BD263" s="43"/>
      <c r="BE263" s="43"/>
      <c r="BF263" s="43"/>
      <c r="BG263" s="173">
        <f t="shared" si="329"/>
        <v>4262727592.3899999</v>
      </c>
      <c r="BH263" s="173">
        <f t="shared" si="329"/>
        <v>1070402240</v>
      </c>
      <c r="BI263" s="173">
        <f t="shared" si="329"/>
        <v>1070402240</v>
      </c>
    </row>
    <row r="264" spans="1:61" s="179" customFormat="1" ht="141.75" customHeight="1" x14ac:dyDescent="0.2">
      <c r="A264" s="453"/>
      <c r="B264" s="441"/>
      <c r="C264" s="375"/>
      <c r="D264" s="354"/>
      <c r="E264" s="364">
        <v>4104</v>
      </c>
      <c r="F264" s="355" t="s">
        <v>958</v>
      </c>
      <c r="G264" s="332" t="s">
        <v>959</v>
      </c>
      <c r="H264" s="363" t="s">
        <v>92</v>
      </c>
      <c r="I264" s="238" t="s">
        <v>960</v>
      </c>
      <c r="J264" s="298" t="s">
        <v>961</v>
      </c>
      <c r="K264" s="305" t="s">
        <v>92</v>
      </c>
      <c r="L264" s="306" t="s">
        <v>1494</v>
      </c>
      <c r="M264" s="354" t="s">
        <v>98</v>
      </c>
      <c r="N264" s="354">
        <v>1</v>
      </c>
      <c r="O264" s="298">
        <v>1</v>
      </c>
      <c r="P264" s="332">
        <v>0.25</v>
      </c>
      <c r="Q264" s="423" t="s">
        <v>328</v>
      </c>
      <c r="R264" s="354" t="s">
        <v>962</v>
      </c>
      <c r="S264" s="355" t="s">
        <v>963</v>
      </c>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9">
        <v>188546842</v>
      </c>
      <c r="AY264" s="49">
        <v>48186667</v>
      </c>
      <c r="AZ264" s="49">
        <v>32053333</v>
      </c>
      <c r="BA264" s="43"/>
      <c r="BB264" s="43"/>
      <c r="BC264" s="43"/>
      <c r="BD264" s="43"/>
      <c r="BE264" s="43"/>
      <c r="BF264" s="43"/>
      <c r="BG264" s="173">
        <f t="shared" si="329"/>
        <v>188546842</v>
      </c>
      <c r="BH264" s="173">
        <f t="shared" si="329"/>
        <v>48186667</v>
      </c>
      <c r="BI264" s="173">
        <f t="shared" si="329"/>
        <v>32053333</v>
      </c>
    </row>
    <row r="265" spans="1:61" s="179" customFormat="1" ht="15.75" customHeight="1" x14ac:dyDescent="0.2">
      <c r="A265" s="453"/>
      <c r="B265" s="441"/>
      <c r="C265" s="195">
        <v>41</v>
      </c>
      <c r="D265" s="167">
        <v>4501</v>
      </c>
      <c r="E265" s="357" t="s">
        <v>357</v>
      </c>
      <c r="F265" s="166"/>
      <c r="G265" s="168"/>
      <c r="H265" s="168"/>
      <c r="I265" s="166"/>
      <c r="J265" s="167"/>
      <c r="K265" s="167"/>
      <c r="L265" s="166"/>
      <c r="M265" s="401"/>
      <c r="N265" s="401"/>
      <c r="O265" s="167"/>
      <c r="P265" s="167"/>
      <c r="Q265" s="424"/>
      <c r="R265" s="167"/>
      <c r="S265" s="166"/>
      <c r="T265" s="63">
        <f t="shared" ref="T265:BD265" si="330">SUM(T266:T267)</f>
        <v>0</v>
      </c>
      <c r="U265" s="63"/>
      <c r="V265" s="63"/>
      <c r="W265" s="63">
        <f t="shared" si="330"/>
        <v>0</v>
      </c>
      <c r="X265" s="63"/>
      <c r="Y265" s="63"/>
      <c r="Z265" s="63">
        <f t="shared" si="330"/>
        <v>0</v>
      </c>
      <c r="AA265" s="63"/>
      <c r="AB265" s="63"/>
      <c r="AC265" s="63">
        <f t="shared" si="330"/>
        <v>0</v>
      </c>
      <c r="AD265" s="63"/>
      <c r="AE265" s="63"/>
      <c r="AF265" s="63">
        <f t="shared" si="330"/>
        <v>0</v>
      </c>
      <c r="AG265" s="63"/>
      <c r="AH265" s="63"/>
      <c r="AI265" s="63">
        <f t="shared" si="330"/>
        <v>0</v>
      </c>
      <c r="AJ265" s="63"/>
      <c r="AK265" s="63"/>
      <c r="AL265" s="63">
        <f t="shared" si="330"/>
        <v>0</v>
      </c>
      <c r="AM265" s="63"/>
      <c r="AN265" s="63"/>
      <c r="AO265" s="63">
        <f t="shared" si="330"/>
        <v>0</v>
      </c>
      <c r="AP265" s="63"/>
      <c r="AQ265" s="63"/>
      <c r="AR265" s="63">
        <f t="shared" si="330"/>
        <v>0</v>
      </c>
      <c r="AS265" s="63"/>
      <c r="AT265" s="63"/>
      <c r="AU265" s="63">
        <f t="shared" si="330"/>
        <v>0</v>
      </c>
      <c r="AV265" s="63"/>
      <c r="AW265" s="63"/>
      <c r="AX265" s="63">
        <f t="shared" si="330"/>
        <v>80000000</v>
      </c>
      <c r="AY265" s="63">
        <f t="shared" si="330"/>
        <v>0</v>
      </c>
      <c r="AZ265" s="63">
        <f t="shared" si="330"/>
        <v>0</v>
      </c>
      <c r="BA265" s="63">
        <f t="shared" si="330"/>
        <v>0</v>
      </c>
      <c r="BB265" s="63"/>
      <c r="BC265" s="63"/>
      <c r="BD265" s="63">
        <f t="shared" si="330"/>
        <v>0</v>
      </c>
      <c r="BE265" s="63"/>
      <c r="BF265" s="63"/>
      <c r="BG265" s="63">
        <f>SUM(BG266:BG267)</f>
        <v>80000000</v>
      </c>
      <c r="BH265" s="63">
        <f t="shared" ref="BH265:BI265" si="331">SUM(BH266:BH267)</f>
        <v>0</v>
      </c>
      <c r="BI265" s="63">
        <f t="shared" si="331"/>
        <v>0</v>
      </c>
    </row>
    <row r="266" spans="1:61" s="179" customFormat="1" ht="90" customHeight="1" x14ac:dyDescent="0.2">
      <c r="A266" s="453"/>
      <c r="B266" s="441"/>
      <c r="C266" s="375"/>
      <c r="D266" s="354"/>
      <c r="E266" s="364">
        <v>4501</v>
      </c>
      <c r="F266" s="355" t="s">
        <v>964</v>
      </c>
      <c r="G266" s="226" t="s">
        <v>362</v>
      </c>
      <c r="H266" s="199">
        <v>4501024</v>
      </c>
      <c r="I266" s="355" t="s">
        <v>363</v>
      </c>
      <c r="J266" s="354" t="s">
        <v>965</v>
      </c>
      <c r="K266" s="354" t="s">
        <v>92</v>
      </c>
      <c r="L266" s="355" t="s">
        <v>966</v>
      </c>
      <c r="M266" s="298" t="s">
        <v>98</v>
      </c>
      <c r="N266" s="298">
        <v>1</v>
      </c>
      <c r="O266" s="298">
        <v>1</v>
      </c>
      <c r="P266" s="298">
        <v>0</v>
      </c>
      <c r="Q266" s="423" t="s">
        <v>114</v>
      </c>
      <c r="R266" s="354" t="s">
        <v>967</v>
      </c>
      <c r="S266" s="355" t="s">
        <v>968</v>
      </c>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9">
        <f>40000000</f>
        <v>40000000</v>
      </c>
      <c r="AY266" s="49">
        <v>0</v>
      </c>
      <c r="AZ266" s="49">
        <v>0</v>
      </c>
      <c r="BA266" s="43"/>
      <c r="BB266" s="43"/>
      <c r="BC266" s="43"/>
      <c r="BD266" s="43"/>
      <c r="BE266" s="43"/>
      <c r="BF266" s="43"/>
      <c r="BG266" s="173">
        <f>+T266+W266+Z266+AC266+AF266+AI266+AL266+AO266+AR266+AU266+AX266+BA266+BD266</f>
        <v>40000000</v>
      </c>
      <c r="BH266" s="173">
        <f t="shared" ref="BH266:BI267" si="332">+U266+X266+AA266+AD266+AG266+AJ266+AM266+AP266+AS266+AV266+AY266+BB266+BE266</f>
        <v>0</v>
      </c>
      <c r="BI266" s="173">
        <f t="shared" si="332"/>
        <v>0</v>
      </c>
    </row>
    <row r="267" spans="1:61" s="179" customFormat="1" ht="111" customHeight="1" x14ac:dyDescent="0.2">
      <c r="A267" s="453"/>
      <c r="B267" s="442"/>
      <c r="C267" s="375"/>
      <c r="D267" s="354"/>
      <c r="E267" s="364">
        <v>4501</v>
      </c>
      <c r="F267" s="355" t="s">
        <v>964</v>
      </c>
      <c r="G267" s="226" t="s">
        <v>362</v>
      </c>
      <c r="H267" s="199">
        <v>4501024</v>
      </c>
      <c r="I267" s="355" t="s">
        <v>363</v>
      </c>
      <c r="J267" s="354" t="s">
        <v>969</v>
      </c>
      <c r="K267" s="354" t="s">
        <v>92</v>
      </c>
      <c r="L267" s="355" t="s">
        <v>970</v>
      </c>
      <c r="M267" s="298" t="s">
        <v>98</v>
      </c>
      <c r="N267" s="298">
        <v>1</v>
      </c>
      <c r="O267" s="298">
        <v>1</v>
      </c>
      <c r="P267" s="298">
        <v>0</v>
      </c>
      <c r="Q267" s="423" t="s">
        <v>114</v>
      </c>
      <c r="R267" s="354" t="s">
        <v>971</v>
      </c>
      <c r="S267" s="355" t="s">
        <v>972</v>
      </c>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9">
        <v>40000000</v>
      </c>
      <c r="AY267" s="49">
        <v>0</v>
      </c>
      <c r="AZ267" s="49">
        <v>0</v>
      </c>
      <c r="BA267" s="43"/>
      <c r="BB267" s="43"/>
      <c r="BC267" s="43"/>
      <c r="BD267" s="43"/>
      <c r="BE267" s="43"/>
      <c r="BF267" s="43"/>
      <c r="BG267" s="173">
        <f>+T267+W267+Z267+AC267+AF267+AI267+AL267+AO267+AR267+AU267+AX267+BA267+BD267</f>
        <v>40000000</v>
      </c>
      <c r="BH267" s="173">
        <f t="shared" si="332"/>
        <v>0</v>
      </c>
      <c r="BI267" s="173">
        <f t="shared" si="332"/>
        <v>0</v>
      </c>
    </row>
    <row r="268" spans="1:61" s="179" customFormat="1" ht="15.75" customHeight="1" x14ac:dyDescent="0.2">
      <c r="A268" s="453"/>
      <c r="B268" s="259">
        <v>2</v>
      </c>
      <c r="C268" s="159" t="s">
        <v>2</v>
      </c>
      <c r="D268" s="160"/>
      <c r="E268" s="160"/>
      <c r="F268" s="161"/>
      <c r="G268" s="162"/>
      <c r="H268" s="163"/>
      <c r="I268" s="161"/>
      <c r="J268" s="162"/>
      <c r="K268" s="162"/>
      <c r="L268" s="161"/>
      <c r="M268" s="164"/>
      <c r="N268" s="164"/>
      <c r="O268" s="162"/>
      <c r="P268" s="162"/>
      <c r="Q268" s="426"/>
      <c r="R268" s="162"/>
      <c r="S268" s="161"/>
      <c r="T268" s="165">
        <f>+T269</f>
        <v>0</v>
      </c>
      <c r="U268" s="165"/>
      <c r="V268" s="165"/>
      <c r="W268" s="165">
        <f>+W269</f>
        <v>0</v>
      </c>
      <c r="X268" s="165"/>
      <c r="Y268" s="165"/>
      <c r="Z268" s="165">
        <f>+Z269</f>
        <v>0</v>
      </c>
      <c r="AA268" s="165"/>
      <c r="AB268" s="165"/>
      <c r="AC268" s="165">
        <f>+AC269</f>
        <v>0</v>
      </c>
      <c r="AD268" s="165"/>
      <c r="AE268" s="165"/>
      <c r="AF268" s="165">
        <f>+AF269</f>
        <v>0</v>
      </c>
      <c r="AG268" s="165"/>
      <c r="AH268" s="165"/>
      <c r="AI268" s="165">
        <f>+AI269</f>
        <v>0</v>
      </c>
      <c r="AJ268" s="165"/>
      <c r="AK268" s="165"/>
      <c r="AL268" s="165">
        <f>+AL269</f>
        <v>0</v>
      </c>
      <c r="AM268" s="165"/>
      <c r="AN268" s="165"/>
      <c r="AO268" s="165">
        <f>+AO269</f>
        <v>0</v>
      </c>
      <c r="AP268" s="165"/>
      <c r="AQ268" s="165"/>
      <c r="AR268" s="165">
        <f>+AR269</f>
        <v>0</v>
      </c>
      <c r="AS268" s="165"/>
      <c r="AT268" s="165"/>
      <c r="AU268" s="165">
        <f>+AU269</f>
        <v>0</v>
      </c>
      <c r="AV268" s="165"/>
      <c r="AW268" s="165"/>
      <c r="AX268" s="165">
        <f>+AX269</f>
        <v>25000000</v>
      </c>
      <c r="AY268" s="165">
        <f t="shared" ref="AY268:AZ268" si="333">+AY269</f>
        <v>0</v>
      </c>
      <c r="AZ268" s="165">
        <f t="shared" si="333"/>
        <v>0</v>
      </c>
      <c r="BA268" s="165">
        <f t="shared" ref="BA268:BI268" si="334">+BA269</f>
        <v>0</v>
      </c>
      <c r="BB268" s="165">
        <f t="shared" si="334"/>
        <v>0</v>
      </c>
      <c r="BC268" s="165">
        <f t="shared" si="334"/>
        <v>0</v>
      </c>
      <c r="BD268" s="165">
        <f t="shared" si="334"/>
        <v>0</v>
      </c>
      <c r="BE268" s="165">
        <f t="shared" si="334"/>
        <v>0</v>
      </c>
      <c r="BF268" s="165">
        <f>+BF269</f>
        <v>0</v>
      </c>
      <c r="BG268" s="165">
        <f>+BG269</f>
        <v>25000000</v>
      </c>
      <c r="BH268" s="165">
        <f t="shared" si="334"/>
        <v>0</v>
      </c>
      <c r="BI268" s="165">
        <f t="shared" si="334"/>
        <v>0</v>
      </c>
    </row>
    <row r="269" spans="1:61" s="179" customFormat="1" ht="15.75" x14ac:dyDescent="0.2">
      <c r="A269" s="453"/>
      <c r="B269" s="440"/>
      <c r="C269" s="195">
        <v>29</v>
      </c>
      <c r="D269" s="167">
        <v>3604</v>
      </c>
      <c r="E269" s="357" t="s">
        <v>973</v>
      </c>
      <c r="F269" s="166"/>
      <c r="G269" s="167"/>
      <c r="H269" s="168"/>
      <c r="I269" s="166"/>
      <c r="J269" s="167"/>
      <c r="K269" s="167"/>
      <c r="L269" s="166"/>
      <c r="M269" s="169"/>
      <c r="N269" s="169"/>
      <c r="O269" s="167"/>
      <c r="P269" s="167"/>
      <c r="Q269" s="424"/>
      <c r="R269" s="167"/>
      <c r="S269" s="166"/>
      <c r="T269" s="63">
        <f t="shared" ref="T269:BI269" si="335">+T270</f>
        <v>0</v>
      </c>
      <c r="U269" s="63"/>
      <c r="V269" s="63"/>
      <c r="W269" s="63">
        <f t="shared" si="335"/>
        <v>0</v>
      </c>
      <c r="X269" s="63"/>
      <c r="Y269" s="63"/>
      <c r="Z269" s="63">
        <f t="shared" si="335"/>
        <v>0</v>
      </c>
      <c r="AA269" s="63"/>
      <c r="AB269" s="63"/>
      <c r="AC269" s="63">
        <f t="shared" si="335"/>
        <v>0</v>
      </c>
      <c r="AD269" s="63"/>
      <c r="AE269" s="63"/>
      <c r="AF269" s="63">
        <f t="shared" si="335"/>
        <v>0</v>
      </c>
      <c r="AG269" s="63"/>
      <c r="AH269" s="63"/>
      <c r="AI269" s="63">
        <f t="shared" si="335"/>
        <v>0</v>
      </c>
      <c r="AJ269" s="63"/>
      <c r="AK269" s="63"/>
      <c r="AL269" s="63">
        <f t="shared" si="335"/>
        <v>0</v>
      </c>
      <c r="AM269" s="63"/>
      <c r="AN269" s="63"/>
      <c r="AO269" s="63">
        <f t="shared" si="335"/>
        <v>0</v>
      </c>
      <c r="AP269" s="63"/>
      <c r="AQ269" s="63"/>
      <c r="AR269" s="63">
        <f t="shared" si="335"/>
        <v>0</v>
      </c>
      <c r="AS269" s="63"/>
      <c r="AT269" s="63"/>
      <c r="AU269" s="63">
        <f t="shared" si="335"/>
        <v>0</v>
      </c>
      <c r="AV269" s="63"/>
      <c r="AW269" s="63"/>
      <c r="AX269" s="63">
        <f t="shared" si="335"/>
        <v>25000000</v>
      </c>
      <c r="AY269" s="63">
        <f t="shared" si="335"/>
        <v>0</v>
      </c>
      <c r="AZ269" s="63">
        <f t="shared" si="335"/>
        <v>0</v>
      </c>
      <c r="BA269" s="63">
        <f t="shared" si="335"/>
        <v>0</v>
      </c>
      <c r="BB269" s="63"/>
      <c r="BC269" s="63"/>
      <c r="BD269" s="63">
        <f t="shared" si="335"/>
        <v>0</v>
      </c>
      <c r="BE269" s="63"/>
      <c r="BF269" s="63"/>
      <c r="BG269" s="63">
        <f>+BG270</f>
        <v>25000000</v>
      </c>
      <c r="BH269" s="63">
        <f t="shared" si="335"/>
        <v>0</v>
      </c>
      <c r="BI269" s="63">
        <f t="shared" si="335"/>
        <v>0</v>
      </c>
    </row>
    <row r="270" spans="1:61" s="179" customFormat="1" ht="118.5" customHeight="1" x14ac:dyDescent="0.2">
      <c r="A270" s="453"/>
      <c r="B270" s="442"/>
      <c r="C270" s="375"/>
      <c r="D270" s="354"/>
      <c r="E270" s="364">
        <v>3604</v>
      </c>
      <c r="F270" s="356" t="s">
        <v>974</v>
      </c>
      <c r="G270" s="332" t="s">
        <v>975</v>
      </c>
      <c r="H270" s="363">
        <v>3604006</v>
      </c>
      <c r="I270" s="356" t="s">
        <v>976</v>
      </c>
      <c r="J270" s="298" t="s">
        <v>977</v>
      </c>
      <c r="K270" s="301" t="s">
        <v>978</v>
      </c>
      <c r="L270" s="299" t="s">
        <v>382</v>
      </c>
      <c r="M270" s="309" t="s">
        <v>188</v>
      </c>
      <c r="N270" s="309">
        <v>800</v>
      </c>
      <c r="O270" s="309">
        <v>50</v>
      </c>
      <c r="P270" s="309">
        <v>0</v>
      </c>
      <c r="Q270" s="423" t="s">
        <v>328</v>
      </c>
      <c r="R270" s="354" t="s">
        <v>867</v>
      </c>
      <c r="S270" s="238" t="s">
        <v>979</v>
      </c>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9">
        <v>25000000</v>
      </c>
      <c r="AY270" s="49">
        <v>0</v>
      </c>
      <c r="AZ270" s="49">
        <v>0</v>
      </c>
      <c r="BA270" s="43"/>
      <c r="BB270" s="43"/>
      <c r="BC270" s="43"/>
      <c r="BD270" s="43"/>
      <c r="BE270" s="43"/>
      <c r="BF270" s="43"/>
      <c r="BG270" s="173">
        <f>+T270+W270+Z270+AC270+AF270+AI270+AL270+AO270+AR270+AU270+AX270+BA270+BD270</f>
        <v>25000000</v>
      </c>
      <c r="BH270" s="173">
        <f t="shared" ref="BH270:BI270" si="336">+U270+X270+AA270+AD270+AG270+AJ270+AM270+AP270+AS270+AV270+AY270+BB270+BE270</f>
        <v>0</v>
      </c>
      <c r="BI270" s="173">
        <f t="shared" si="336"/>
        <v>0</v>
      </c>
    </row>
    <row r="271" spans="1:61" s="179" customFormat="1" ht="15.75" x14ac:dyDescent="0.2">
      <c r="A271" s="453"/>
      <c r="B271" s="259">
        <v>4</v>
      </c>
      <c r="C271" s="159" t="s">
        <v>117</v>
      </c>
      <c r="D271" s="160"/>
      <c r="E271" s="160"/>
      <c r="F271" s="161"/>
      <c r="G271" s="162"/>
      <c r="H271" s="163"/>
      <c r="I271" s="161"/>
      <c r="J271" s="162"/>
      <c r="K271" s="162"/>
      <c r="L271" s="161"/>
      <c r="M271" s="164"/>
      <c r="N271" s="164"/>
      <c r="O271" s="162"/>
      <c r="P271" s="162"/>
      <c r="Q271" s="426"/>
      <c r="R271" s="162"/>
      <c r="S271" s="161"/>
      <c r="T271" s="177">
        <f t="shared" ref="T271:AU271" si="337">T272</f>
        <v>0</v>
      </c>
      <c r="U271" s="177"/>
      <c r="V271" s="177"/>
      <c r="W271" s="177">
        <f t="shared" si="337"/>
        <v>0</v>
      </c>
      <c r="X271" s="177"/>
      <c r="Y271" s="177"/>
      <c r="Z271" s="177">
        <f t="shared" si="337"/>
        <v>0</v>
      </c>
      <c r="AA271" s="177"/>
      <c r="AB271" s="177"/>
      <c r="AC271" s="177">
        <f t="shared" si="337"/>
        <v>0</v>
      </c>
      <c r="AD271" s="177"/>
      <c r="AE271" s="177"/>
      <c r="AF271" s="177">
        <f t="shared" si="337"/>
        <v>0</v>
      </c>
      <c r="AG271" s="177"/>
      <c r="AH271" s="177"/>
      <c r="AI271" s="177">
        <f t="shared" si="337"/>
        <v>0</v>
      </c>
      <c r="AJ271" s="177"/>
      <c r="AK271" s="177"/>
      <c r="AL271" s="177">
        <f t="shared" si="337"/>
        <v>0</v>
      </c>
      <c r="AM271" s="177"/>
      <c r="AN271" s="177"/>
      <c r="AO271" s="177">
        <f t="shared" si="337"/>
        <v>0</v>
      </c>
      <c r="AP271" s="177"/>
      <c r="AQ271" s="177"/>
      <c r="AR271" s="177">
        <f t="shared" si="337"/>
        <v>0</v>
      </c>
      <c r="AS271" s="177"/>
      <c r="AT271" s="177"/>
      <c r="AU271" s="177">
        <f t="shared" si="337"/>
        <v>0</v>
      </c>
      <c r="AV271" s="177"/>
      <c r="AW271" s="177"/>
      <c r="AX271" s="177">
        <f>AX272</f>
        <v>15000000</v>
      </c>
      <c r="AY271" s="177">
        <f t="shared" ref="AY271:AZ271" si="338">AY272</f>
        <v>0</v>
      </c>
      <c r="AZ271" s="177">
        <f t="shared" si="338"/>
        <v>0</v>
      </c>
      <c r="BA271" s="177">
        <f>BA272</f>
        <v>0</v>
      </c>
      <c r="BB271" s="177"/>
      <c r="BC271" s="177"/>
      <c r="BD271" s="177">
        <f>BD272</f>
        <v>0</v>
      </c>
      <c r="BE271" s="177"/>
      <c r="BF271" s="177"/>
      <c r="BG271" s="177">
        <f>BG272</f>
        <v>15000000</v>
      </c>
      <c r="BH271" s="177">
        <f t="shared" ref="BH271:BI271" si="339">BH272</f>
        <v>0</v>
      </c>
      <c r="BI271" s="177">
        <f t="shared" si="339"/>
        <v>0</v>
      </c>
    </row>
    <row r="272" spans="1:61" s="179" customFormat="1" ht="15.75" x14ac:dyDescent="0.2">
      <c r="A272" s="453"/>
      <c r="B272" s="440"/>
      <c r="C272" s="195">
        <v>42</v>
      </c>
      <c r="D272" s="167">
        <v>4502</v>
      </c>
      <c r="E272" s="357" t="s">
        <v>108</v>
      </c>
      <c r="F272" s="166"/>
      <c r="G272" s="167"/>
      <c r="H272" s="168"/>
      <c r="I272" s="166"/>
      <c r="J272" s="167"/>
      <c r="K272" s="167"/>
      <c r="L272" s="166"/>
      <c r="M272" s="169"/>
      <c r="N272" s="169"/>
      <c r="O272" s="167"/>
      <c r="P272" s="167"/>
      <c r="Q272" s="424"/>
      <c r="R272" s="167"/>
      <c r="S272" s="166"/>
      <c r="T272" s="63">
        <f t="shared" ref="T272:BI272" si="340">+T273</f>
        <v>0</v>
      </c>
      <c r="U272" s="63"/>
      <c r="V272" s="63"/>
      <c r="W272" s="63">
        <f t="shared" si="340"/>
        <v>0</v>
      </c>
      <c r="X272" s="63"/>
      <c r="Y272" s="63"/>
      <c r="Z272" s="63">
        <f t="shared" si="340"/>
        <v>0</v>
      </c>
      <c r="AA272" s="63"/>
      <c r="AB272" s="63"/>
      <c r="AC272" s="63">
        <f t="shared" si="340"/>
        <v>0</v>
      </c>
      <c r="AD272" s="63"/>
      <c r="AE272" s="63"/>
      <c r="AF272" s="63">
        <f t="shared" si="340"/>
        <v>0</v>
      </c>
      <c r="AG272" s="63"/>
      <c r="AH272" s="63"/>
      <c r="AI272" s="63">
        <f t="shared" si="340"/>
        <v>0</v>
      </c>
      <c r="AJ272" s="63"/>
      <c r="AK272" s="63"/>
      <c r="AL272" s="63">
        <f t="shared" si="340"/>
        <v>0</v>
      </c>
      <c r="AM272" s="63"/>
      <c r="AN272" s="63"/>
      <c r="AO272" s="63">
        <f t="shared" si="340"/>
        <v>0</v>
      </c>
      <c r="AP272" s="63"/>
      <c r="AQ272" s="63"/>
      <c r="AR272" s="63">
        <f t="shared" si="340"/>
        <v>0</v>
      </c>
      <c r="AS272" s="63"/>
      <c r="AT272" s="63"/>
      <c r="AU272" s="63">
        <f t="shared" si="340"/>
        <v>0</v>
      </c>
      <c r="AV272" s="63"/>
      <c r="AW272" s="63"/>
      <c r="AX272" s="63">
        <f t="shared" si="340"/>
        <v>15000000</v>
      </c>
      <c r="AY272" s="63">
        <f t="shared" si="340"/>
        <v>0</v>
      </c>
      <c r="AZ272" s="63">
        <f t="shared" si="340"/>
        <v>0</v>
      </c>
      <c r="BA272" s="63">
        <f t="shared" si="340"/>
        <v>0</v>
      </c>
      <c r="BB272" s="63"/>
      <c r="BC272" s="63"/>
      <c r="BD272" s="63">
        <f t="shared" si="340"/>
        <v>0</v>
      </c>
      <c r="BE272" s="63"/>
      <c r="BF272" s="63"/>
      <c r="BG272" s="63">
        <f>+BG273</f>
        <v>15000000</v>
      </c>
      <c r="BH272" s="63">
        <f t="shared" si="340"/>
        <v>0</v>
      </c>
      <c r="BI272" s="63">
        <f t="shared" si="340"/>
        <v>0</v>
      </c>
    </row>
    <row r="273" spans="1:67" s="179" customFormat="1" ht="98.25" customHeight="1" x14ac:dyDescent="0.2">
      <c r="A273" s="471"/>
      <c r="B273" s="442"/>
      <c r="C273" s="375"/>
      <c r="D273" s="354"/>
      <c r="E273" s="364">
        <v>4502</v>
      </c>
      <c r="F273" s="355" t="s">
        <v>980</v>
      </c>
      <c r="G273" s="330" t="s">
        <v>393</v>
      </c>
      <c r="H273" s="199">
        <v>4502001</v>
      </c>
      <c r="I273" s="356" t="s">
        <v>394</v>
      </c>
      <c r="J273" s="300" t="s">
        <v>981</v>
      </c>
      <c r="K273" s="298" t="s">
        <v>92</v>
      </c>
      <c r="L273" s="304" t="s">
        <v>982</v>
      </c>
      <c r="M273" s="298" t="s">
        <v>188</v>
      </c>
      <c r="N273" s="313">
        <v>4</v>
      </c>
      <c r="O273" s="298">
        <v>1</v>
      </c>
      <c r="P273" s="298">
        <v>0</v>
      </c>
      <c r="Q273" s="423" t="s">
        <v>114</v>
      </c>
      <c r="R273" s="354" t="s">
        <v>967</v>
      </c>
      <c r="S273" s="355" t="s">
        <v>968</v>
      </c>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9">
        <v>15000000</v>
      </c>
      <c r="AY273" s="49">
        <v>0</v>
      </c>
      <c r="AZ273" s="49">
        <v>0</v>
      </c>
      <c r="BA273" s="43"/>
      <c r="BB273" s="43"/>
      <c r="BC273" s="43"/>
      <c r="BD273" s="43"/>
      <c r="BE273" s="43"/>
      <c r="BF273" s="43"/>
      <c r="BG273" s="173">
        <f>+T273+W273+Z273+AC273+AF273+AI273+AL273+AO273+AR273+AU273+AX273+BA273+BD273</f>
        <v>15000000</v>
      </c>
      <c r="BH273" s="173">
        <f t="shared" ref="BH273:BI273" si="341">+U273+X273+AA273+AD273+AG273+AJ273+AM273+AP273+AS273+AV273+AY273+BB273+BE273</f>
        <v>0</v>
      </c>
      <c r="BI273" s="173">
        <f t="shared" si="341"/>
        <v>0</v>
      </c>
    </row>
    <row r="274" spans="1:67" s="242" customFormat="1" ht="15.75" x14ac:dyDescent="0.2">
      <c r="A274" s="443"/>
      <c r="B274" s="444"/>
      <c r="C274" s="444"/>
      <c r="D274" s="445"/>
      <c r="E274" s="446"/>
      <c r="F274" s="446"/>
      <c r="G274" s="447"/>
      <c r="H274" s="447"/>
      <c r="I274" s="448"/>
      <c r="J274" s="449"/>
      <c r="K274" s="449"/>
      <c r="L274" s="448"/>
      <c r="M274" s="447"/>
      <c r="N274" s="447"/>
      <c r="O274" s="449"/>
      <c r="P274" s="449"/>
      <c r="Q274" s="447"/>
      <c r="R274" s="447"/>
      <c r="S274" s="448"/>
      <c r="T274" s="450"/>
      <c r="U274" s="450"/>
      <c r="V274" s="450"/>
      <c r="W274" s="450"/>
      <c r="X274" s="450"/>
      <c r="Y274" s="450"/>
      <c r="Z274" s="450"/>
      <c r="AA274" s="450"/>
      <c r="AB274" s="450"/>
      <c r="AC274" s="450"/>
      <c r="AD274" s="450"/>
      <c r="AE274" s="450"/>
      <c r="AF274" s="450"/>
      <c r="AG274" s="450"/>
      <c r="AH274" s="450"/>
      <c r="AI274" s="450"/>
      <c r="AJ274" s="450"/>
      <c r="AK274" s="450"/>
      <c r="AL274" s="450"/>
      <c r="AM274" s="450"/>
      <c r="AN274" s="450"/>
      <c r="AO274" s="450"/>
      <c r="AP274" s="450"/>
      <c r="AQ274" s="450"/>
      <c r="AR274" s="450"/>
      <c r="AS274" s="450"/>
      <c r="AT274" s="450"/>
      <c r="AU274" s="450"/>
      <c r="AV274" s="450"/>
      <c r="AW274" s="450"/>
      <c r="AX274" s="451"/>
      <c r="AY274" s="451"/>
      <c r="AZ274" s="451"/>
      <c r="BA274" s="450"/>
      <c r="BB274" s="450"/>
      <c r="BC274" s="450"/>
      <c r="BD274" s="450"/>
      <c r="BE274" s="450"/>
      <c r="BF274" s="450"/>
      <c r="BG274" s="451"/>
      <c r="BH274" s="451"/>
      <c r="BI274" s="451"/>
    </row>
    <row r="275" spans="1:67" ht="15.75" x14ac:dyDescent="0.2">
      <c r="A275" s="211" t="s">
        <v>983</v>
      </c>
      <c r="B275" s="211"/>
      <c r="C275" s="211"/>
      <c r="D275" s="212"/>
      <c r="E275" s="212"/>
      <c r="F275" s="213"/>
      <c r="G275" s="214"/>
      <c r="H275" s="156"/>
      <c r="I275" s="213"/>
      <c r="J275" s="214"/>
      <c r="K275" s="214"/>
      <c r="L275" s="213"/>
      <c r="M275" s="156"/>
      <c r="N275" s="156"/>
      <c r="O275" s="214"/>
      <c r="P275" s="214"/>
      <c r="Q275" s="212"/>
      <c r="R275" s="214"/>
      <c r="S275" s="213"/>
      <c r="T275" s="188">
        <f>+T276</f>
        <v>0</v>
      </c>
      <c r="U275" s="188">
        <f t="shared" ref="U275:BI275" si="342">+U276</f>
        <v>0</v>
      </c>
      <c r="V275" s="188">
        <f t="shared" si="342"/>
        <v>0</v>
      </c>
      <c r="W275" s="188">
        <f t="shared" si="342"/>
        <v>0</v>
      </c>
      <c r="X275" s="188">
        <f t="shared" si="342"/>
        <v>0</v>
      </c>
      <c r="Y275" s="188">
        <f t="shared" si="342"/>
        <v>0</v>
      </c>
      <c r="Z275" s="188">
        <f t="shared" si="342"/>
        <v>0</v>
      </c>
      <c r="AA275" s="188">
        <f t="shared" si="342"/>
        <v>0</v>
      </c>
      <c r="AB275" s="188">
        <f t="shared" si="342"/>
        <v>0</v>
      </c>
      <c r="AC275" s="188">
        <f t="shared" si="342"/>
        <v>0</v>
      </c>
      <c r="AD275" s="188">
        <f t="shared" si="342"/>
        <v>0</v>
      </c>
      <c r="AE275" s="188">
        <f t="shared" si="342"/>
        <v>0</v>
      </c>
      <c r="AF275" s="188">
        <f t="shared" si="342"/>
        <v>6648246009.5</v>
      </c>
      <c r="AG275" s="188">
        <f t="shared" si="342"/>
        <v>2349741748</v>
      </c>
      <c r="AH275" s="188">
        <f t="shared" si="342"/>
        <v>1122931061</v>
      </c>
      <c r="AI275" s="188">
        <f t="shared" si="342"/>
        <v>27454768746.280003</v>
      </c>
      <c r="AJ275" s="188">
        <f t="shared" si="342"/>
        <v>21651168903</v>
      </c>
      <c r="AK275" s="188">
        <f t="shared" si="342"/>
        <v>11295390100.5</v>
      </c>
      <c r="AL275" s="188">
        <f t="shared" si="342"/>
        <v>0</v>
      </c>
      <c r="AM275" s="188">
        <f t="shared" si="342"/>
        <v>0</v>
      </c>
      <c r="AN275" s="188">
        <f t="shared" si="342"/>
        <v>0</v>
      </c>
      <c r="AO275" s="188">
        <f t="shared" si="342"/>
        <v>0</v>
      </c>
      <c r="AP275" s="188">
        <f t="shared" si="342"/>
        <v>0</v>
      </c>
      <c r="AQ275" s="188">
        <f t="shared" si="342"/>
        <v>0</v>
      </c>
      <c r="AR275" s="188">
        <f t="shared" si="342"/>
        <v>0</v>
      </c>
      <c r="AS275" s="188">
        <f t="shared" si="342"/>
        <v>0</v>
      </c>
      <c r="AT275" s="188">
        <f t="shared" si="342"/>
        <v>0</v>
      </c>
      <c r="AU275" s="188">
        <f t="shared" si="342"/>
        <v>0</v>
      </c>
      <c r="AV275" s="188">
        <f t="shared" si="342"/>
        <v>0</v>
      </c>
      <c r="AW275" s="188">
        <f t="shared" si="342"/>
        <v>0</v>
      </c>
      <c r="AX275" s="188">
        <f t="shared" si="342"/>
        <v>4628050740</v>
      </c>
      <c r="AY275" s="188">
        <f t="shared" si="342"/>
        <v>2256358930.3299999</v>
      </c>
      <c r="AZ275" s="188">
        <f t="shared" si="342"/>
        <v>1269792031</v>
      </c>
      <c r="BA275" s="188">
        <f t="shared" si="342"/>
        <v>0</v>
      </c>
      <c r="BB275" s="188">
        <f t="shared" si="342"/>
        <v>0</v>
      </c>
      <c r="BC275" s="188">
        <f t="shared" si="342"/>
        <v>0</v>
      </c>
      <c r="BD275" s="188">
        <f t="shared" si="342"/>
        <v>2147768825.3000002</v>
      </c>
      <c r="BE275" s="188">
        <f t="shared" si="342"/>
        <v>1769903877</v>
      </c>
      <c r="BF275" s="188">
        <f t="shared" si="342"/>
        <v>799524957</v>
      </c>
      <c r="BG275" s="188">
        <f t="shared" si="342"/>
        <v>40878834321.080002</v>
      </c>
      <c r="BH275" s="188">
        <f t="shared" si="342"/>
        <v>28027173458.330002</v>
      </c>
      <c r="BI275" s="188">
        <f t="shared" si="342"/>
        <v>14487638149.5</v>
      </c>
      <c r="BJ275" s="487"/>
      <c r="BK275" s="487"/>
      <c r="BL275" s="487"/>
      <c r="BM275" s="487"/>
      <c r="BN275" s="487"/>
      <c r="BO275" s="487"/>
    </row>
    <row r="276" spans="1:67" ht="15.75" x14ac:dyDescent="0.2">
      <c r="A276" s="452"/>
      <c r="B276" s="259">
        <v>1</v>
      </c>
      <c r="C276" s="159" t="s">
        <v>984</v>
      </c>
      <c r="D276" s="160"/>
      <c r="E276" s="160"/>
      <c r="F276" s="161"/>
      <c r="G276" s="162"/>
      <c r="H276" s="163"/>
      <c r="I276" s="161"/>
      <c r="J276" s="162"/>
      <c r="K276" s="162"/>
      <c r="L276" s="161"/>
      <c r="M276" s="164"/>
      <c r="N276" s="164"/>
      <c r="O276" s="162"/>
      <c r="P276" s="162"/>
      <c r="Q276" s="160"/>
      <c r="R276" s="162"/>
      <c r="S276" s="161"/>
      <c r="T276" s="165">
        <f t="shared" ref="T276" si="343">+T277+T301+T332</f>
        <v>0</v>
      </c>
      <c r="U276" s="165">
        <f t="shared" ref="U276:BI276" si="344">+U277+U301+U332</f>
        <v>0</v>
      </c>
      <c r="V276" s="165">
        <f t="shared" si="344"/>
        <v>0</v>
      </c>
      <c r="W276" s="165">
        <f t="shared" si="344"/>
        <v>0</v>
      </c>
      <c r="X276" s="165">
        <f t="shared" si="344"/>
        <v>0</v>
      </c>
      <c r="Y276" s="165">
        <f t="shared" si="344"/>
        <v>0</v>
      </c>
      <c r="Z276" s="165">
        <f t="shared" si="344"/>
        <v>0</v>
      </c>
      <c r="AA276" s="165">
        <f t="shared" si="344"/>
        <v>0</v>
      </c>
      <c r="AB276" s="165">
        <f t="shared" si="344"/>
        <v>0</v>
      </c>
      <c r="AC276" s="165">
        <f t="shared" si="344"/>
        <v>0</v>
      </c>
      <c r="AD276" s="165">
        <f t="shared" si="344"/>
        <v>0</v>
      </c>
      <c r="AE276" s="165">
        <f t="shared" si="344"/>
        <v>0</v>
      </c>
      <c r="AF276" s="165">
        <f t="shared" si="344"/>
        <v>6648246009.5</v>
      </c>
      <c r="AG276" s="165">
        <f t="shared" si="344"/>
        <v>2349741748</v>
      </c>
      <c r="AH276" s="165">
        <f t="shared" si="344"/>
        <v>1122931061</v>
      </c>
      <c r="AI276" s="165">
        <f t="shared" si="344"/>
        <v>27454768746.280003</v>
      </c>
      <c r="AJ276" s="165">
        <f t="shared" si="344"/>
        <v>21651168903</v>
      </c>
      <c r="AK276" s="165">
        <f t="shared" si="344"/>
        <v>11295390100.5</v>
      </c>
      <c r="AL276" s="165">
        <f t="shared" si="344"/>
        <v>0</v>
      </c>
      <c r="AM276" s="165">
        <f t="shared" si="344"/>
        <v>0</v>
      </c>
      <c r="AN276" s="165">
        <f t="shared" si="344"/>
        <v>0</v>
      </c>
      <c r="AO276" s="165">
        <f t="shared" si="344"/>
        <v>0</v>
      </c>
      <c r="AP276" s="165">
        <f t="shared" si="344"/>
        <v>0</v>
      </c>
      <c r="AQ276" s="165">
        <f t="shared" si="344"/>
        <v>0</v>
      </c>
      <c r="AR276" s="165">
        <f t="shared" si="344"/>
        <v>0</v>
      </c>
      <c r="AS276" s="165">
        <f t="shared" si="344"/>
        <v>0</v>
      </c>
      <c r="AT276" s="165">
        <f t="shared" si="344"/>
        <v>0</v>
      </c>
      <c r="AU276" s="165">
        <f t="shared" si="344"/>
        <v>0</v>
      </c>
      <c r="AV276" s="165">
        <f t="shared" si="344"/>
        <v>0</v>
      </c>
      <c r="AW276" s="165">
        <f t="shared" si="344"/>
        <v>0</v>
      </c>
      <c r="AX276" s="165">
        <f t="shared" si="344"/>
        <v>4628050740</v>
      </c>
      <c r="AY276" s="165">
        <f t="shared" si="344"/>
        <v>2256358930.3299999</v>
      </c>
      <c r="AZ276" s="165">
        <f t="shared" si="344"/>
        <v>1269792031</v>
      </c>
      <c r="BA276" s="165">
        <f t="shared" si="344"/>
        <v>0</v>
      </c>
      <c r="BB276" s="165">
        <f t="shared" si="344"/>
        <v>0</v>
      </c>
      <c r="BC276" s="165">
        <f t="shared" si="344"/>
        <v>0</v>
      </c>
      <c r="BD276" s="165">
        <f t="shared" si="344"/>
        <v>2147768825.3000002</v>
      </c>
      <c r="BE276" s="165">
        <f t="shared" si="344"/>
        <v>1769903877</v>
      </c>
      <c r="BF276" s="165">
        <f t="shared" si="344"/>
        <v>799524957</v>
      </c>
      <c r="BG276" s="165">
        <f t="shared" si="344"/>
        <v>40878834321.080002</v>
      </c>
      <c r="BH276" s="165">
        <f t="shared" si="344"/>
        <v>28027173458.330002</v>
      </c>
      <c r="BI276" s="165">
        <f t="shared" si="344"/>
        <v>14487638149.5</v>
      </c>
    </row>
    <row r="277" spans="1:67" ht="15.75" x14ac:dyDescent="0.2">
      <c r="A277" s="438"/>
      <c r="B277" s="440"/>
      <c r="C277" s="195">
        <v>11</v>
      </c>
      <c r="D277" s="167">
        <v>1903</v>
      </c>
      <c r="E277" s="357" t="s">
        <v>985</v>
      </c>
      <c r="F277" s="166"/>
      <c r="G277" s="167"/>
      <c r="H277" s="168"/>
      <c r="I277" s="166"/>
      <c r="J277" s="167"/>
      <c r="K277" s="167"/>
      <c r="L277" s="166"/>
      <c r="M277" s="169"/>
      <c r="N277" s="169"/>
      <c r="O277" s="167"/>
      <c r="P277" s="167"/>
      <c r="Q277" s="170"/>
      <c r="R277" s="167"/>
      <c r="S277" s="166"/>
      <c r="T277" s="171">
        <f t="shared" ref="T277" si="345">SUM(T278:T300)</f>
        <v>0</v>
      </c>
      <c r="U277" s="171">
        <f t="shared" ref="U277:BI277" si="346">SUM(U278:U300)</f>
        <v>0</v>
      </c>
      <c r="V277" s="171">
        <f t="shared" si="346"/>
        <v>0</v>
      </c>
      <c r="W277" s="171">
        <f t="shared" si="346"/>
        <v>0</v>
      </c>
      <c r="X277" s="171">
        <f t="shared" si="346"/>
        <v>0</v>
      </c>
      <c r="Y277" s="171">
        <f t="shared" si="346"/>
        <v>0</v>
      </c>
      <c r="Z277" s="171">
        <f t="shared" si="346"/>
        <v>0</v>
      </c>
      <c r="AA277" s="171">
        <f t="shared" si="346"/>
        <v>0</v>
      </c>
      <c r="AB277" s="171">
        <f t="shared" si="346"/>
        <v>0</v>
      </c>
      <c r="AC277" s="171">
        <f t="shared" si="346"/>
        <v>0</v>
      </c>
      <c r="AD277" s="171">
        <f t="shared" si="346"/>
        <v>0</v>
      </c>
      <c r="AE277" s="171">
        <f t="shared" si="346"/>
        <v>0</v>
      </c>
      <c r="AF277" s="171">
        <f t="shared" si="346"/>
        <v>1887781718</v>
      </c>
      <c r="AG277" s="171">
        <f t="shared" si="346"/>
        <v>604582701</v>
      </c>
      <c r="AH277" s="171">
        <f t="shared" si="346"/>
        <v>283336676</v>
      </c>
      <c r="AI277" s="171">
        <f t="shared" si="346"/>
        <v>1306328216.8600001</v>
      </c>
      <c r="AJ277" s="171">
        <f t="shared" si="346"/>
        <v>647297376</v>
      </c>
      <c r="AK277" s="171">
        <f t="shared" si="346"/>
        <v>636214976</v>
      </c>
      <c r="AL277" s="171">
        <f t="shared" si="346"/>
        <v>0</v>
      </c>
      <c r="AM277" s="171">
        <f t="shared" si="346"/>
        <v>0</v>
      </c>
      <c r="AN277" s="171">
        <f t="shared" si="346"/>
        <v>0</v>
      </c>
      <c r="AO277" s="171">
        <f t="shared" si="346"/>
        <v>0</v>
      </c>
      <c r="AP277" s="171">
        <f t="shared" si="346"/>
        <v>0</v>
      </c>
      <c r="AQ277" s="171">
        <f t="shared" si="346"/>
        <v>0</v>
      </c>
      <c r="AR277" s="171">
        <f t="shared" si="346"/>
        <v>0</v>
      </c>
      <c r="AS277" s="171">
        <f t="shared" si="346"/>
        <v>0</v>
      </c>
      <c r="AT277" s="171">
        <f t="shared" si="346"/>
        <v>0</v>
      </c>
      <c r="AU277" s="171">
        <f t="shared" si="346"/>
        <v>0</v>
      </c>
      <c r="AV277" s="171">
        <f t="shared" si="346"/>
        <v>0</v>
      </c>
      <c r="AW277" s="171">
        <f t="shared" si="346"/>
        <v>0</v>
      </c>
      <c r="AX277" s="171">
        <f t="shared" si="346"/>
        <v>161590000</v>
      </c>
      <c r="AY277" s="171">
        <f t="shared" si="346"/>
        <v>117360000</v>
      </c>
      <c r="AZ277" s="171">
        <f t="shared" si="346"/>
        <v>59114666</v>
      </c>
      <c r="BA277" s="171">
        <f t="shared" si="346"/>
        <v>0</v>
      </c>
      <c r="BB277" s="171">
        <f t="shared" si="346"/>
        <v>0</v>
      </c>
      <c r="BC277" s="171">
        <f t="shared" si="346"/>
        <v>0</v>
      </c>
      <c r="BD277" s="171">
        <f t="shared" si="346"/>
        <v>351200000</v>
      </c>
      <c r="BE277" s="171">
        <f t="shared" si="346"/>
        <v>249833320</v>
      </c>
      <c r="BF277" s="171">
        <f t="shared" si="346"/>
        <v>40800000</v>
      </c>
      <c r="BG277" s="171">
        <f t="shared" si="346"/>
        <v>3706899934.8600001</v>
      </c>
      <c r="BH277" s="171">
        <f t="shared" si="346"/>
        <v>1619073397</v>
      </c>
      <c r="BI277" s="171">
        <f t="shared" si="346"/>
        <v>1019466318</v>
      </c>
    </row>
    <row r="278" spans="1:67" ht="92.25" customHeight="1" x14ac:dyDescent="0.2">
      <c r="A278" s="438"/>
      <c r="B278" s="460"/>
      <c r="C278" s="375"/>
      <c r="D278" s="354"/>
      <c r="E278" s="354">
        <v>1903</v>
      </c>
      <c r="F278" s="356" t="s">
        <v>986</v>
      </c>
      <c r="G278" s="349" t="s">
        <v>987</v>
      </c>
      <c r="H278" s="354" t="s">
        <v>92</v>
      </c>
      <c r="I278" s="355" t="s">
        <v>1006</v>
      </c>
      <c r="J278" s="314" t="s">
        <v>988</v>
      </c>
      <c r="K278" s="298" t="s">
        <v>92</v>
      </c>
      <c r="L278" s="304" t="s">
        <v>989</v>
      </c>
      <c r="M278" s="298" t="s">
        <v>98</v>
      </c>
      <c r="N278" s="298">
        <v>1</v>
      </c>
      <c r="O278" s="298">
        <v>1</v>
      </c>
      <c r="P278" s="298">
        <v>0.5</v>
      </c>
      <c r="Q278" s="363" t="s">
        <v>197</v>
      </c>
      <c r="R278" s="354" t="s">
        <v>990</v>
      </c>
      <c r="S278" s="355" t="s">
        <v>10</v>
      </c>
      <c r="T278" s="43"/>
      <c r="U278" s="43"/>
      <c r="V278" s="43"/>
      <c r="W278" s="43"/>
      <c r="X278" s="43"/>
      <c r="Y278" s="43"/>
      <c r="Z278" s="43"/>
      <c r="AA278" s="43"/>
      <c r="AB278" s="43"/>
      <c r="AC278" s="43"/>
      <c r="AD278" s="43"/>
      <c r="AE278" s="43"/>
      <c r="AF278" s="43">
        <f>50000000</f>
        <v>50000000</v>
      </c>
      <c r="AG278" s="43">
        <v>0</v>
      </c>
      <c r="AH278" s="43">
        <v>0</v>
      </c>
      <c r="AI278" s="43"/>
      <c r="AJ278" s="43"/>
      <c r="AK278" s="43"/>
      <c r="AL278" s="43"/>
      <c r="AM278" s="43"/>
      <c r="AN278" s="43"/>
      <c r="AO278" s="43"/>
      <c r="AP278" s="43"/>
      <c r="AQ278" s="43"/>
      <c r="AR278" s="43"/>
      <c r="AS278" s="43"/>
      <c r="AT278" s="43"/>
      <c r="AU278" s="43"/>
      <c r="AV278" s="43"/>
      <c r="AW278" s="43"/>
      <c r="AX278" s="49"/>
      <c r="AY278" s="49"/>
      <c r="AZ278" s="49"/>
      <c r="BA278" s="43"/>
      <c r="BB278" s="43"/>
      <c r="BC278" s="43"/>
      <c r="BD278" s="43"/>
      <c r="BE278" s="43"/>
      <c r="BF278" s="43"/>
      <c r="BG278" s="296">
        <f t="shared" ref="BG278:BI300" si="347">+T278+W278+Z278+AC278+AF278+AI278+AL278+AO278+AR278+AU278+AX278+BA278+BD278</f>
        <v>50000000</v>
      </c>
      <c r="BH278" s="296">
        <f t="shared" si="347"/>
        <v>0</v>
      </c>
      <c r="BI278" s="296">
        <f t="shared" si="347"/>
        <v>0</v>
      </c>
    </row>
    <row r="279" spans="1:67" ht="66" customHeight="1" x14ac:dyDescent="0.2">
      <c r="A279" s="438"/>
      <c r="B279" s="441"/>
      <c r="C279" s="373"/>
      <c r="D279" s="374"/>
      <c r="E279" s="354">
        <v>1903</v>
      </c>
      <c r="F279" s="356" t="s">
        <v>986</v>
      </c>
      <c r="G279" s="226" t="s">
        <v>991</v>
      </c>
      <c r="H279" s="354">
        <v>1903009</v>
      </c>
      <c r="I279" s="355" t="s">
        <v>992</v>
      </c>
      <c r="J279" s="354" t="s">
        <v>993</v>
      </c>
      <c r="K279" s="298">
        <v>190300900</v>
      </c>
      <c r="L279" s="304" t="s">
        <v>994</v>
      </c>
      <c r="M279" s="298" t="s">
        <v>188</v>
      </c>
      <c r="N279" s="298">
        <v>2900</v>
      </c>
      <c r="O279" s="298">
        <v>380</v>
      </c>
      <c r="P279" s="298">
        <v>160</v>
      </c>
      <c r="Q279" s="518" t="s">
        <v>197</v>
      </c>
      <c r="R279" s="517" t="s">
        <v>995</v>
      </c>
      <c r="S279" s="518" t="s">
        <v>996</v>
      </c>
      <c r="T279" s="43"/>
      <c r="U279" s="43"/>
      <c r="V279" s="43"/>
      <c r="W279" s="43"/>
      <c r="X279" s="43"/>
      <c r="Y279" s="43"/>
      <c r="Z279" s="43"/>
      <c r="AA279" s="43"/>
      <c r="AB279" s="43"/>
      <c r="AC279" s="43"/>
      <c r="AD279" s="43"/>
      <c r="AE279" s="43"/>
      <c r="AF279" s="43">
        <f>70000000-33600000</f>
        <v>36400000</v>
      </c>
      <c r="AG279" s="43">
        <v>19973333</v>
      </c>
      <c r="AH279" s="43">
        <v>0</v>
      </c>
      <c r="AI279" s="43"/>
      <c r="AJ279" s="43"/>
      <c r="AK279" s="43"/>
      <c r="AL279" s="43"/>
      <c r="AM279" s="43"/>
      <c r="AN279" s="43"/>
      <c r="AO279" s="43"/>
      <c r="AP279" s="43"/>
      <c r="AQ279" s="43"/>
      <c r="AR279" s="43"/>
      <c r="AS279" s="43"/>
      <c r="AT279" s="43"/>
      <c r="AU279" s="43"/>
      <c r="AV279" s="43"/>
      <c r="AW279" s="43"/>
      <c r="AX279" s="49">
        <f>40000000-40000000</f>
        <v>0</v>
      </c>
      <c r="AY279" s="49"/>
      <c r="AZ279" s="49"/>
      <c r="BA279" s="43"/>
      <c r="BB279" s="43"/>
      <c r="BC279" s="43"/>
      <c r="BD279" s="43"/>
      <c r="BE279" s="43"/>
      <c r="BF279" s="43"/>
      <c r="BG279" s="296">
        <f t="shared" si="347"/>
        <v>36400000</v>
      </c>
      <c r="BH279" s="296">
        <f t="shared" si="347"/>
        <v>19973333</v>
      </c>
      <c r="BI279" s="296">
        <f t="shared" si="347"/>
        <v>0</v>
      </c>
    </row>
    <row r="280" spans="1:67" ht="69" customHeight="1" x14ac:dyDescent="0.2">
      <c r="A280" s="438"/>
      <c r="B280" s="441"/>
      <c r="C280" s="373"/>
      <c r="D280" s="374"/>
      <c r="E280" s="354">
        <v>1903</v>
      </c>
      <c r="F280" s="356" t="s">
        <v>997</v>
      </c>
      <c r="G280" s="226" t="s">
        <v>998</v>
      </c>
      <c r="H280" s="354">
        <v>1903023</v>
      </c>
      <c r="I280" s="355" t="s">
        <v>999</v>
      </c>
      <c r="J280" s="354" t="s">
        <v>1000</v>
      </c>
      <c r="K280" s="298">
        <v>190302300</v>
      </c>
      <c r="L280" s="304" t="s">
        <v>1001</v>
      </c>
      <c r="M280" s="298" t="s">
        <v>98</v>
      </c>
      <c r="N280" s="298">
        <v>12</v>
      </c>
      <c r="O280" s="298">
        <v>12</v>
      </c>
      <c r="P280" s="298">
        <v>3</v>
      </c>
      <c r="Q280" s="518"/>
      <c r="R280" s="517"/>
      <c r="S280" s="518"/>
      <c r="T280" s="43"/>
      <c r="U280" s="43"/>
      <c r="V280" s="43"/>
      <c r="W280" s="43"/>
      <c r="X280" s="43"/>
      <c r="Y280" s="43"/>
      <c r="Z280" s="43"/>
      <c r="AA280" s="43"/>
      <c r="AB280" s="43"/>
      <c r="AC280" s="43"/>
      <c r="AD280" s="43"/>
      <c r="AE280" s="43"/>
      <c r="AF280" s="344">
        <f>2800528+79027689-0.14-2800528-67827688.86</f>
        <v>11200000</v>
      </c>
      <c r="AG280" s="344">
        <v>0</v>
      </c>
      <c r="AH280" s="344">
        <v>0</v>
      </c>
      <c r="AI280" s="181"/>
      <c r="AJ280" s="181"/>
      <c r="AK280" s="181"/>
      <c r="AL280" s="43"/>
      <c r="AM280" s="43"/>
      <c r="AN280" s="43"/>
      <c r="AO280" s="43"/>
      <c r="AP280" s="43"/>
      <c r="AQ280" s="43"/>
      <c r="AR280" s="43"/>
      <c r="AS280" s="43"/>
      <c r="AT280" s="43"/>
      <c r="AU280" s="43"/>
      <c r="AV280" s="43"/>
      <c r="AW280" s="43"/>
      <c r="AX280" s="240"/>
      <c r="AY280" s="240"/>
      <c r="AZ280" s="240"/>
      <c r="BA280" s="43"/>
      <c r="BB280" s="43"/>
      <c r="BC280" s="43"/>
      <c r="BD280" s="43"/>
      <c r="BE280" s="43"/>
      <c r="BF280" s="43"/>
      <c r="BG280" s="296">
        <f t="shared" si="347"/>
        <v>11200000</v>
      </c>
      <c r="BH280" s="296">
        <f t="shared" si="347"/>
        <v>0</v>
      </c>
      <c r="BI280" s="296">
        <f t="shared" si="347"/>
        <v>0</v>
      </c>
    </row>
    <row r="281" spans="1:67" ht="146.25" customHeight="1" x14ac:dyDescent="0.2">
      <c r="A281" s="438"/>
      <c r="B281" s="441"/>
      <c r="C281" s="373"/>
      <c r="D281" s="374"/>
      <c r="E281" s="354">
        <v>1903</v>
      </c>
      <c r="F281" s="356" t="s">
        <v>1002</v>
      </c>
      <c r="G281" s="349" t="s">
        <v>1003</v>
      </c>
      <c r="H281" s="354" t="s">
        <v>92</v>
      </c>
      <c r="I281" s="355" t="s">
        <v>1496</v>
      </c>
      <c r="J281" s="314" t="s">
        <v>1004</v>
      </c>
      <c r="K281" s="298" t="s">
        <v>92</v>
      </c>
      <c r="L281" s="304" t="s">
        <v>1005</v>
      </c>
      <c r="M281" s="298" t="s">
        <v>98</v>
      </c>
      <c r="N281" s="298">
        <v>12</v>
      </c>
      <c r="O281" s="298">
        <v>12</v>
      </c>
      <c r="P281" s="298">
        <v>2</v>
      </c>
      <c r="Q281" s="518"/>
      <c r="R281" s="517"/>
      <c r="S281" s="518"/>
      <c r="T281" s="43"/>
      <c r="U281" s="43"/>
      <c r="V281" s="43"/>
      <c r="W281" s="43"/>
      <c r="X281" s="43"/>
      <c r="Y281" s="43"/>
      <c r="Z281" s="43"/>
      <c r="AA281" s="43"/>
      <c r="AB281" s="43"/>
      <c r="AC281" s="43"/>
      <c r="AD281" s="43"/>
      <c r="AE281" s="43"/>
      <c r="AF281" s="43">
        <f>70000000-1700000</f>
        <v>68300000</v>
      </c>
      <c r="AG281" s="43">
        <v>37306666</v>
      </c>
      <c r="AH281" s="43">
        <v>20253333</v>
      </c>
      <c r="AI281" s="241"/>
      <c r="AJ281" s="241"/>
      <c r="AK281" s="241"/>
      <c r="AL281" s="43"/>
      <c r="AM281" s="43"/>
      <c r="AN281" s="43"/>
      <c r="AO281" s="43"/>
      <c r="AP281" s="43"/>
      <c r="AQ281" s="43"/>
      <c r="AR281" s="43"/>
      <c r="AS281" s="43"/>
      <c r="AT281" s="43"/>
      <c r="AU281" s="43"/>
      <c r="AV281" s="43"/>
      <c r="AW281" s="43"/>
      <c r="AX281" s="240"/>
      <c r="AY281" s="240"/>
      <c r="AZ281" s="240"/>
      <c r="BA281" s="43"/>
      <c r="BB281" s="43"/>
      <c r="BC281" s="43"/>
      <c r="BD281" s="43"/>
      <c r="BE281" s="43"/>
      <c r="BF281" s="43"/>
      <c r="BG281" s="296">
        <f t="shared" si="347"/>
        <v>68300000</v>
      </c>
      <c r="BH281" s="296">
        <f t="shared" si="347"/>
        <v>37306666</v>
      </c>
      <c r="BI281" s="296">
        <f t="shared" si="347"/>
        <v>20253333</v>
      </c>
    </row>
    <row r="282" spans="1:67" ht="94.5" customHeight="1" x14ac:dyDescent="0.2">
      <c r="A282" s="438"/>
      <c r="B282" s="441"/>
      <c r="C282" s="373"/>
      <c r="D282" s="374"/>
      <c r="E282" s="354">
        <v>1903</v>
      </c>
      <c r="F282" s="356" t="s">
        <v>986</v>
      </c>
      <c r="G282" s="226" t="s">
        <v>987</v>
      </c>
      <c r="H282" s="354" t="s">
        <v>92</v>
      </c>
      <c r="I282" s="355" t="s">
        <v>1006</v>
      </c>
      <c r="J282" s="354" t="s">
        <v>988</v>
      </c>
      <c r="K282" s="298" t="s">
        <v>92</v>
      </c>
      <c r="L282" s="355" t="s">
        <v>989</v>
      </c>
      <c r="M282" s="298" t="s">
        <v>98</v>
      </c>
      <c r="N282" s="298">
        <v>1</v>
      </c>
      <c r="O282" s="354">
        <v>1</v>
      </c>
      <c r="P282" s="354">
        <v>0.5</v>
      </c>
      <c r="Q282" s="518"/>
      <c r="R282" s="517"/>
      <c r="S282" s="518"/>
      <c r="T282" s="43"/>
      <c r="U282" s="43"/>
      <c r="V282" s="43"/>
      <c r="W282" s="43"/>
      <c r="X282" s="43"/>
      <c r="Y282" s="43"/>
      <c r="Z282" s="43"/>
      <c r="AA282" s="43"/>
      <c r="AB282" s="43"/>
      <c r="AC282" s="43"/>
      <c r="AD282" s="43"/>
      <c r="AE282" s="43"/>
      <c r="AF282" s="43"/>
      <c r="AG282" s="43"/>
      <c r="AH282" s="344"/>
      <c r="AI282" s="344">
        <f>824500000+2800528+329027688.86</f>
        <v>1156328216.8600001</v>
      </c>
      <c r="AJ282" s="344">
        <v>609430709</v>
      </c>
      <c r="AK282" s="344">
        <v>598628309</v>
      </c>
      <c r="AL282" s="43"/>
      <c r="AM282" s="43"/>
      <c r="AN282" s="43"/>
      <c r="AO282" s="43"/>
      <c r="AP282" s="43"/>
      <c r="AQ282" s="43"/>
      <c r="AR282" s="43"/>
      <c r="AS282" s="43"/>
      <c r="AT282" s="43"/>
      <c r="AU282" s="43"/>
      <c r="AV282" s="43"/>
      <c r="AW282" s="43"/>
      <c r="AX282" s="240"/>
      <c r="AY282" s="240"/>
      <c r="AZ282" s="240"/>
      <c r="BA282" s="43"/>
      <c r="BB282" s="43"/>
      <c r="BC282" s="43"/>
      <c r="BD282" s="181"/>
      <c r="BE282" s="181"/>
      <c r="BF282" s="181"/>
      <c r="BG282" s="296">
        <f t="shared" si="347"/>
        <v>1156328216.8600001</v>
      </c>
      <c r="BH282" s="296">
        <f t="shared" si="347"/>
        <v>609430709</v>
      </c>
      <c r="BI282" s="296">
        <f t="shared" si="347"/>
        <v>598628309</v>
      </c>
    </row>
    <row r="283" spans="1:67" ht="138.75" customHeight="1" x14ac:dyDescent="0.2">
      <c r="A283" s="438"/>
      <c r="B283" s="441"/>
      <c r="C283" s="373"/>
      <c r="D283" s="374"/>
      <c r="E283" s="354">
        <v>1903</v>
      </c>
      <c r="F283" s="356" t="s">
        <v>1007</v>
      </c>
      <c r="G283" s="226" t="s">
        <v>1008</v>
      </c>
      <c r="H283" s="354">
        <v>1903038</v>
      </c>
      <c r="I283" s="355" t="s">
        <v>1009</v>
      </c>
      <c r="J283" s="354" t="s">
        <v>1010</v>
      </c>
      <c r="K283" s="298">
        <v>190303801</v>
      </c>
      <c r="L283" s="355" t="s">
        <v>1011</v>
      </c>
      <c r="M283" s="298" t="s">
        <v>98</v>
      </c>
      <c r="N283" s="298">
        <v>11</v>
      </c>
      <c r="O283" s="298">
        <v>11</v>
      </c>
      <c r="P283" s="298">
        <v>5</v>
      </c>
      <c r="Q283" s="518"/>
      <c r="R283" s="517"/>
      <c r="S283" s="518"/>
      <c r="T283" s="43"/>
      <c r="U283" s="43"/>
      <c r="V283" s="43"/>
      <c r="W283" s="43"/>
      <c r="X283" s="43"/>
      <c r="Y283" s="43"/>
      <c r="Z283" s="43"/>
      <c r="AA283" s="43"/>
      <c r="AB283" s="43"/>
      <c r="AC283" s="43"/>
      <c r="AD283" s="43"/>
      <c r="AE283" s="43"/>
      <c r="AF283" s="43">
        <f>50000000-38800000</f>
        <v>11200000</v>
      </c>
      <c r="AG283" s="43">
        <v>0</v>
      </c>
      <c r="AH283" s="43">
        <v>0</v>
      </c>
      <c r="AI283" s="181"/>
      <c r="AJ283" s="181"/>
      <c r="AK283" s="181"/>
      <c r="AL283" s="43"/>
      <c r="AM283" s="43"/>
      <c r="AN283" s="43"/>
      <c r="AO283" s="43"/>
      <c r="AP283" s="43"/>
      <c r="AQ283" s="43"/>
      <c r="AR283" s="43"/>
      <c r="AS283" s="43"/>
      <c r="AT283" s="43"/>
      <c r="AU283" s="43"/>
      <c r="AV283" s="43"/>
      <c r="AW283" s="43"/>
      <c r="AX283" s="240"/>
      <c r="AY283" s="240"/>
      <c r="AZ283" s="240"/>
      <c r="BA283" s="43"/>
      <c r="BB283" s="43"/>
      <c r="BC283" s="43"/>
      <c r="BD283" s="43"/>
      <c r="BE283" s="43"/>
      <c r="BF283" s="43"/>
      <c r="BG283" s="296">
        <f t="shared" si="347"/>
        <v>11200000</v>
      </c>
      <c r="BH283" s="296">
        <f t="shared" si="347"/>
        <v>0</v>
      </c>
      <c r="BI283" s="296">
        <f t="shared" si="347"/>
        <v>0</v>
      </c>
    </row>
    <row r="284" spans="1:67" ht="80.25" customHeight="1" x14ac:dyDescent="0.2">
      <c r="A284" s="438"/>
      <c r="B284" s="441"/>
      <c r="C284" s="373"/>
      <c r="D284" s="374"/>
      <c r="E284" s="354">
        <v>1903</v>
      </c>
      <c r="F284" s="356" t="s">
        <v>1012</v>
      </c>
      <c r="G284" s="349" t="s">
        <v>1013</v>
      </c>
      <c r="H284" s="354">
        <v>1903027</v>
      </c>
      <c r="I284" s="355" t="s">
        <v>1014</v>
      </c>
      <c r="J284" s="314" t="s">
        <v>1015</v>
      </c>
      <c r="K284" s="298">
        <v>190302700</v>
      </c>
      <c r="L284" s="306" t="s">
        <v>1016</v>
      </c>
      <c r="M284" s="298" t="s">
        <v>98</v>
      </c>
      <c r="N284" s="298">
        <v>5</v>
      </c>
      <c r="O284" s="298">
        <v>5</v>
      </c>
      <c r="P284" s="298">
        <v>1</v>
      </c>
      <c r="Q284" s="518"/>
      <c r="R284" s="517"/>
      <c r="S284" s="518"/>
      <c r="T284" s="43"/>
      <c r="U284" s="43"/>
      <c r="V284" s="43"/>
      <c r="W284" s="43"/>
      <c r="X284" s="43"/>
      <c r="Y284" s="43"/>
      <c r="Z284" s="43"/>
      <c r="AA284" s="43"/>
      <c r="AB284" s="43"/>
      <c r="AC284" s="43"/>
      <c r="AD284" s="43"/>
      <c r="AE284" s="43"/>
      <c r="AF284" s="43">
        <f>200000000-188800000</f>
        <v>11200000</v>
      </c>
      <c r="AG284" s="43">
        <v>9333333</v>
      </c>
      <c r="AH284" s="43">
        <v>0</v>
      </c>
      <c r="AI284" s="181"/>
      <c r="AJ284" s="181"/>
      <c r="AK284" s="181"/>
      <c r="AL284" s="43"/>
      <c r="AM284" s="43"/>
      <c r="AN284" s="43"/>
      <c r="AO284" s="43"/>
      <c r="AP284" s="43"/>
      <c r="AQ284" s="43"/>
      <c r="AR284" s="43"/>
      <c r="AS284" s="43"/>
      <c r="AT284" s="43"/>
      <c r="AU284" s="43"/>
      <c r="AV284" s="43"/>
      <c r="AW284" s="43"/>
      <c r="AX284" s="240"/>
      <c r="AY284" s="240"/>
      <c r="AZ284" s="240"/>
      <c r="BA284" s="43"/>
      <c r="BB284" s="43"/>
      <c r="BC284" s="43"/>
      <c r="BD284" s="43"/>
      <c r="BE284" s="43"/>
      <c r="BF284" s="43"/>
      <c r="BG284" s="296">
        <f t="shared" si="347"/>
        <v>11200000</v>
      </c>
      <c r="BH284" s="296">
        <f t="shared" si="347"/>
        <v>9333333</v>
      </c>
      <c r="BI284" s="296">
        <f t="shared" si="347"/>
        <v>0</v>
      </c>
    </row>
    <row r="285" spans="1:67" ht="62.25" customHeight="1" x14ac:dyDescent="0.2">
      <c r="A285" s="438"/>
      <c r="B285" s="441"/>
      <c r="C285" s="373"/>
      <c r="D285" s="374"/>
      <c r="E285" s="354">
        <v>1903</v>
      </c>
      <c r="F285" s="356" t="s">
        <v>1065</v>
      </c>
      <c r="G285" s="345" t="s">
        <v>1018</v>
      </c>
      <c r="H285" s="354">
        <v>1903011</v>
      </c>
      <c r="I285" s="355" t="s">
        <v>1019</v>
      </c>
      <c r="J285" s="315" t="s">
        <v>1020</v>
      </c>
      <c r="K285" s="298">
        <v>190301100</v>
      </c>
      <c r="L285" s="306" t="s">
        <v>1021</v>
      </c>
      <c r="M285" s="298" t="s">
        <v>98</v>
      </c>
      <c r="N285" s="298">
        <v>140</v>
      </c>
      <c r="O285" s="298">
        <v>140</v>
      </c>
      <c r="P285" s="298">
        <v>54</v>
      </c>
      <c r="Q285" s="518"/>
      <c r="R285" s="517"/>
      <c r="S285" s="518"/>
      <c r="T285" s="43"/>
      <c r="U285" s="43"/>
      <c r="V285" s="43"/>
      <c r="W285" s="43"/>
      <c r="X285" s="43"/>
      <c r="Y285" s="43"/>
      <c r="Z285" s="43"/>
      <c r="AA285" s="43"/>
      <c r="AB285" s="43"/>
      <c r="AC285" s="43"/>
      <c r="AD285" s="43"/>
      <c r="AE285" s="43"/>
      <c r="AF285" s="43">
        <v>20000000</v>
      </c>
      <c r="AG285" s="43">
        <v>0</v>
      </c>
      <c r="AH285" s="43">
        <v>0</v>
      </c>
      <c r="AI285" s="43"/>
      <c r="AJ285" s="43"/>
      <c r="AK285" s="43"/>
      <c r="AL285" s="43"/>
      <c r="AM285" s="43"/>
      <c r="AN285" s="43"/>
      <c r="AO285" s="43"/>
      <c r="AP285" s="43"/>
      <c r="AQ285" s="43"/>
      <c r="AR285" s="43"/>
      <c r="AS285" s="43"/>
      <c r="AT285" s="43"/>
      <c r="AU285" s="43"/>
      <c r="AV285" s="43"/>
      <c r="AW285" s="43"/>
      <c r="AX285" s="240"/>
      <c r="AY285" s="240"/>
      <c r="AZ285" s="240"/>
      <c r="BA285" s="43"/>
      <c r="BB285" s="43"/>
      <c r="BC285" s="43"/>
      <c r="BD285" s="43"/>
      <c r="BE285" s="43"/>
      <c r="BF285" s="43"/>
      <c r="BG285" s="296">
        <f t="shared" si="347"/>
        <v>20000000</v>
      </c>
      <c r="BH285" s="296">
        <f t="shared" si="347"/>
        <v>0</v>
      </c>
      <c r="BI285" s="296">
        <f t="shared" si="347"/>
        <v>0</v>
      </c>
    </row>
    <row r="286" spans="1:67" ht="103.5" customHeight="1" x14ac:dyDescent="0.2">
      <c r="A286" s="438"/>
      <c r="B286" s="441"/>
      <c r="C286" s="373"/>
      <c r="D286" s="374"/>
      <c r="E286" s="354">
        <v>1903</v>
      </c>
      <c r="F286" s="356" t="s">
        <v>1457</v>
      </c>
      <c r="G286" s="345" t="s">
        <v>1022</v>
      </c>
      <c r="H286" s="354">
        <v>1903001</v>
      </c>
      <c r="I286" s="355" t="s">
        <v>589</v>
      </c>
      <c r="J286" s="315" t="s">
        <v>1023</v>
      </c>
      <c r="K286" s="298">
        <v>190300100</v>
      </c>
      <c r="L286" s="304" t="s">
        <v>1024</v>
      </c>
      <c r="M286" s="298" t="s">
        <v>98</v>
      </c>
      <c r="N286" s="298">
        <v>1</v>
      </c>
      <c r="O286" s="298">
        <v>1</v>
      </c>
      <c r="P286" s="298">
        <v>1</v>
      </c>
      <c r="Q286" s="516" t="s">
        <v>197</v>
      </c>
      <c r="R286" s="517" t="s">
        <v>1025</v>
      </c>
      <c r="S286" s="518" t="s">
        <v>1026</v>
      </c>
      <c r="T286" s="43"/>
      <c r="U286" s="43"/>
      <c r="V286" s="43"/>
      <c r="W286" s="43"/>
      <c r="X286" s="43"/>
      <c r="Y286" s="43"/>
      <c r="Z286" s="43"/>
      <c r="AA286" s="43"/>
      <c r="AB286" s="43"/>
      <c r="AC286" s="43"/>
      <c r="AD286" s="43"/>
      <c r="AE286" s="43"/>
      <c r="AF286" s="43">
        <v>81470000</v>
      </c>
      <c r="AG286" s="43">
        <v>44146666</v>
      </c>
      <c r="AH286" s="43">
        <v>17733333</v>
      </c>
      <c r="AI286" s="43"/>
      <c r="AJ286" s="43"/>
      <c r="AK286" s="43"/>
      <c r="AL286" s="43"/>
      <c r="AM286" s="43"/>
      <c r="AN286" s="43"/>
      <c r="AO286" s="43"/>
      <c r="AP286" s="43"/>
      <c r="AQ286" s="43"/>
      <c r="AR286" s="43"/>
      <c r="AS286" s="43"/>
      <c r="AT286" s="43"/>
      <c r="AU286" s="43"/>
      <c r="AV286" s="43"/>
      <c r="AW286" s="43"/>
      <c r="AX286" s="49"/>
      <c r="AY286" s="49"/>
      <c r="AZ286" s="49"/>
      <c r="BA286" s="43"/>
      <c r="BB286" s="43"/>
      <c r="BC286" s="43"/>
      <c r="BD286" s="43"/>
      <c r="BE286" s="43"/>
      <c r="BF286" s="43"/>
      <c r="BG286" s="296">
        <f t="shared" si="347"/>
        <v>81470000</v>
      </c>
      <c r="BH286" s="296">
        <f t="shared" si="347"/>
        <v>44146666</v>
      </c>
      <c r="BI286" s="296">
        <f t="shared" si="347"/>
        <v>17733333</v>
      </c>
    </row>
    <row r="287" spans="1:67" ht="74.25" customHeight="1" x14ac:dyDescent="0.2">
      <c r="A287" s="438"/>
      <c r="B287" s="441"/>
      <c r="C287" s="373"/>
      <c r="D287" s="374"/>
      <c r="E287" s="354">
        <v>1903</v>
      </c>
      <c r="F287" s="356" t="s">
        <v>1027</v>
      </c>
      <c r="G287" s="226" t="s">
        <v>1028</v>
      </c>
      <c r="H287" s="354">
        <v>1903015</v>
      </c>
      <c r="I287" s="355" t="s">
        <v>1029</v>
      </c>
      <c r="J287" s="354" t="s">
        <v>1030</v>
      </c>
      <c r="K287" s="298">
        <v>190301500</v>
      </c>
      <c r="L287" s="355" t="s">
        <v>1031</v>
      </c>
      <c r="M287" s="298" t="s">
        <v>98</v>
      </c>
      <c r="N287" s="298">
        <v>12</v>
      </c>
      <c r="O287" s="298">
        <v>12</v>
      </c>
      <c r="P287" s="298">
        <v>3</v>
      </c>
      <c r="Q287" s="516"/>
      <c r="R287" s="517"/>
      <c r="S287" s="518"/>
      <c r="T287" s="43"/>
      <c r="U287" s="43"/>
      <c r="V287" s="43"/>
      <c r="W287" s="43"/>
      <c r="X287" s="43"/>
      <c r="Y287" s="43"/>
      <c r="Z287" s="43"/>
      <c r="AA287" s="43"/>
      <c r="AB287" s="43"/>
      <c r="AC287" s="43"/>
      <c r="AD287" s="43"/>
      <c r="AE287" s="43"/>
      <c r="AF287" s="43">
        <f>236000000-2000000</f>
        <v>234000000</v>
      </c>
      <c r="AG287" s="43">
        <v>91293332</v>
      </c>
      <c r="AH287" s="43">
        <v>39880000</v>
      </c>
      <c r="AI287" s="43"/>
      <c r="AJ287" s="43"/>
      <c r="AK287" s="43"/>
      <c r="AL287" s="43"/>
      <c r="AM287" s="43"/>
      <c r="AN287" s="43"/>
      <c r="AO287" s="43"/>
      <c r="AP287" s="43"/>
      <c r="AQ287" s="43"/>
      <c r="AR287" s="43"/>
      <c r="AS287" s="43"/>
      <c r="AT287" s="43"/>
      <c r="AU287" s="43"/>
      <c r="AV287" s="43"/>
      <c r="AW287" s="43"/>
      <c r="AX287" s="49"/>
      <c r="AY287" s="49"/>
      <c r="AZ287" s="49"/>
      <c r="BA287" s="43"/>
      <c r="BB287" s="43"/>
      <c r="BC287" s="43"/>
      <c r="BD287" s="43"/>
      <c r="BE287" s="43"/>
      <c r="BF287" s="43"/>
      <c r="BG287" s="296">
        <f t="shared" si="347"/>
        <v>234000000</v>
      </c>
      <c r="BH287" s="296">
        <f t="shared" si="347"/>
        <v>91293332</v>
      </c>
      <c r="BI287" s="296">
        <f t="shared" si="347"/>
        <v>39880000</v>
      </c>
    </row>
    <row r="288" spans="1:67" ht="98.25" customHeight="1" x14ac:dyDescent="0.2">
      <c r="A288" s="438"/>
      <c r="B288" s="441"/>
      <c r="C288" s="373"/>
      <c r="D288" s="374"/>
      <c r="E288" s="354">
        <v>1903</v>
      </c>
      <c r="F288" s="356" t="s">
        <v>1458</v>
      </c>
      <c r="G288" s="226" t="s">
        <v>1032</v>
      </c>
      <c r="H288" s="354">
        <v>1903012</v>
      </c>
      <c r="I288" s="355" t="s">
        <v>1033</v>
      </c>
      <c r="J288" s="354" t="s">
        <v>1034</v>
      </c>
      <c r="K288" s="298">
        <v>190301200</v>
      </c>
      <c r="L288" s="355" t="s">
        <v>1035</v>
      </c>
      <c r="M288" s="298" t="s">
        <v>98</v>
      </c>
      <c r="N288" s="298">
        <v>4000</v>
      </c>
      <c r="O288" s="298">
        <v>4000</v>
      </c>
      <c r="P288" s="298">
        <v>11056</v>
      </c>
      <c r="Q288" s="524" t="s">
        <v>197</v>
      </c>
      <c r="R288" s="517" t="s">
        <v>1036</v>
      </c>
      <c r="S288" s="518" t="s">
        <v>1037</v>
      </c>
      <c r="T288" s="43"/>
      <c r="U288" s="43"/>
      <c r="V288" s="43"/>
      <c r="W288" s="43"/>
      <c r="X288" s="43"/>
      <c r="Y288" s="43"/>
      <c r="Z288" s="43"/>
      <c r="AA288" s="43"/>
      <c r="AB288" s="43"/>
      <c r="AC288" s="43"/>
      <c r="AD288" s="43"/>
      <c r="AE288" s="43"/>
      <c r="AF288" s="61">
        <f>803501477-19489759-11348333</f>
        <v>772663385</v>
      </c>
      <c r="AG288" s="61">
        <v>198323444</v>
      </c>
      <c r="AH288" s="61">
        <v>97443746</v>
      </c>
      <c r="AI288" s="61"/>
      <c r="AJ288" s="61"/>
      <c r="AK288" s="61"/>
      <c r="AL288" s="43"/>
      <c r="AM288" s="43"/>
      <c r="AN288" s="43"/>
      <c r="AO288" s="43"/>
      <c r="AP288" s="43"/>
      <c r="AQ288" s="43"/>
      <c r="AR288" s="43"/>
      <c r="AS288" s="43"/>
      <c r="AT288" s="43"/>
      <c r="AU288" s="43"/>
      <c r="AV288" s="43"/>
      <c r="AW288" s="43"/>
      <c r="AX288" s="49">
        <f>243062000-243062000</f>
        <v>0</v>
      </c>
      <c r="AY288" s="49"/>
      <c r="AZ288" s="49"/>
      <c r="BA288" s="43"/>
      <c r="BB288" s="43"/>
      <c r="BC288" s="43"/>
      <c r="BD288" s="43">
        <v>95200000</v>
      </c>
      <c r="BE288" s="43">
        <v>38586656</v>
      </c>
      <c r="BF288" s="43">
        <v>5300000</v>
      </c>
      <c r="BG288" s="296">
        <f t="shared" si="347"/>
        <v>867863385</v>
      </c>
      <c r="BH288" s="296">
        <f t="shared" si="347"/>
        <v>236910100</v>
      </c>
      <c r="BI288" s="296">
        <f t="shared" si="347"/>
        <v>102743746</v>
      </c>
    </row>
    <row r="289" spans="1:61" ht="82.5" customHeight="1" x14ac:dyDescent="0.2">
      <c r="A289" s="438"/>
      <c r="B289" s="441"/>
      <c r="C289" s="373"/>
      <c r="D289" s="374"/>
      <c r="E289" s="354">
        <v>1903</v>
      </c>
      <c r="F289" s="356" t="s">
        <v>1038</v>
      </c>
      <c r="G289" s="226" t="s">
        <v>1039</v>
      </c>
      <c r="H289" s="354">
        <v>1903016</v>
      </c>
      <c r="I289" s="355" t="s">
        <v>1040</v>
      </c>
      <c r="J289" s="354" t="s">
        <v>1041</v>
      </c>
      <c r="K289" s="298">
        <v>190301600</v>
      </c>
      <c r="L289" s="304" t="s">
        <v>1042</v>
      </c>
      <c r="M289" s="298" t="s">
        <v>98</v>
      </c>
      <c r="N289" s="298">
        <v>240</v>
      </c>
      <c r="O289" s="298">
        <v>240</v>
      </c>
      <c r="P289" s="298">
        <v>48</v>
      </c>
      <c r="Q289" s="524"/>
      <c r="R289" s="517"/>
      <c r="S289" s="518"/>
      <c r="T289" s="43"/>
      <c r="U289" s="43"/>
      <c r="V289" s="43"/>
      <c r="W289" s="43"/>
      <c r="X289" s="43"/>
      <c r="Y289" s="43"/>
      <c r="Z289" s="43"/>
      <c r="AA289" s="43"/>
      <c r="AB289" s="43"/>
      <c r="AC289" s="43"/>
      <c r="AD289" s="43"/>
      <c r="AE289" s="43"/>
      <c r="AF289" s="61">
        <f>100000000+11348333</f>
        <v>111348333</v>
      </c>
      <c r="AG289" s="61">
        <v>39412333</v>
      </c>
      <c r="AH289" s="61">
        <v>18364333</v>
      </c>
      <c r="AI289" s="43"/>
      <c r="AJ289" s="43"/>
      <c r="AK289" s="43"/>
      <c r="AL289" s="43"/>
      <c r="AM289" s="43"/>
      <c r="AN289" s="43"/>
      <c r="AO289" s="43"/>
      <c r="AP289" s="43"/>
      <c r="AQ289" s="43"/>
      <c r="AR289" s="43"/>
      <c r="AS289" s="43"/>
      <c r="AT289" s="43"/>
      <c r="AU289" s="43"/>
      <c r="AV289" s="43"/>
      <c r="AW289" s="43"/>
      <c r="AX289" s="49"/>
      <c r="AY289" s="49"/>
      <c r="AZ289" s="49"/>
      <c r="BA289" s="43"/>
      <c r="BB289" s="43"/>
      <c r="BC289" s="43"/>
      <c r="BD289" s="43"/>
      <c r="BE289" s="43"/>
      <c r="BF289" s="43"/>
      <c r="BG289" s="296">
        <f t="shared" si="347"/>
        <v>111348333</v>
      </c>
      <c r="BH289" s="296">
        <f t="shared" si="347"/>
        <v>39412333</v>
      </c>
      <c r="BI289" s="296">
        <f t="shared" si="347"/>
        <v>18364333</v>
      </c>
    </row>
    <row r="290" spans="1:61" s="202" customFormat="1" ht="88.5" customHeight="1" x14ac:dyDescent="0.2">
      <c r="A290" s="456"/>
      <c r="B290" s="457"/>
      <c r="C290" s="382"/>
      <c r="D290" s="353"/>
      <c r="E290" s="354">
        <v>1903</v>
      </c>
      <c r="F290" s="243" t="s">
        <v>1017</v>
      </c>
      <c r="G290" s="345" t="s">
        <v>1018</v>
      </c>
      <c r="H290" s="361">
        <v>1903011</v>
      </c>
      <c r="I290" s="362" t="s">
        <v>1019</v>
      </c>
      <c r="J290" s="315" t="s">
        <v>1043</v>
      </c>
      <c r="K290" s="303">
        <v>190301101</v>
      </c>
      <c r="L290" s="362" t="s">
        <v>1044</v>
      </c>
      <c r="M290" s="303" t="s">
        <v>98</v>
      </c>
      <c r="N290" s="303">
        <v>12</v>
      </c>
      <c r="O290" s="303">
        <v>12</v>
      </c>
      <c r="P290" s="303">
        <v>5</v>
      </c>
      <c r="Q290" s="524"/>
      <c r="R290" s="517"/>
      <c r="S290" s="518"/>
      <c r="T290" s="43"/>
      <c r="U290" s="43"/>
      <c r="V290" s="43"/>
      <c r="W290" s="43"/>
      <c r="X290" s="43"/>
      <c r="Y290" s="43"/>
      <c r="Z290" s="43"/>
      <c r="AA290" s="43"/>
      <c r="AB290" s="43"/>
      <c r="AC290" s="43"/>
      <c r="AD290" s="43"/>
      <c r="AE290" s="43"/>
      <c r="AF290" s="61">
        <v>100000000</v>
      </c>
      <c r="AG290" s="61">
        <v>11828600</v>
      </c>
      <c r="AH290" s="61">
        <v>11828600</v>
      </c>
      <c r="AI290" s="43"/>
      <c r="AJ290" s="43"/>
      <c r="AK290" s="43"/>
      <c r="AL290" s="43"/>
      <c r="AM290" s="43"/>
      <c r="AN290" s="43"/>
      <c r="AO290" s="43"/>
      <c r="AP290" s="43"/>
      <c r="AQ290" s="43"/>
      <c r="AR290" s="43"/>
      <c r="AS290" s="43"/>
      <c r="AT290" s="43"/>
      <c r="AU290" s="43"/>
      <c r="AV290" s="43"/>
      <c r="AW290" s="43"/>
      <c r="AX290" s="49"/>
      <c r="AY290" s="49"/>
      <c r="AZ290" s="49"/>
      <c r="BA290" s="43"/>
      <c r="BB290" s="43"/>
      <c r="BC290" s="43"/>
      <c r="BD290" s="43"/>
      <c r="BE290" s="43"/>
      <c r="BF290" s="43"/>
      <c r="BG290" s="201">
        <f t="shared" si="347"/>
        <v>100000000</v>
      </c>
      <c r="BH290" s="201">
        <f t="shared" si="347"/>
        <v>11828600</v>
      </c>
      <c r="BI290" s="201">
        <f t="shared" si="347"/>
        <v>11828600</v>
      </c>
    </row>
    <row r="291" spans="1:61" ht="66" customHeight="1" x14ac:dyDescent="0.2">
      <c r="A291" s="438"/>
      <c r="B291" s="441"/>
      <c r="C291" s="373"/>
      <c r="D291" s="374"/>
      <c r="E291" s="354">
        <v>1903</v>
      </c>
      <c r="F291" s="356" t="s">
        <v>1012</v>
      </c>
      <c r="G291" s="349" t="s">
        <v>1510</v>
      </c>
      <c r="H291" s="354">
        <v>1903031</v>
      </c>
      <c r="I291" s="355" t="s">
        <v>1045</v>
      </c>
      <c r="J291" s="314" t="s">
        <v>1046</v>
      </c>
      <c r="K291" s="298">
        <v>190303100</v>
      </c>
      <c r="L291" s="306" t="s">
        <v>1047</v>
      </c>
      <c r="M291" s="298" t="s">
        <v>98</v>
      </c>
      <c r="N291" s="298">
        <v>12</v>
      </c>
      <c r="O291" s="298">
        <v>12</v>
      </c>
      <c r="P291" s="298">
        <v>12</v>
      </c>
      <c r="Q291" s="423" t="s">
        <v>197</v>
      </c>
      <c r="R291" s="354" t="s">
        <v>1048</v>
      </c>
      <c r="S291" s="355" t="s">
        <v>1049</v>
      </c>
      <c r="T291" s="43"/>
      <c r="U291" s="43"/>
      <c r="V291" s="43"/>
      <c r="W291" s="43"/>
      <c r="X291" s="43"/>
      <c r="Y291" s="43"/>
      <c r="Z291" s="43"/>
      <c r="AA291" s="43"/>
      <c r="AB291" s="43"/>
      <c r="AC291" s="43"/>
      <c r="AD291" s="43"/>
      <c r="AE291" s="43"/>
      <c r="AF291" s="61">
        <f>400000000-20000000</f>
        <v>380000000</v>
      </c>
      <c r="AG291" s="61">
        <v>152964994</v>
      </c>
      <c r="AH291" s="61">
        <v>77833331</v>
      </c>
      <c r="AI291" s="43"/>
      <c r="AJ291" s="43"/>
      <c r="AK291" s="43"/>
      <c r="AL291" s="43"/>
      <c r="AM291" s="43"/>
      <c r="AN291" s="43"/>
      <c r="AO291" s="43"/>
      <c r="AP291" s="43"/>
      <c r="AQ291" s="43"/>
      <c r="AR291" s="43"/>
      <c r="AS291" s="43"/>
      <c r="AT291" s="43"/>
      <c r="AU291" s="43"/>
      <c r="AV291" s="43"/>
      <c r="AW291" s="43"/>
      <c r="AX291" s="49"/>
      <c r="AY291" s="49"/>
      <c r="AZ291" s="49"/>
      <c r="BA291" s="43"/>
      <c r="BB291" s="43"/>
      <c r="BC291" s="43"/>
      <c r="BD291" s="43">
        <v>256000000</v>
      </c>
      <c r="BE291" s="43">
        <v>211246664</v>
      </c>
      <c r="BF291" s="43">
        <v>35500000</v>
      </c>
      <c r="BG291" s="296">
        <f t="shared" si="347"/>
        <v>636000000</v>
      </c>
      <c r="BH291" s="296">
        <f t="shared" si="347"/>
        <v>364211658</v>
      </c>
      <c r="BI291" s="296">
        <f t="shared" si="347"/>
        <v>113333331</v>
      </c>
    </row>
    <row r="292" spans="1:61" ht="77.25" customHeight="1" x14ac:dyDescent="0.2">
      <c r="A292" s="438"/>
      <c r="B292" s="441"/>
      <c r="C292" s="375"/>
      <c r="D292" s="354"/>
      <c r="E292" s="354">
        <v>1903</v>
      </c>
      <c r="F292" s="356" t="s">
        <v>1017</v>
      </c>
      <c r="G292" s="226" t="s">
        <v>1050</v>
      </c>
      <c r="H292" s="354">
        <v>1903034</v>
      </c>
      <c r="I292" s="355" t="s">
        <v>367</v>
      </c>
      <c r="J292" s="354" t="s">
        <v>1051</v>
      </c>
      <c r="K292" s="298">
        <v>190303400</v>
      </c>
      <c r="L292" s="355" t="s">
        <v>1052</v>
      </c>
      <c r="M292" s="298" t="s">
        <v>98</v>
      </c>
      <c r="N292" s="298">
        <v>12</v>
      </c>
      <c r="O292" s="298">
        <v>12</v>
      </c>
      <c r="P292" s="298">
        <v>7</v>
      </c>
      <c r="Q292" s="423" t="s">
        <v>197</v>
      </c>
      <c r="R292" s="354" t="s">
        <v>1053</v>
      </c>
      <c r="S292" s="355" t="s">
        <v>1054</v>
      </c>
      <c r="T292" s="43"/>
      <c r="U292" s="43"/>
      <c r="V292" s="43"/>
      <c r="W292" s="43"/>
      <c r="X292" s="43"/>
      <c r="Y292" s="43"/>
      <c r="Z292" s="43"/>
      <c r="AA292" s="43"/>
      <c r="AB292" s="43"/>
      <c r="AC292" s="43"/>
      <c r="AD292" s="43"/>
      <c r="AE292" s="43"/>
      <c r="AF292" s="43"/>
      <c r="AG292" s="43"/>
      <c r="AH292" s="43"/>
      <c r="AI292" s="61"/>
      <c r="AJ292" s="61"/>
      <c r="AK292" s="61"/>
      <c r="AL292" s="43"/>
      <c r="AM292" s="43"/>
      <c r="AN292" s="43"/>
      <c r="AO292" s="43"/>
      <c r="AP292" s="43"/>
      <c r="AQ292" s="43"/>
      <c r="AR292" s="43"/>
      <c r="AS292" s="43"/>
      <c r="AT292" s="43"/>
      <c r="AU292" s="43"/>
      <c r="AV292" s="43"/>
      <c r="AW292" s="43"/>
      <c r="AX292" s="49">
        <v>96954000</v>
      </c>
      <c r="AY292" s="49">
        <v>54600000</v>
      </c>
      <c r="AZ292" s="49">
        <v>28000000</v>
      </c>
      <c r="BA292" s="43"/>
      <c r="BB292" s="43"/>
      <c r="BC292" s="43"/>
      <c r="BD292" s="43"/>
      <c r="BE292" s="43"/>
      <c r="BF292" s="43"/>
      <c r="BG292" s="296">
        <f t="shared" si="347"/>
        <v>96954000</v>
      </c>
      <c r="BH292" s="296">
        <f t="shared" si="347"/>
        <v>54600000</v>
      </c>
      <c r="BI292" s="296">
        <f t="shared" si="347"/>
        <v>28000000</v>
      </c>
    </row>
    <row r="293" spans="1:61" ht="75" customHeight="1" x14ac:dyDescent="0.2">
      <c r="A293" s="438"/>
      <c r="B293" s="441"/>
      <c r="C293" s="375"/>
      <c r="D293" s="354"/>
      <c r="E293" s="354">
        <v>1903</v>
      </c>
      <c r="F293" s="356" t="s">
        <v>1459</v>
      </c>
      <c r="G293" s="349" t="s">
        <v>1509</v>
      </c>
      <c r="H293" s="354">
        <v>1903045</v>
      </c>
      <c r="I293" s="355" t="s">
        <v>1055</v>
      </c>
      <c r="J293" s="314" t="s">
        <v>1056</v>
      </c>
      <c r="K293" s="298">
        <v>190304500</v>
      </c>
      <c r="L293" s="304" t="s">
        <v>1057</v>
      </c>
      <c r="M293" s="298" t="s">
        <v>188</v>
      </c>
      <c r="N293" s="298">
        <v>2900</v>
      </c>
      <c r="O293" s="298">
        <v>60</v>
      </c>
      <c r="P293" s="298">
        <v>21</v>
      </c>
      <c r="Q293" s="524" t="s">
        <v>197</v>
      </c>
      <c r="R293" s="517" t="s">
        <v>1058</v>
      </c>
      <c r="S293" s="518" t="s">
        <v>1059</v>
      </c>
      <c r="T293" s="43"/>
      <c r="U293" s="43"/>
      <c r="V293" s="43"/>
      <c r="W293" s="43"/>
      <c r="X293" s="43"/>
      <c r="Y293" s="43"/>
      <c r="Z293" s="43"/>
      <c r="AA293" s="43"/>
      <c r="AB293" s="43"/>
      <c r="AC293" s="43"/>
      <c r="AD293" s="43"/>
      <c r="AE293" s="43"/>
      <c r="AF293" s="43"/>
      <c r="AG293" s="43"/>
      <c r="AH293" s="43"/>
      <c r="AI293" s="61"/>
      <c r="AJ293" s="61"/>
      <c r="AK293" s="61"/>
      <c r="AL293" s="43"/>
      <c r="AM293" s="43"/>
      <c r="AN293" s="43"/>
      <c r="AO293" s="43"/>
      <c r="AP293" s="43"/>
      <c r="AQ293" s="43"/>
      <c r="AR293" s="43"/>
      <c r="AS293" s="43"/>
      <c r="AT293" s="43"/>
      <c r="AU293" s="43"/>
      <c r="AV293" s="43"/>
      <c r="AW293" s="43"/>
      <c r="AX293" s="365">
        <f>19636000-7560000+15000000+7560000</f>
        <v>34636000</v>
      </c>
      <c r="AY293" s="365">
        <v>33760000</v>
      </c>
      <c r="AZ293" s="365">
        <v>16314666</v>
      </c>
      <c r="BA293" s="344"/>
      <c r="BB293" s="43"/>
      <c r="BC293" s="43"/>
      <c r="BD293" s="43"/>
      <c r="BE293" s="43"/>
      <c r="BF293" s="43"/>
      <c r="BG293" s="296">
        <f t="shared" si="347"/>
        <v>34636000</v>
      </c>
      <c r="BH293" s="296">
        <f t="shared" si="347"/>
        <v>33760000</v>
      </c>
      <c r="BI293" s="296">
        <f t="shared" si="347"/>
        <v>16314666</v>
      </c>
    </row>
    <row r="294" spans="1:61" ht="99.75" customHeight="1" x14ac:dyDescent="0.2">
      <c r="A294" s="438"/>
      <c r="B294" s="441"/>
      <c r="C294" s="375"/>
      <c r="D294" s="354"/>
      <c r="E294" s="354">
        <v>1903</v>
      </c>
      <c r="F294" s="356" t="s">
        <v>1457</v>
      </c>
      <c r="G294" s="345" t="s">
        <v>1022</v>
      </c>
      <c r="H294" s="354">
        <v>1903001</v>
      </c>
      <c r="I294" s="355" t="s">
        <v>589</v>
      </c>
      <c r="J294" s="315" t="s">
        <v>1023</v>
      </c>
      <c r="K294" s="298">
        <v>190300100</v>
      </c>
      <c r="L294" s="304" t="s">
        <v>1024</v>
      </c>
      <c r="M294" s="298" t="s">
        <v>98</v>
      </c>
      <c r="N294" s="298">
        <v>1</v>
      </c>
      <c r="O294" s="354">
        <v>1</v>
      </c>
      <c r="P294" s="354">
        <v>0.5</v>
      </c>
      <c r="Q294" s="524"/>
      <c r="R294" s="517"/>
      <c r="S294" s="518"/>
      <c r="T294" s="43"/>
      <c r="U294" s="43"/>
      <c r="V294" s="43"/>
      <c r="W294" s="43"/>
      <c r="X294" s="43"/>
      <c r="Y294" s="43"/>
      <c r="Z294" s="43"/>
      <c r="AA294" s="43"/>
      <c r="AB294" s="43"/>
      <c r="AC294" s="43"/>
      <c r="AD294" s="43"/>
      <c r="AE294" s="43"/>
      <c r="AF294" s="43"/>
      <c r="AG294" s="43"/>
      <c r="AH294" s="43"/>
      <c r="AI294" s="61"/>
      <c r="AJ294" s="61"/>
      <c r="AK294" s="61"/>
      <c r="AL294" s="43"/>
      <c r="AM294" s="43"/>
      <c r="AN294" s="43"/>
      <c r="AO294" s="43"/>
      <c r="AP294" s="43"/>
      <c r="AQ294" s="43"/>
      <c r="AR294" s="43"/>
      <c r="AS294" s="43"/>
      <c r="AT294" s="43"/>
      <c r="AU294" s="43"/>
      <c r="AV294" s="43"/>
      <c r="AW294" s="43"/>
      <c r="AX294" s="365"/>
      <c r="AY294" s="365"/>
      <c r="AZ294" s="365"/>
      <c r="BA294" s="43"/>
      <c r="BB294" s="43"/>
      <c r="BC294" s="43"/>
      <c r="BD294" s="43"/>
      <c r="BE294" s="43"/>
      <c r="BF294" s="43"/>
      <c r="BG294" s="296">
        <f t="shared" si="347"/>
        <v>0</v>
      </c>
      <c r="BH294" s="296">
        <f t="shared" si="347"/>
        <v>0</v>
      </c>
      <c r="BI294" s="296">
        <f t="shared" si="347"/>
        <v>0</v>
      </c>
    </row>
    <row r="295" spans="1:61" s="202" customFormat="1" ht="71.25" customHeight="1" x14ac:dyDescent="0.2">
      <c r="A295" s="456"/>
      <c r="B295" s="457"/>
      <c r="C295" s="398"/>
      <c r="D295" s="361"/>
      <c r="E295" s="354">
        <v>1903</v>
      </c>
      <c r="F295" s="316" t="s">
        <v>1060</v>
      </c>
      <c r="G295" s="345" t="s">
        <v>1061</v>
      </c>
      <c r="H295" s="303">
        <v>1903010</v>
      </c>
      <c r="I295" s="316" t="s">
        <v>1062</v>
      </c>
      <c r="J295" s="315" t="s">
        <v>1063</v>
      </c>
      <c r="K295" s="303">
        <v>190301000</v>
      </c>
      <c r="L295" s="316" t="s">
        <v>1064</v>
      </c>
      <c r="M295" s="303" t="s">
        <v>98</v>
      </c>
      <c r="N295" s="303">
        <v>12</v>
      </c>
      <c r="O295" s="303">
        <v>12</v>
      </c>
      <c r="P295" s="303">
        <v>10</v>
      </c>
      <c r="Q295" s="524"/>
      <c r="R295" s="517"/>
      <c r="S295" s="518"/>
      <c r="T295" s="43"/>
      <c r="U295" s="43"/>
      <c r="V295" s="43"/>
      <c r="W295" s="43"/>
      <c r="X295" s="43"/>
      <c r="Y295" s="43"/>
      <c r="Z295" s="43"/>
      <c r="AA295" s="43"/>
      <c r="AB295" s="43"/>
      <c r="AC295" s="43"/>
      <c r="AD295" s="43"/>
      <c r="AE295" s="43"/>
      <c r="AF295" s="43"/>
      <c r="AG295" s="43"/>
      <c r="AH295" s="43"/>
      <c r="AI295" s="61"/>
      <c r="AJ295" s="61"/>
      <c r="AK295" s="61"/>
      <c r="AL295" s="43"/>
      <c r="AM295" s="43"/>
      <c r="AN295" s="43"/>
      <c r="AO295" s="43"/>
      <c r="AP295" s="43"/>
      <c r="AQ295" s="43"/>
      <c r="AR295" s="43"/>
      <c r="AS295" s="43"/>
      <c r="AT295" s="43"/>
      <c r="AU295" s="43"/>
      <c r="AV295" s="43"/>
      <c r="AW295" s="43"/>
      <c r="AX295" s="49">
        <v>15000000</v>
      </c>
      <c r="AY295" s="49">
        <v>14200000</v>
      </c>
      <c r="AZ295" s="49">
        <v>7200000</v>
      </c>
      <c r="BA295" s="43"/>
      <c r="BB295" s="43"/>
      <c r="BC295" s="43"/>
      <c r="BD295" s="43"/>
      <c r="BE295" s="43"/>
      <c r="BF295" s="43"/>
      <c r="BG295" s="201">
        <f t="shared" si="347"/>
        <v>15000000</v>
      </c>
      <c r="BH295" s="201">
        <f t="shared" si="347"/>
        <v>14200000</v>
      </c>
      <c r="BI295" s="201">
        <f t="shared" si="347"/>
        <v>7200000</v>
      </c>
    </row>
    <row r="296" spans="1:61" s="202" customFormat="1" ht="71.25" customHeight="1" x14ac:dyDescent="0.2">
      <c r="A296" s="456"/>
      <c r="B296" s="457"/>
      <c r="C296" s="382"/>
      <c r="D296" s="361"/>
      <c r="E296" s="354">
        <v>1903</v>
      </c>
      <c r="F296" s="243" t="s">
        <v>1065</v>
      </c>
      <c r="G296" s="345" t="s">
        <v>1018</v>
      </c>
      <c r="H296" s="361">
        <v>1903011</v>
      </c>
      <c r="I296" s="362" t="s">
        <v>1019</v>
      </c>
      <c r="J296" s="315" t="s">
        <v>1043</v>
      </c>
      <c r="K296" s="303">
        <v>190301101</v>
      </c>
      <c r="L296" s="362" t="s">
        <v>1044</v>
      </c>
      <c r="M296" s="303" t="s">
        <v>98</v>
      </c>
      <c r="N296" s="303">
        <v>12</v>
      </c>
      <c r="O296" s="303">
        <v>12</v>
      </c>
      <c r="P296" s="303">
        <v>6</v>
      </c>
      <c r="Q296" s="524"/>
      <c r="R296" s="517"/>
      <c r="S296" s="518"/>
      <c r="T296" s="43"/>
      <c r="U296" s="43"/>
      <c r="V296" s="43"/>
      <c r="W296" s="43"/>
      <c r="X296" s="43"/>
      <c r="Y296" s="43"/>
      <c r="Z296" s="43"/>
      <c r="AA296" s="43"/>
      <c r="AB296" s="43"/>
      <c r="AC296" s="43"/>
      <c r="AD296" s="43"/>
      <c r="AE296" s="43"/>
      <c r="AF296" s="43"/>
      <c r="AG296" s="43"/>
      <c r="AH296" s="43"/>
      <c r="AI296" s="61"/>
      <c r="AJ296" s="61"/>
      <c r="AK296" s="61"/>
      <c r="AL296" s="43"/>
      <c r="AM296" s="43"/>
      <c r="AN296" s="43"/>
      <c r="AO296" s="43"/>
      <c r="AP296" s="43"/>
      <c r="AQ296" s="43"/>
      <c r="AR296" s="43"/>
      <c r="AS296" s="43"/>
      <c r="AT296" s="43"/>
      <c r="AU296" s="43"/>
      <c r="AV296" s="43"/>
      <c r="AW296" s="43"/>
      <c r="AX296" s="49">
        <v>15000000</v>
      </c>
      <c r="AY296" s="49">
        <v>14800000</v>
      </c>
      <c r="AZ296" s="49">
        <v>7600000</v>
      </c>
      <c r="BA296" s="43"/>
      <c r="BB296" s="43"/>
      <c r="BC296" s="43"/>
      <c r="BD296" s="43"/>
      <c r="BE296" s="43"/>
      <c r="BF296" s="43"/>
      <c r="BG296" s="201">
        <f t="shared" si="347"/>
        <v>15000000</v>
      </c>
      <c r="BH296" s="201">
        <f t="shared" si="347"/>
        <v>14800000</v>
      </c>
      <c r="BI296" s="201">
        <f t="shared" si="347"/>
        <v>7600000</v>
      </c>
    </row>
    <row r="297" spans="1:61" ht="66" customHeight="1" x14ac:dyDescent="0.2">
      <c r="A297" s="438"/>
      <c r="B297" s="441"/>
      <c r="C297" s="375"/>
      <c r="D297" s="354"/>
      <c r="E297" s="354">
        <v>1903</v>
      </c>
      <c r="F297" s="356" t="s">
        <v>1066</v>
      </c>
      <c r="G297" s="349" t="s">
        <v>1067</v>
      </c>
      <c r="H297" s="354">
        <v>1903047</v>
      </c>
      <c r="I297" s="355" t="s">
        <v>1068</v>
      </c>
      <c r="J297" s="314" t="s">
        <v>1069</v>
      </c>
      <c r="K297" s="298">
        <v>190304701</v>
      </c>
      <c r="L297" s="304" t="s">
        <v>1070</v>
      </c>
      <c r="M297" s="298" t="s">
        <v>98</v>
      </c>
      <c r="N297" s="298">
        <v>1</v>
      </c>
      <c r="O297" s="298">
        <v>1</v>
      </c>
      <c r="P297" s="298">
        <v>1</v>
      </c>
      <c r="Q297" s="524" t="s">
        <v>197</v>
      </c>
      <c r="R297" s="517" t="s">
        <v>1071</v>
      </c>
      <c r="S297" s="518" t="s">
        <v>1072</v>
      </c>
      <c r="T297" s="43"/>
      <c r="U297" s="43"/>
      <c r="V297" s="43"/>
      <c r="W297" s="43"/>
      <c r="X297" s="43"/>
      <c r="Y297" s="43"/>
      <c r="Z297" s="43"/>
      <c r="AA297" s="43"/>
      <c r="AB297" s="43"/>
      <c r="AC297" s="43"/>
      <c r="AD297" s="43"/>
      <c r="AE297" s="43"/>
      <c r="AF297" s="43"/>
      <c r="AG297" s="43"/>
      <c r="AH297" s="43"/>
      <c r="AI297" s="244">
        <v>20000000</v>
      </c>
      <c r="AJ297" s="244">
        <v>3871334</v>
      </c>
      <c r="AK297" s="244">
        <v>3871334</v>
      </c>
      <c r="AL297" s="43"/>
      <c r="AM297" s="43"/>
      <c r="AN297" s="43"/>
      <c r="AO297" s="43"/>
      <c r="AP297" s="43"/>
      <c r="AQ297" s="43"/>
      <c r="AR297" s="43"/>
      <c r="AS297" s="43"/>
      <c r="AT297" s="43"/>
      <c r="AU297" s="43"/>
      <c r="AV297" s="43"/>
      <c r="AW297" s="43"/>
      <c r="AX297" s="49"/>
      <c r="AY297" s="49"/>
      <c r="AZ297" s="49"/>
      <c r="BA297" s="43"/>
      <c r="BB297" s="43"/>
      <c r="BC297" s="43"/>
      <c r="BD297" s="43"/>
      <c r="BE297" s="43"/>
      <c r="BF297" s="43"/>
      <c r="BG297" s="296">
        <f t="shared" si="347"/>
        <v>20000000</v>
      </c>
      <c r="BH297" s="296">
        <f t="shared" si="347"/>
        <v>3871334</v>
      </c>
      <c r="BI297" s="296">
        <f t="shared" si="347"/>
        <v>3871334</v>
      </c>
    </row>
    <row r="298" spans="1:61" ht="102" customHeight="1" x14ac:dyDescent="0.2">
      <c r="A298" s="438"/>
      <c r="B298" s="441"/>
      <c r="C298" s="375"/>
      <c r="D298" s="354"/>
      <c r="E298" s="354">
        <v>1903</v>
      </c>
      <c r="F298" s="356" t="s">
        <v>1073</v>
      </c>
      <c r="G298" s="345" t="s">
        <v>1074</v>
      </c>
      <c r="H298" s="354">
        <v>1903019</v>
      </c>
      <c r="I298" s="355" t="s">
        <v>1075</v>
      </c>
      <c r="J298" s="315" t="s">
        <v>1076</v>
      </c>
      <c r="K298" s="298">
        <v>190301900</v>
      </c>
      <c r="L298" s="306" t="s">
        <v>1077</v>
      </c>
      <c r="M298" s="298" t="s">
        <v>98</v>
      </c>
      <c r="N298" s="298">
        <v>75</v>
      </c>
      <c r="O298" s="298">
        <v>75</v>
      </c>
      <c r="P298" s="298">
        <v>55</v>
      </c>
      <c r="Q298" s="524"/>
      <c r="R298" s="517"/>
      <c r="S298" s="518"/>
      <c r="T298" s="43"/>
      <c r="U298" s="43"/>
      <c r="V298" s="43"/>
      <c r="W298" s="43"/>
      <c r="X298" s="43"/>
      <c r="Y298" s="43"/>
      <c r="Z298" s="43"/>
      <c r="AA298" s="43"/>
      <c r="AB298" s="43"/>
      <c r="AC298" s="43"/>
      <c r="AD298" s="43"/>
      <c r="AE298" s="43"/>
      <c r="AF298" s="43"/>
      <c r="AG298" s="43"/>
      <c r="AH298" s="344"/>
      <c r="AI298" s="346">
        <f>90000000-78800000</f>
        <v>11200000</v>
      </c>
      <c r="AJ298" s="346">
        <v>0</v>
      </c>
      <c r="AK298" s="346">
        <v>0</v>
      </c>
      <c r="AL298" s="344"/>
      <c r="AM298" s="43"/>
      <c r="AN298" s="43"/>
      <c r="AO298" s="43"/>
      <c r="AP298" s="43"/>
      <c r="AQ298" s="43"/>
      <c r="AR298" s="43"/>
      <c r="AS298" s="43"/>
      <c r="AT298" s="43"/>
      <c r="AU298" s="43"/>
      <c r="AV298" s="43"/>
      <c r="AW298" s="43"/>
      <c r="AX298" s="49"/>
      <c r="AY298" s="49"/>
      <c r="AZ298" s="49"/>
      <c r="BA298" s="43"/>
      <c r="BB298" s="43"/>
      <c r="BC298" s="43"/>
      <c r="BD298" s="43"/>
      <c r="BE298" s="43"/>
      <c r="BF298" s="43"/>
      <c r="BG298" s="296">
        <f t="shared" si="347"/>
        <v>11200000</v>
      </c>
      <c r="BH298" s="296">
        <f t="shared" si="347"/>
        <v>0</v>
      </c>
      <c r="BI298" s="296">
        <f t="shared" si="347"/>
        <v>0</v>
      </c>
    </row>
    <row r="299" spans="1:61" ht="47.25" customHeight="1" x14ac:dyDescent="0.2">
      <c r="A299" s="438"/>
      <c r="B299" s="441"/>
      <c r="C299" s="375"/>
      <c r="D299" s="354"/>
      <c r="E299" s="354">
        <v>1903</v>
      </c>
      <c r="F299" s="356" t="s">
        <v>1078</v>
      </c>
      <c r="G299" s="226" t="s">
        <v>1508</v>
      </c>
      <c r="H299" s="354">
        <v>1903028</v>
      </c>
      <c r="I299" s="355" t="s">
        <v>1079</v>
      </c>
      <c r="J299" s="354" t="s">
        <v>1080</v>
      </c>
      <c r="K299" s="298">
        <v>190302800</v>
      </c>
      <c r="L299" s="355" t="s">
        <v>1081</v>
      </c>
      <c r="M299" s="298" t="s">
        <v>98</v>
      </c>
      <c r="N299" s="298">
        <v>250</v>
      </c>
      <c r="O299" s="298">
        <v>250</v>
      </c>
      <c r="P299" s="298">
        <v>190</v>
      </c>
      <c r="Q299" s="524"/>
      <c r="R299" s="517"/>
      <c r="S299" s="518"/>
      <c r="T299" s="43"/>
      <c r="U299" s="43"/>
      <c r="V299" s="43"/>
      <c r="W299" s="43"/>
      <c r="X299" s="43"/>
      <c r="Y299" s="43"/>
      <c r="Z299" s="43"/>
      <c r="AA299" s="43"/>
      <c r="AB299" s="43"/>
      <c r="AC299" s="43"/>
      <c r="AD299" s="43"/>
      <c r="AE299" s="43"/>
      <c r="AF299" s="43"/>
      <c r="AG299" s="43"/>
      <c r="AH299" s="43"/>
      <c r="AI299" s="346">
        <f>20000000-6000000</f>
        <v>14000000</v>
      </c>
      <c r="AJ299" s="346">
        <v>0</v>
      </c>
      <c r="AK299" s="346">
        <v>0</v>
      </c>
      <c r="AL299" s="43"/>
      <c r="AM299" s="43"/>
      <c r="AN299" s="43"/>
      <c r="AO299" s="43"/>
      <c r="AP299" s="43"/>
      <c r="AQ299" s="43"/>
      <c r="AR299" s="43"/>
      <c r="AS299" s="43"/>
      <c r="AT299" s="43"/>
      <c r="AU299" s="43"/>
      <c r="AV299" s="43"/>
      <c r="AW299" s="43"/>
      <c r="AX299" s="49"/>
      <c r="AY299" s="49"/>
      <c r="AZ299" s="49"/>
      <c r="BA299" s="43"/>
      <c r="BB299" s="43"/>
      <c r="BC299" s="43"/>
      <c r="BD299" s="43"/>
      <c r="BE299" s="43"/>
      <c r="BF299" s="43"/>
      <c r="BG299" s="296">
        <f t="shared" si="347"/>
        <v>14000000</v>
      </c>
      <c r="BH299" s="296">
        <f t="shared" si="347"/>
        <v>0</v>
      </c>
      <c r="BI299" s="296">
        <f t="shared" si="347"/>
        <v>0</v>
      </c>
    </row>
    <row r="300" spans="1:61" ht="85.5" customHeight="1" x14ac:dyDescent="0.2">
      <c r="A300" s="438"/>
      <c r="B300" s="441"/>
      <c r="C300" s="375"/>
      <c r="D300" s="354"/>
      <c r="E300" s="354">
        <v>1903</v>
      </c>
      <c r="F300" s="356" t="s">
        <v>1027</v>
      </c>
      <c r="G300" s="349" t="s">
        <v>1082</v>
      </c>
      <c r="H300" s="354">
        <v>1903025</v>
      </c>
      <c r="I300" s="355" t="s">
        <v>1083</v>
      </c>
      <c r="J300" s="314" t="s">
        <v>1084</v>
      </c>
      <c r="K300" s="298">
        <v>190302500</v>
      </c>
      <c r="L300" s="304" t="s">
        <v>1085</v>
      </c>
      <c r="M300" s="358" t="s">
        <v>98</v>
      </c>
      <c r="N300" s="354">
        <v>12</v>
      </c>
      <c r="O300" s="354">
        <v>12</v>
      </c>
      <c r="P300" s="354">
        <v>10</v>
      </c>
      <c r="Q300" s="524"/>
      <c r="R300" s="517"/>
      <c r="S300" s="518"/>
      <c r="T300" s="43"/>
      <c r="U300" s="43"/>
      <c r="V300" s="43"/>
      <c r="W300" s="43"/>
      <c r="X300" s="43"/>
      <c r="Y300" s="43"/>
      <c r="Z300" s="43"/>
      <c r="AA300" s="43"/>
      <c r="AB300" s="43"/>
      <c r="AC300" s="43"/>
      <c r="AD300" s="43"/>
      <c r="AE300" s="43"/>
      <c r="AF300" s="43"/>
      <c r="AG300" s="43"/>
      <c r="AH300" s="43"/>
      <c r="AI300" s="346">
        <f>20000000+84800000</f>
        <v>104800000</v>
      </c>
      <c r="AJ300" s="346">
        <v>33995333</v>
      </c>
      <c r="AK300" s="346">
        <v>33715333</v>
      </c>
      <c r="AL300" s="344"/>
      <c r="AM300" s="43"/>
      <c r="AN300" s="43"/>
      <c r="AO300" s="43"/>
      <c r="AP300" s="43"/>
      <c r="AQ300" s="43"/>
      <c r="AR300" s="43"/>
      <c r="AS300" s="43"/>
      <c r="AT300" s="43"/>
      <c r="AU300" s="43"/>
      <c r="AV300" s="43"/>
      <c r="AW300" s="43"/>
      <c r="AX300" s="49"/>
      <c r="AY300" s="49"/>
      <c r="AZ300" s="49"/>
      <c r="BA300" s="43"/>
      <c r="BB300" s="43"/>
      <c r="BC300" s="43"/>
      <c r="BD300" s="43"/>
      <c r="BE300" s="43"/>
      <c r="BF300" s="43"/>
      <c r="BG300" s="296">
        <f t="shared" si="347"/>
        <v>104800000</v>
      </c>
      <c r="BH300" s="296">
        <f t="shared" si="347"/>
        <v>33995333</v>
      </c>
      <c r="BI300" s="296">
        <f t="shared" si="347"/>
        <v>33715333</v>
      </c>
    </row>
    <row r="301" spans="1:61" ht="21.75" customHeight="1" x14ac:dyDescent="0.2">
      <c r="A301" s="438"/>
      <c r="B301" s="441"/>
      <c r="C301" s="195">
        <v>12</v>
      </c>
      <c r="D301" s="167">
        <v>1905</v>
      </c>
      <c r="E301" s="357" t="s">
        <v>806</v>
      </c>
      <c r="F301" s="166"/>
      <c r="G301" s="167"/>
      <c r="H301" s="168"/>
      <c r="I301" s="166"/>
      <c r="J301" s="167"/>
      <c r="K301" s="167"/>
      <c r="L301" s="166"/>
      <c r="M301" s="169"/>
      <c r="N301" s="169"/>
      <c r="O301" s="167"/>
      <c r="P301" s="167"/>
      <c r="Q301" s="170"/>
      <c r="R301" s="167"/>
      <c r="S301" s="166"/>
      <c r="T301" s="343">
        <f>SUM(T302:T331)</f>
        <v>0</v>
      </c>
      <c r="U301" s="343"/>
      <c r="V301" s="343"/>
      <c r="W301" s="343">
        <f t="shared" ref="W301:BF301" si="348">SUM(W302:W331)</f>
        <v>0</v>
      </c>
      <c r="X301" s="343"/>
      <c r="Y301" s="343"/>
      <c r="Z301" s="343">
        <f t="shared" si="348"/>
        <v>0</v>
      </c>
      <c r="AA301" s="343"/>
      <c r="AB301" s="343"/>
      <c r="AC301" s="343">
        <f t="shared" si="348"/>
        <v>0</v>
      </c>
      <c r="AD301" s="343"/>
      <c r="AE301" s="343"/>
      <c r="AF301" s="343">
        <f t="shared" si="348"/>
        <v>2565952214.6300001</v>
      </c>
      <c r="AG301" s="343">
        <f t="shared" si="348"/>
        <v>1074050658</v>
      </c>
      <c r="AH301" s="343">
        <f t="shared" si="348"/>
        <v>168485996</v>
      </c>
      <c r="AI301" s="343">
        <f t="shared" si="348"/>
        <v>0</v>
      </c>
      <c r="AJ301" s="343"/>
      <c r="AK301" s="343"/>
      <c r="AL301" s="343">
        <f t="shared" si="348"/>
        <v>0</v>
      </c>
      <c r="AM301" s="343"/>
      <c r="AN301" s="343"/>
      <c r="AO301" s="343">
        <f t="shared" si="348"/>
        <v>0</v>
      </c>
      <c r="AP301" s="343"/>
      <c r="AQ301" s="343"/>
      <c r="AR301" s="343">
        <f t="shared" si="348"/>
        <v>0</v>
      </c>
      <c r="AS301" s="343"/>
      <c r="AT301" s="343"/>
      <c r="AU301" s="343">
        <f t="shared" si="348"/>
        <v>0</v>
      </c>
      <c r="AV301" s="343"/>
      <c r="AW301" s="343"/>
      <c r="AX301" s="343">
        <f t="shared" si="348"/>
        <v>3524870740</v>
      </c>
      <c r="AY301" s="343">
        <f t="shared" si="348"/>
        <v>1294465597.3299999</v>
      </c>
      <c r="AZ301" s="343">
        <f t="shared" si="348"/>
        <v>784277365</v>
      </c>
      <c r="BA301" s="343">
        <f t="shared" si="348"/>
        <v>0</v>
      </c>
      <c r="BB301" s="343"/>
      <c r="BC301" s="343"/>
      <c r="BD301" s="343">
        <f t="shared" si="348"/>
        <v>382592941.61000001</v>
      </c>
      <c r="BE301" s="343">
        <f t="shared" si="348"/>
        <v>202175717</v>
      </c>
      <c r="BF301" s="343">
        <f t="shared" si="348"/>
        <v>142268517</v>
      </c>
      <c r="BG301" s="343">
        <f>SUM(BG302:BG331)</f>
        <v>6473415896.2400007</v>
      </c>
      <c r="BH301" s="343">
        <f t="shared" ref="BH301:BI301" si="349">SUM(BH302:BH331)</f>
        <v>2570691972.3299999</v>
      </c>
      <c r="BI301" s="343">
        <f t="shared" si="349"/>
        <v>1095031878</v>
      </c>
    </row>
    <row r="302" spans="1:61" ht="120" customHeight="1" x14ac:dyDescent="0.2">
      <c r="A302" s="438"/>
      <c r="B302" s="441"/>
      <c r="C302" s="373"/>
      <c r="D302" s="374"/>
      <c r="E302" s="354">
        <v>1905</v>
      </c>
      <c r="F302" s="356" t="s">
        <v>997</v>
      </c>
      <c r="G302" s="226" t="s">
        <v>1507</v>
      </c>
      <c r="H302" s="354">
        <v>1905028</v>
      </c>
      <c r="I302" s="355" t="s">
        <v>1086</v>
      </c>
      <c r="J302" s="354" t="s">
        <v>1087</v>
      </c>
      <c r="K302" s="298">
        <v>190502800</v>
      </c>
      <c r="L302" s="355" t="s">
        <v>1088</v>
      </c>
      <c r="M302" s="354" t="s">
        <v>98</v>
      </c>
      <c r="N302" s="354">
        <v>12</v>
      </c>
      <c r="O302" s="354">
        <v>12</v>
      </c>
      <c r="P302" s="354">
        <v>8</v>
      </c>
      <c r="Q302" s="518" t="s">
        <v>197</v>
      </c>
      <c r="R302" s="517" t="s">
        <v>990</v>
      </c>
      <c r="S302" s="518" t="s">
        <v>10</v>
      </c>
      <c r="T302" s="43"/>
      <c r="U302" s="43"/>
      <c r="V302" s="43"/>
      <c r="W302" s="43"/>
      <c r="X302" s="43"/>
      <c r="Y302" s="43"/>
      <c r="Z302" s="43"/>
      <c r="AA302" s="43"/>
      <c r="AB302" s="43"/>
      <c r="AC302" s="43"/>
      <c r="AD302" s="43"/>
      <c r="AE302" s="43"/>
      <c r="AF302" s="43">
        <v>40000000</v>
      </c>
      <c r="AG302" s="43">
        <v>28333333</v>
      </c>
      <c r="AH302" s="43">
        <v>11866667</v>
      </c>
      <c r="AI302" s="43"/>
      <c r="AJ302" s="43"/>
      <c r="AK302" s="43"/>
      <c r="AL302" s="43"/>
      <c r="AM302" s="43"/>
      <c r="AN302" s="43"/>
      <c r="AO302" s="43"/>
      <c r="AP302" s="43"/>
      <c r="AQ302" s="43"/>
      <c r="AR302" s="43"/>
      <c r="AS302" s="43"/>
      <c r="AT302" s="43"/>
      <c r="AU302" s="43"/>
      <c r="AV302" s="43"/>
      <c r="AW302" s="43"/>
      <c r="AX302" s="49"/>
      <c r="AY302" s="49"/>
      <c r="AZ302" s="49"/>
      <c r="BA302" s="43"/>
      <c r="BB302" s="43"/>
      <c r="BC302" s="43"/>
      <c r="BD302" s="43"/>
      <c r="BE302" s="43"/>
      <c r="BF302" s="43"/>
      <c r="BG302" s="296">
        <f t="shared" ref="BG302:BI331" si="350">+T302+W302+Z302+AC302+AF302+AI302+AL302+AO302+AR302+AU302+AX302+BA302+BD302</f>
        <v>40000000</v>
      </c>
      <c r="BH302" s="296">
        <f t="shared" si="350"/>
        <v>28333333</v>
      </c>
      <c r="BI302" s="296">
        <f t="shared" si="350"/>
        <v>11866667</v>
      </c>
    </row>
    <row r="303" spans="1:61" ht="114.75" customHeight="1" x14ac:dyDescent="0.2">
      <c r="A303" s="438"/>
      <c r="B303" s="441"/>
      <c r="C303" s="373"/>
      <c r="D303" s="374"/>
      <c r="E303" s="354">
        <v>1905</v>
      </c>
      <c r="F303" s="356" t="s">
        <v>997</v>
      </c>
      <c r="G303" s="226" t="s">
        <v>1089</v>
      </c>
      <c r="H303" s="354">
        <v>1905031</v>
      </c>
      <c r="I303" s="355" t="s">
        <v>1090</v>
      </c>
      <c r="J303" s="354" t="s">
        <v>1091</v>
      </c>
      <c r="K303" s="354">
        <v>190503100</v>
      </c>
      <c r="L303" s="355" t="s">
        <v>1092</v>
      </c>
      <c r="M303" s="298" t="s">
        <v>98</v>
      </c>
      <c r="N303" s="298">
        <v>12</v>
      </c>
      <c r="O303" s="298">
        <v>12</v>
      </c>
      <c r="P303" s="298">
        <v>4</v>
      </c>
      <c r="Q303" s="518"/>
      <c r="R303" s="517"/>
      <c r="S303" s="518"/>
      <c r="T303" s="43"/>
      <c r="U303" s="43"/>
      <c r="V303" s="43"/>
      <c r="W303" s="43"/>
      <c r="X303" s="43"/>
      <c r="Y303" s="43"/>
      <c r="Z303" s="43"/>
      <c r="AA303" s="43"/>
      <c r="AB303" s="43"/>
      <c r="AC303" s="43"/>
      <c r="AD303" s="43"/>
      <c r="AE303" s="43"/>
      <c r="AF303" s="43">
        <f>40000000-12000000</f>
        <v>28000000</v>
      </c>
      <c r="AG303" s="43">
        <v>15140000</v>
      </c>
      <c r="AH303" s="43">
        <v>0</v>
      </c>
      <c r="AI303" s="43"/>
      <c r="AJ303" s="43"/>
      <c r="AK303" s="43"/>
      <c r="AL303" s="43"/>
      <c r="AM303" s="43"/>
      <c r="AN303" s="43"/>
      <c r="AO303" s="43"/>
      <c r="AP303" s="43"/>
      <c r="AQ303" s="43"/>
      <c r="AR303" s="43"/>
      <c r="AS303" s="43"/>
      <c r="AT303" s="43"/>
      <c r="AU303" s="43"/>
      <c r="AV303" s="43"/>
      <c r="AW303" s="43"/>
      <c r="AX303" s="49"/>
      <c r="AY303" s="49"/>
      <c r="AZ303" s="49"/>
      <c r="BA303" s="43"/>
      <c r="BB303" s="43"/>
      <c r="BC303" s="43"/>
      <c r="BD303" s="43"/>
      <c r="BE303" s="43"/>
      <c r="BF303" s="43"/>
      <c r="BG303" s="296">
        <f t="shared" si="350"/>
        <v>28000000</v>
      </c>
      <c r="BH303" s="296">
        <f t="shared" si="350"/>
        <v>15140000</v>
      </c>
      <c r="BI303" s="296">
        <f t="shared" si="350"/>
        <v>0</v>
      </c>
    </row>
    <row r="304" spans="1:61" ht="63.75" customHeight="1" x14ac:dyDescent="0.2">
      <c r="A304" s="438"/>
      <c r="B304" s="441"/>
      <c r="C304" s="373"/>
      <c r="D304" s="374"/>
      <c r="E304" s="354">
        <v>1905</v>
      </c>
      <c r="F304" s="356" t="s">
        <v>1093</v>
      </c>
      <c r="G304" s="226" t="s">
        <v>1506</v>
      </c>
      <c r="H304" s="354">
        <v>1905019</v>
      </c>
      <c r="I304" s="355" t="s">
        <v>1094</v>
      </c>
      <c r="J304" s="354" t="s">
        <v>1095</v>
      </c>
      <c r="K304" s="354">
        <v>190501900</v>
      </c>
      <c r="L304" s="355" t="s">
        <v>382</v>
      </c>
      <c r="M304" s="298" t="s">
        <v>98</v>
      </c>
      <c r="N304" s="298">
        <v>60</v>
      </c>
      <c r="O304" s="298">
        <v>60</v>
      </c>
      <c r="P304" s="298">
        <v>25</v>
      </c>
      <c r="Q304" s="518" t="s">
        <v>197</v>
      </c>
      <c r="R304" s="517" t="s">
        <v>1096</v>
      </c>
      <c r="S304" s="518" t="s">
        <v>1097</v>
      </c>
      <c r="T304" s="43"/>
      <c r="U304" s="43"/>
      <c r="V304" s="43"/>
      <c r="W304" s="43"/>
      <c r="X304" s="43"/>
      <c r="Y304" s="43"/>
      <c r="Z304" s="43"/>
      <c r="AA304" s="43"/>
      <c r="AB304" s="43"/>
      <c r="AC304" s="43"/>
      <c r="AD304" s="43"/>
      <c r="AE304" s="43"/>
      <c r="AF304" s="62">
        <f>20000000-5000000</f>
        <v>15000000</v>
      </c>
      <c r="AG304" s="62">
        <v>10266666</v>
      </c>
      <c r="AH304" s="62">
        <v>0</v>
      </c>
      <c r="AI304" s="43"/>
      <c r="AJ304" s="43"/>
      <c r="AK304" s="43"/>
      <c r="AL304" s="43"/>
      <c r="AM304" s="43"/>
      <c r="AN304" s="43"/>
      <c r="AO304" s="43"/>
      <c r="AP304" s="43"/>
      <c r="AQ304" s="43"/>
      <c r="AR304" s="43"/>
      <c r="AS304" s="43"/>
      <c r="AT304" s="43"/>
      <c r="AU304" s="43"/>
      <c r="AV304" s="43"/>
      <c r="AW304" s="43"/>
      <c r="AX304" s="49"/>
      <c r="AY304" s="49"/>
      <c r="AZ304" s="49"/>
      <c r="BA304" s="43"/>
      <c r="BB304" s="43"/>
      <c r="BC304" s="43"/>
      <c r="BD304" s="43"/>
      <c r="BE304" s="43"/>
      <c r="BF304" s="43"/>
      <c r="BG304" s="296">
        <f t="shared" si="350"/>
        <v>15000000</v>
      </c>
      <c r="BH304" s="296">
        <f t="shared" si="350"/>
        <v>10266666</v>
      </c>
      <c r="BI304" s="296">
        <f t="shared" si="350"/>
        <v>0</v>
      </c>
    </row>
    <row r="305" spans="1:61" ht="125.25" customHeight="1" x14ac:dyDescent="0.2">
      <c r="A305" s="438"/>
      <c r="B305" s="441"/>
      <c r="C305" s="373"/>
      <c r="D305" s="374"/>
      <c r="E305" s="354">
        <v>1905</v>
      </c>
      <c r="F305" s="355" t="s">
        <v>1098</v>
      </c>
      <c r="G305" s="226" t="s">
        <v>1099</v>
      </c>
      <c r="H305" s="354" t="s">
        <v>92</v>
      </c>
      <c r="I305" s="355" t="s">
        <v>1100</v>
      </c>
      <c r="J305" s="354" t="s">
        <v>1101</v>
      </c>
      <c r="K305" s="354" t="s">
        <v>92</v>
      </c>
      <c r="L305" s="355" t="s">
        <v>1102</v>
      </c>
      <c r="M305" s="354" t="s">
        <v>98</v>
      </c>
      <c r="N305" s="354">
        <v>11</v>
      </c>
      <c r="O305" s="298">
        <v>11</v>
      </c>
      <c r="P305" s="298">
        <v>6</v>
      </c>
      <c r="Q305" s="518"/>
      <c r="R305" s="517"/>
      <c r="S305" s="518"/>
      <c r="T305" s="43"/>
      <c r="U305" s="43"/>
      <c r="V305" s="43"/>
      <c r="W305" s="43"/>
      <c r="X305" s="43"/>
      <c r="Y305" s="43"/>
      <c r="Z305" s="43"/>
      <c r="AA305" s="43"/>
      <c r="AB305" s="43"/>
      <c r="AC305" s="43"/>
      <c r="AD305" s="43"/>
      <c r="AE305" s="43"/>
      <c r="AF305" s="62">
        <f>20000000-5000000</f>
        <v>15000000</v>
      </c>
      <c r="AG305" s="62">
        <v>0</v>
      </c>
      <c r="AH305" s="62">
        <v>0</v>
      </c>
      <c r="AI305" s="43"/>
      <c r="AJ305" s="43"/>
      <c r="AK305" s="43"/>
      <c r="AL305" s="43"/>
      <c r="AM305" s="43"/>
      <c r="AN305" s="43"/>
      <c r="AO305" s="43"/>
      <c r="AP305" s="43"/>
      <c r="AQ305" s="43"/>
      <c r="AR305" s="43"/>
      <c r="AS305" s="43"/>
      <c r="AT305" s="43"/>
      <c r="AU305" s="43"/>
      <c r="AV305" s="43"/>
      <c r="AW305" s="43"/>
      <c r="AX305" s="49"/>
      <c r="AY305" s="49"/>
      <c r="AZ305" s="49"/>
      <c r="BA305" s="43"/>
      <c r="BB305" s="43"/>
      <c r="BC305" s="43"/>
      <c r="BD305" s="43"/>
      <c r="BE305" s="43"/>
      <c r="BF305" s="43"/>
      <c r="BG305" s="296">
        <f t="shared" si="350"/>
        <v>15000000</v>
      </c>
      <c r="BH305" s="296">
        <f t="shared" si="350"/>
        <v>0</v>
      </c>
      <c r="BI305" s="296">
        <f t="shared" si="350"/>
        <v>0</v>
      </c>
    </row>
    <row r="306" spans="1:61" ht="93.75" customHeight="1" x14ac:dyDescent="0.2">
      <c r="A306" s="438"/>
      <c r="B306" s="441"/>
      <c r="C306" s="373"/>
      <c r="D306" s="374"/>
      <c r="E306" s="354">
        <v>1905</v>
      </c>
      <c r="F306" s="355" t="s">
        <v>1103</v>
      </c>
      <c r="G306" s="347" t="s">
        <v>1104</v>
      </c>
      <c r="H306" s="354" t="s">
        <v>92</v>
      </c>
      <c r="I306" s="355" t="s">
        <v>1105</v>
      </c>
      <c r="J306" s="359" t="s">
        <v>1106</v>
      </c>
      <c r="K306" s="354" t="s">
        <v>92</v>
      </c>
      <c r="L306" s="304" t="s">
        <v>1498</v>
      </c>
      <c r="M306" s="298" t="s">
        <v>98</v>
      </c>
      <c r="N306" s="298">
        <v>1</v>
      </c>
      <c r="O306" s="298">
        <v>1</v>
      </c>
      <c r="P306" s="298">
        <v>0.3</v>
      </c>
      <c r="Q306" s="518"/>
      <c r="R306" s="517"/>
      <c r="S306" s="518"/>
      <c r="T306" s="43"/>
      <c r="U306" s="43"/>
      <c r="V306" s="43"/>
      <c r="W306" s="43"/>
      <c r="X306" s="43"/>
      <c r="Y306" s="43"/>
      <c r="Z306" s="43"/>
      <c r="AA306" s="43"/>
      <c r="AB306" s="43"/>
      <c r="AC306" s="43"/>
      <c r="AD306" s="43"/>
      <c r="AE306" s="43"/>
      <c r="AF306" s="62">
        <f>20000000-5000000</f>
        <v>15000000</v>
      </c>
      <c r="AG306" s="62">
        <v>0</v>
      </c>
      <c r="AH306" s="62">
        <v>0</v>
      </c>
      <c r="AI306" s="43"/>
      <c r="AJ306" s="43"/>
      <c r="AK306" s="43"/>
      <c r="AL306" s="43"/>
      <c r="AM306" s="43"/>
      <c r="AN306" s="43"/>
      <c r="AO306" s="43"/>
      <c r="AP306" s="43"/>
      <c r="AQ306" s="43"/>
      <c r="AR306" s="43"/>
      <c r="AS306" s="43"/>
      <c r="AT306" s="43"/>
      <c r="AU306" s="43"/>
      <c r="AV306" s="43"/>
      <c r="AW306" s="43"/>
      <c r="AX306" s="49"/>
      <c r="AY306" s="49"/>
      <c r="AZ306" s="49"/>
      <c r="BA306" s="43"/>
      <c r="BB306" s="43"/>
      <c r="BC306" s="43"/>
      <c r="BD306" s="43"/>
      <c r="BE306" s="43"/>
      <c r="BF306" s="43"/>
      <c r="BG306" s="296">
        <f t="shared" si="350"/>
        <v>15000000</v>
      </c>
      <c r="BH306" s="296">
        <f t="shared" si="350"/>
        <v>0</v>
      </c>
      <c r="BI306" s="296">
        <f t="shared" si="350"/>
        <v>0</v>
      </c>
    </row>
    <row r="307" spans="1:61" ht="102.75" customHeight="1" x14ac:dyDescent="0.2">
      <c r="A307" s="438"/>
      <c r="B307" s="441"/>
      <c r="C307" s="373"/>
      <c r="D307" s="374"/>
      <c r="E307" s="354">
        <v>1905</v>
      </c>
      <c r="F307" s="356" t="s">
        <v>1002</v>
      </c>
      <c r="G307" s="347" t="s">
        <v>1107</v>
      </c>
      <c r="H307" s="354" t="s">
        <v>92</v>
      </c>
      <c r="I307" s="355" t="s">
        <v>1108</v>
      </c>
      <c r="J307" s="359" t="s">
        <v>1109</v>
      </c>
      <c r="K307" s="354" t="s">
        <v>92</v>
      </c>
      <c r="L307" s="304" t="s">
        <v>1110</v>
      </c>
      <c r="M307" s="298" t="s">
        <v>188</v>
      </c>
      <c r="N307" s="298">
        <v>11</v>
      </c>
      <c r="O307" s="298">
        <v>1</v>
      </c>
      <c r="P307" s="298">
        <v>0.3</v>
      </c>
      <c r="Q307" s="518"/>
      <c r="R307" s="517"/>
      <c r="S307" s="518"/>
      <c r="T307" s="43"/>
      <c r="U307" s="43"/>
      <c r="V307" s="43"/>
      <c r="W307" s="43"/>
      <c r="X307" s="43"/>
      <c r="Y307" s="43"/>
      <c r="Z307" s="43"/>
      <c r="AA307" s="43"/>
      <c r="AB307" s="43"/>
      <c r="AC307" s="43"/>
      <c r="AD307" s="43"/>
      <c r="AE307" s="43"/>
      <c r="AF307" s="62">
        <f>70000000-20000000</f>
        <v>50000000</v>
      </c>
      <c r="AG307" s="62">
        <v>31360000</v>
      </c>
      <c r="AH307" s="62">
        <v>11200000</v>
      </c>
      <c r="AI307" s="43"/>
      <c r="AJ307" s="43"/>
      <c r="AK307" s="43"/>
      <c r="AL307" s="43"/>
      <c r="AM307" s="43"/>
      <c r="AN307" s="43"/>
      <c r="AO307" s="43"/>
      <c r="AP307" s="43"/>
      <c r="AQ307" s="43"/>
      <c r="AR307" s="43"/>
      <c r="AS307" s="43"/>
      <c r="AT307" s="43"/>
      <c r="AU307" s="43"/>
      <c r="AV307" s="43"/>
      <c r="AW307" s="43"/>
      <c r="AX307" s="49"/>
      <c r="AY307" s="49"/>
      <c r="AZ307" s="49"/>
      <c r="BA307" s="43"/>
      <c r="BB307" s="43"/>
      <c r="BC307" s="43"/>
      <c r="BD307" s="43"/>
      <c r="BE307" s="43"/>
      <c r="BF307" s="43"/>
      <c r="BG307" s="296">
        <f t="shared" si="350"/>
        <v>50000000</v>
      </c>
      <c r="BH307" s="296">
        <f t="shared" si="350"/>
        <v>31360000</v>
      </c>
      <c r="BI307" s="296">
        <f t="shared" si="350"/>
        <v>11200000</v>
      </c>
    </row>
    <row r="308" spans="1:61" ht="93.75" customHeight="1" x14ac:dyDescent="0.2">
      <c r="A308" s="438"/>
      <c r="B308" s="441"/>
      <c r="C308" s="373"/>
      <c r="D308" s="374"/>
      <c r="E308" s="354">
        <v>1905</v>
      </c>
      <c r="F308" s="356" t="s">
        <v>1111</v>
      </c>
      <c r="G308" s="347" t="s">
        <v>1112</v>
      </c>
      <c r="H308" s="354" t="s">
        <v>92</v>
      </c>
      <c r="I308" s="355" t="s">
        <v>1460</v>
      </c>
      <c r="J308" s="359" t="s">
        <v>1113</v>
      </c>
      <c r="K308" s="354" t="s">
        <v>92</v>
      </c>
      <c r="L308" s="304" t="s">
        <v>1114</v>
      </c>
      <c r="M308" s="354" t="s">
        <v>1401</v>
      </c>
      <c r="N308" s="354">
        <v>12</v>
      </c>
      <c r="O308" s="305">
        <v>2</v>
      </c>
      <c r="P308" s="305">
        <v>1</v>
      </c>
      <c r="Q308" s="518"/>
      <c r="R308" s="517"/>
      <c r="S308" s="518"/>
      <c r="T308" s="43"/>
      <c r="U308" s="43"/>
      <c r="V308" s="43"/>
      <c r="W308" s="43"/>
      <c r="X308" s="43"/>
      <c r="Y308" s="43"/>
      <c r="Z308" s="43"/>
      <c r="AA308" s="43"/>
      <c r="AB308" s="43"/>
      <c r="AC308" s="43"/>
      <c r="AD308" s="43"/>
      <c r="AE308" s="43"/>
      <c r="AF308" s="62">
        <v>20000000</v>
      </c>
      <c r="AG308" s="62">
        <v>8306666</v>
      </c>
      <c r="AH308" s="62">
        <v>0</v>
      </c>
      <c r="AI308" s="43"/>
      <c r="AJ308" s="43"/>
      <c r="AK308" s="43"/>
      <c r="AL308" s="43"/>
      <c r="AM308" s="43"/>
      <c r="AN308" s="43"/>
      <c r="AO308" s="43"/>
      <c r="AP308" s="43"/>
      <c r="AQ308" s="43"/>
      <c r="AR308" s="43"/>
      <c r="AS308" s="43"/>
      <c r="AT308" s="43"/>
      <c r="AU308" s="43"/>
      <c r="AV308" s="43"/>
      <c r="AW308" s="43"/>
      <c r="AX308" s="49"/>
      <c r="AY308" s="49"/>
      <c r="AZ308" s="49"/>
      <c r="BA308" s="43"/>
      <c r="BB308" s="43"/>
      <c r="BC308" s="43"/>
      <c r="BD308" s="43"/>
      <c r="BE308" s="43"/>
      <c r="BF308" s="43"/>
      <c r="BG308" s="296">
        <f t="shared" si="350"/>
        <v>20000000</v>
      </c>
      <c r="BH308" s="296">
        <f t="shared" si="350"/>
        <v>8306666</v>
      </c>
      <c r="BI308" s="296">
        <f t="shared" si="350"/>
        <v>0</v>
      </c>
    </row>
    <row r="309" spans="1:61" ht="151.5" customHeight="1" x14ac:dyDescent="0.2">
      <c r="A309" s="438"/>
      <c r="B309" s="441"/>
      <c r="C309" s="373"/>
      <c r="D309" s="374"/>
      <c r="E309" s="354">
        <v>1905</v>
      </c>
      <c r="F309" s="356" t="s">
        <v>1002</v>
      </c>
      <c r="G309" s="347" t="s">
        <v>1115</v>
      </c>
      <c r="H309" s="354" t="s">
        <v>92</v>
      </c>
      <c r="I309" s="355" t="s">
        <v>1116</v>
      </c>
      <c r="J309" s="359" t="s">
        <v>1117</v>
      </c>
      <c r="K309" s="354" t="s">
        <v>92</v>
      </c>
      <c r="L309" s="304" t="s">
        <v>1118</v>
      </c>
      <c r="M309" s="298" t="s">
        <v>98</v>
      </c>
      <c r="N309" s="332">
        <v>12</v>
      </c>
      <c r="O309" s="332">
        <v>12</v>
      </c>
      <c r="P309" s="332">
        <v>5</v>
      </c>
      <c r="Q309" s="518"/>
      <c r="R309" s="517"/>
      <c r="S309" s="518"/>
      <c r="T309" s="43"/>
      <c r="U309" s="43"/>
      <c r="V309" s="43"/>
      <c r="W309" s="43"/>
      <c r="X309" s="43"/>
      <c r="Y309" s="43"/>
      <c r="Z309" s="43"/>
      <c r="AA309" s="43"/>
      <c r="AB309" s="43"/>
      <c r="AC309" s="43"/>
      <c r="AD309" s="43"/>
      <c r="AE309" s="43"/>
      <c r="AF309" s="62">
        <f>30000000-10000000</f>
        <v>20000000</v>
      </c>
      <c r="AG309" s="62">
        <v>0</v>
      </c>
      <c r="AH309" s="62">
        <v>0</v>
      </c>
      <c r="AI309" s="43"/>
      <c r="AJ309" s="43"/>
      <c r="AK309" s="43"/>
      <c r="AL309" s="43"/>
      <c r="AM309" s="43"/>
      <c r="AN309" s="43"/>
      <c r="AO309" s="43"/>
      <c r="AP309" s="43"/>
      <c r="AQ309" s="43"/>
      <c r="AR309" s="43"/>
      <c r="AS309" s="43"/>
      <c r="AT309" s="43"/>
      <c r="AU309" s="43"/>
      <c r="AV309" s="43"/>
      <c r="AW309" s="43"/>
      <c r="AX309" s="49"/>
      <c r="AY309" s="49"/>
      <c r="AZ309" s="49"/>
      <c r="BA309" s="43"/>
      <c r="BB309" s="43"/>
      <c r="BC309" s="43"/>
      <c r="BD309" s="43"/>
      <c r="BE309" s="43"/>
      <c r="BF309" s="43"/>
      <c r="BG309" s="296">
        <f t="shared" si="350"/>
        <v>20000000</v>
      </c>
      <c r="BH309" s="296">
        <f t="shared" si="350"/>
        <v>0</v>
      </c>
      <c r="BI309" s="296">
        <f t="shared" si="350"/>
        <v>0</v>
      </c>
    </row>
    <row r="310" spans="1:61" ht="93.75" customHeight="1" x14ac:dyDescent="0.2">
      <c r="A310" s="438"/>
      <c r="B310" s="441"/>
      <c r="C310" s="373"/>
      <c r="D310" s="374"/>
      <c r="E310" s="354">
        <v>1905</v>
      </c>
      <c r="F310" s="356" t="s">
        <v>1459</v>
      </c>
      <c r="G310" s="347" t="s">
        <v>1119</v>
      </c>
      <c r="H310" s="354" t="s">
        <v>92</v>
      </c>
      <c r="I310" s="355" t="s">
        <v>1120</v>
      </c>
      <c r="J310" s="359" t="s">
        <v>1121</v>
      </c>
      <c r="K310" s="354" t="s">
        <v>92</v>
      </c>
      <c r="L310" s="304" t="s">
        <v>1122</v>
      </c>
      <c r="M310" s="298" t="s">
        <v>98</v>
      </c>
      <c r="N310" s="298">
        <v>12</v>
      </c>
      <c r="O310" s="298">
        <v>12</v>
      </c>
      <c r="P310" s="298">
        <v>2</v>
      </c>
      <c r="Q310" s="518"/>
      <c r="R310" s="517"/>
      <c r="S310" s="518"/>
      <c r="T310" s="43"/>
      <c r="U310" s="43"/>
      <c r="V310" s="43"/>
      <c r="W310" s="43"/>
      <c r="X310" s="43"/>
      <c r="Y310" s="43"/>
      <c r="Z310" s="43"/>
      <c r="AA310" s="43"/>
      <c r="AB310" s="43"/>
      <c r="AC310" s="43"/>
      <c r="AD310" s="43"/>
      <c r="AE310" s="43"/>
      <c r="AF310" s="62">
        <f>30000000-10000000</f>
        <v>20000000</v>
      </c>
      <c r="AG310" s="62">
        <v>5340000</v>
      </c>
      <c r="AH310" s="62">
        <v>0</v>
      </c>
      <c r="AI310" s="43"/>
      <c r="AJ310" s="43"/>
      <c r="AK310" s="43"/>
      <c r="AL310" s="43"/>
      <c r="AM310" s="43"/>
      <c r="AN310" s="43"/>
      <c r="AO310" s="43"/>
      <c r="AP310" s="43"/>
      <c r="AQ310" s="43"/>
      <c r="AR310" s="43"/>
      <c r="AS310" s="43"/>
      <c r="AT310" s="43"/>
      <c r="AU310" s="43"/>
      <c r="AV310" s="43"/>
      <c r="AW310" s="43"/>
      <c r="AX310" s="49"/>
      <c r="AY310" s="49"/>
      <c r="AZ310" s="49"/>
      <c r="BA310" s="43"/>
      <c r="BB310" s="43"/>
      <c r="BC310" s="43"/>
      <c r="BD310" s="43"/>
      <c r="BE310" s="43"/>
      <c r="BF310" s="43"/>
      <c r="BG310" s="296">
        <f t="shared" si="350"/>
        <v>20000000</v>
      </c>
      <c r="BH310" s="296">
        <f t="shared" si="350"/>
        <v>5340000</v>
      </c>
      <c r="BI310" s="296">
        <f t="shared" si="350"/>
        <v>0</v>
      </c>
    </row>
    <row r="311" spans="1:61" ht="246.75" customHeight="1" x14ac:dyDescent="0.2">
      <c r="A311" s="438"/>
      <c r="B311" s="441"/>
      <c r="C311" s="373"/>
      <c r="D311" s="374"/>
      <c r="E311" s="354">
        <v>1905</v>
      </c>
      <c r="F311" s="355" t="s">
        <v>807</v>
      </c>
      <c r="G311" s="332" t="s">
        <v>808</v>
      </c>
      <c r="H311" s="354">
        <v>1905021</v>
      </c>
      <c r="I311" s="355" t="s">
        <v>809</v>
      </c>
      <c r="J311" s="298" t="s">
        <v>810</v>
      </c>
      <c r="K311" s="298">
        <v>190502100</v>
      </c>
      <c r="L311" s="304" t="s">
        <v>811</v>
      </c>
      <c r="M311" s="354" t="s">
        <v>98</v>
      </c>
      <c r="N311" s="354">
        <v>12</v>
      </c>
      <c r="O311" s="298">
        <v>12</v>
      </c>
      <c r="P311" s="298">
        <v>5</v>
      </c>
      <c r="Q311" s="524" t="s">
        <v>197</v>
      </c>
      <c r="R311" s="517" t="s">
        <v>1123</v>
      </c>
      <c r="S311" s="518" t="s">
        <v>1124</v>
      </c>
      <c r="T311" s="43"/>
      <c r="U311" s="43"/>
      <c r="V311" s="43"/>
      <c r="W311" s="43"/>
      <c r="X311" s="43"/>
      <c r="Y311" s="43"/>
      <c r="Z311" s="43"/>
      <c r="AA311" s="43"/>
      <c r="AB311" s="43"/>
      <c r="AC311" s="43"/>
      <c r="AD311" s="43"/>
      <c r="AE311" s="43"/>
      <c r="AF311" s="348">
        <f>88000000-24000000</f>
        <v>64000000</v>
      </c>
      <c r="AG311" s="348">
        <v>7933333</v>
      </c>
      <c r="AH311" s="348">
        <v>0</v>
      </c>
      <c r="AI311" s="43"/>
      <c r="AJ311" s="43"/>
      <c r="AK311" s="43"/>
      <c r="AL311" s="43"/>
      <c r="AM311" s="43"/>
      <c r="AN311" s="43"/>
      <c r="AO311" s="43"/>
      <c r="AP311" s="43"/>
      <c r="AQ311" s="43"/>
      <c r="AR311" s="43"/>
      <c r="AS311" s="43"/>
      <c r="AT311" s="43"/>
      <c r="AU311" s="43"/>
      <c r="AV311" s="43"/>
      <c r="AW311" s="43"/>
      <c r="AX311" s="49"/>
      <c r="AY311" s="49"/>
      <c r="AZ311" s="49"/>
      <c r="BA311" s="43"/>
      <c r="BB311" s="43"/>
      <c r="BC311" s="43"/>
      <c r="BD311" s="43"/>
      <c r="BE311" s="43"/>
      <c r="BF311" s="43"/>
      <c r="BG311" s="296">
        <f t="shared" si="350"/>
        <v>64000000</v>
      </c>
      <c r="BH311" s="296">
        <f t="shared" si="350"/>
        <v>7933333</v>
      </c>
      <c r="BI311" s="296">
        <f t="shared" si="350"/>
        <v>0</v>
      </c>
    </row>
    <row r="312" spans="1:61" ht="159" customHeight="1" x14ac:dyDescent="0.2">
      <c r="A312" s="438"/>
      <c r="B312" s="441"/>
      <c r="C312" s="373"/>
      <c r="D312" s="374"/>
      <c r="E312" s="354">
        <v>1905</v>
      </c>
      <c r="F312" s="355" t="s">
        <v>1098</v>
      </c>
      <c r="G312" s="226" t="s">
        <v>1099</v>
      </c>
      <c r="H312" s="354" t="s">
        <v>92</v>
      </c>
      <c r="I312" s="355" t="s">
        <v>1125</v>
      </c>
      <c r="J312" s="354" t="s">
        <v>1101</v>
      </c>
      <c r="K312" s="354" t="s">
        <v>92</v>
      </c>
      <c r="L312" s="355" t="s">
        <v>1102</v>
      </c>
      <c r="M312" s="354" t="s">
        <v>98</v>
      </c>
      <c r="N312" s="354">
        <v>11</v>
      </c>
      <c r="O312" s="298">
        <v>11</v>
      </c>
      <c r="P312" s="298">
        <v>6</v>
      </c>
      <c r="Q312" s="524"/>
      <c r="R312" s="517"/>
      <c r="S312" s="518"/>
      <c r="T312" s="43"/>
      <c r="U312" s="43"/>
      <c r="V312" s="43"/>
      <c r="W312" s="43"/>
      <c r="X312" s="43"/>
      <c r="Y312" s="43"/>
      <c r="Z312" s="43"/>
      <c r="AA312" s="43"/>
      <c r="AB312" s="43"/>
      <c r="AC312" s="43"/>
      <c r="AD312" s="43"/>
      <c r="AE312" s="43"/>
      <c r="AF312" s="62">
        <f>60000000-6000000</f>
        <v>54000000</v>
      </c>
      <c r="AG312" s="62">
        <v>19866667</v>
      </c>
      <c r="AH312" s="62">
        <v>0</v>
      </c>
      <c r="AI312" s="43"/>
      <c r="AJ312" s="43"/>
      <c r="AK312" s="43"/>
      <c r="AL312" s="43"/>
      <c r="AM312" s="43"/>
      <c r="AN312" s="43"/>
      <c r="AO312" s="43"/>
      <c r="AP312" s="43"/>
      <c r="AQ312" s="43"/>
      <c r="AR312" s="43"/>
      <c r="AS312" s="43"/>
      <c r="AT312" s="43"/>
      <c r="AU312" s="43"/>
      <c r="AV312" s="43"/>
      <c r="AW312" s="43"/>
      <c r="AX312" s="49"/>
      <c r="AY312" s="49"/>
      <c r="AZ312" s="49"/>
      <c r="BA312" s="43"/>
      <c r="BB312" s="43"/>
      <c r="BC312" s="43"/>
      <c r="BD312" s="43"/>
      <c r="BE312" s="43"/>
      <c r="BF312" s="43"/>
      <c r="BG312" s="296">
        <f t="shared" si="350"/>
        <v>54000000</v>
      </c>
      <c r="BH312" s="296">
        <f t="shared" si="350"/>
        <v>19866667</v>
      </c>
      <c r="BI312" s="296">
        <f t="shared" si="350"/>
        <v>0</v>
      </c>
    </row>
    <row r="313" spans="1:61" ht="103.5" customHeight="1" x14ac:dyDescent="0.2">
      <c r="A313" s="438"/>
      <c r="B313" s="441"/>
      <c r="C313" s="373"/>
      <c r="D313" s="374"/>
      <c r="E313" s="354">
        <v>1905</v>
      </c>
      <c r="F313" s="356" t="s">
        <v>1027</v>
      </c>
      <c r="G313" s="332" t="s">
        <v>1126</v>
      </c>
      <c r="H313" s="364">
        <v>1905020</v>
      </c>
      <c r="I313" s="355" t="s">
        <v>1127</v>
      </c>
      <c r="J313" s="298" t="s">
        <v>1128</v>
      </c>
      <c r="K313" s="298">
        <v>190502000</v>
      </c>
      <c r="L313" s="304" t="s">
        <v>1129</v>
      </c>
      <c r="M313" s="298" t="s">
        <v>98</v>
      </c>
      <c r="N313" s="298">
        <v>12</v>
      </c>
      <c r="O313" s="298">
        <v>12</v>
      </c>
      <c r="P313" s="298">
        <v>7</v>
      </c>
      <c r="Q313" s="524" t="s">
        <v>197</v>
      </c>
      <c r="R313" s="517" t="s">
        <v>1130</v>
      </c>
      <c r="S313" s="518" t="s">
        <v>1131</v>
      </c>
      <c r="T313" s="43"/>
      <c r="U313" s="43"/>
      <c r="V313" s="43"/>
      <c r="W313" s="43"/>
      <c r="X313" s="43"/>
      <c r="Y313" s="43"/>
      <c r="Z313" s="43"/>
      <c r="AA313" s="43"/>
      <c r="AB313" s="43"/>
      <c r="AC313" s="43"/>
      <c r="AD313" s="43"/>
      <c r="AE313" s="43"/>
      <c r="AF313" s="245">
        <f>40000000-7000000</f>
        <v>33000000</v>
      </c>
      <c r="AG313" s="295">
        <v>24666667</v>
      </c>
      <c r="AH313" s="295">
        <v>3600000</v>
      </c>
      <c r="AI313" s="43"/>
      <c r="AJ313" s="43"/>
      <c r="AK313" s="43"/>
      <c r="AL313" s="43"/>
      <c r="AM313" s="43"/>
      <c r="AN313" s="43"/>
      <c r="AO313" s="43"/>
      <c r="AP313" s="43"/>
      <c r="AQ313" s="43"/>
      <c r="AR313" s="43"/>
      <c r="AS313" s="43"/>
      <c r="AT313" s="43"/>
      <c r="AU313" s="43"/>
      <c r="AV313" s="43"/>
      <c r="AW313" s="43"/>
      <c r="AX313" s="49"/>
      <c r="AY313" s="49"/>
      <c r="AZ313" s="49"/>
      <c r="BA313" s="43"/>
      <c r="BB313" s="43"/>
      <c r="BC313" s="43"/>
      <c r="BD313" s="43"/>
      <c r="BE313" s="43"/>
      <c r="BF313" s="43"/>
      <c r="BG313" s="296">
        <f t="shared" si="350"/>
        <v>33000000</v>
      </c>
      <c r="BH313" s="296">
        <f t="shared" si="350"/>
        <v>24666667</v>
      </c>
      <c r="BI313" s="296">
        <f t="shared" si="350"/>
        <v>3600000</v>
      </c>
    </row>
    <row r="314" spans="1:61" ht="176.25" customHeight="1" x14ac:dyDescent="0.2">
      <c r="A314" s="438"/>
      <c r="B314" s="441"/>
      <c r="C314" s="373"/>
      <c r="D314" s="374"/>
      <c r="E314" s="354">
        <v>1905</v>
      </c>
      <c r="F314" s="355" t="s">
        <v>1499</v>
      </c>
      <c r="G314" s="332" t="s">
        <v>814</v>
      </c>
      <c r="H314" s="364">
        <v>1905022</v>
      </c>
      <c r="I314" s="355" t="s">
        <v>815</v>
      </c>
      <c r="J314" s="298" t="s">
        <v>816</v>
      </c>
      <c r="K314" s="298">
        <v>190502200</v>
      </c>
      <c r="L314" s="304" t="s">
        <v>817</v>
      </c>
      <c r="M314" s="298" t="s">
        <v>98</v>
      </c>
      <c r="N314" s="298">
        <v>12</v>
      </c>
      <c r="O314" s="298">
        <v>12</v>
      </c>
      <c r="P314" s="298">
        <v>11</v>
      </c>
      <c r="Q314" s="524"/>
      <c r="R314" s="517"/>
      <c r="S314" s="518"/>
      <c r="T314" s="43"/>
      <c r="U314" s="43"/>
      <c r="V314" s="43"/>
      <c r="W314" s="43"/>
      <c r="X314" s="43"/>
      <c r="Y314" s="43"/>
      <c r="Z314" s="43"/>
      <c r="AA314" s="43"/>
      <c r="AB314" s="43"/>
      <c r="AC314" s="43"/>
      <c r="AD314" s="43"/>
      <c r="AE314" s="43"/>
      <c r="AF314" s="245">
        <f>60000000-7500000</f>
        <v>52500000</v>
      </c>
      <c r="AG314" s="245">
        <v>44240001</v>
      </c>
      <c r="AH314" s="245">
        <v>15773334</v>
      </c>
      <c r="AI314" s="43"/>
      <c r="AJ314" s="43"/>
      <c r="AK314" s="43"/>
      <c r="AL314" s="43"/>
      <c r="AM314" s="43"/>
      <c r="AN314" s="43"/>
      <c r="AO314" s="43"/>
      <c r="AP314" s="43"/>
      <c r="AQ314" s="43"/>
      <c r="AR314" s="43"/>
      <c r="AS314" s="43"/>
      <c r="AT314" s="43"/>
      <c r="AU314" s="43"/>
      <c r="AV314" s="43"/>
      <c r="AW314" s="43"/>
      <c r="AX314" s="49"/>
      <c r="AY314" s="49"/>
      <c r="AZ314" s="49"/>
      <c r="BA314" s="43"/>
      <c r="BB314" s="43"/>
      <c r="BC314" s="43"/>
      <c r="BD314" s="43"/>
      <c r="BE314" s="43"/>
      <c r="BF314" s="43"/>
      <c r="BG314" s="296">
        <f t="shared" si="350"/>
        <v>52500000</v>
      </c>
      <c r="BH314" s="296">
        <f t="shared" si="350"/>
        <v>44240001</v>
      </c>
      <c r="BI314" s="296">
        <f t="shared" si="350"/>
        <v>15773334</v>
      </c>
    </row>
    <row r="315" spans="1:61" ht="96" customHeight="1" x14ac:dyDescent="0.2">
      <c r="A315" s="438"/>
      <c r="B315" s="441"/>
      <c r="C315" s="373"/>
      <c r="D315" s="374"/>
      <c r="E315" s="354">
        <v>1905</v>
      </c>
      <c r="F315" s="356" t="s">
        <v>1027</v>
      </c>
      <c r="G315" s="347" t="s">
        <v>1505</v>
      </c>
      <c r="H315" s="354" t="s">
        <v>92</v>
      </c>
      <c r="I315" s="355" t="s">
        <v>1132</v>
      </c>
      <c r="J315" s="359" t="s">
        <v>1133</v>
      </c>
      <c r="K315" s="298" t="s">
        <v>92</v>
      </c>
      <c r="L315" s="304" t="s">
        <v>1134</v>
      </c>
      <c r="M315" s="332" t="s">
        <v>98</v>
      </c>
      <c r="N315" s="332">
        <v>1</v>
      </c>
      <c r="O315" s="332">
        <v>1</v>
      </c>
      <c r="P315" s="332">
        <v>0.2</v>
      </c>
      <c r="Q315" s="524"/>
      <c r="R315" s="517"/>
      <c r="S315" s="518"/>
      <c r="T315" s="43"/>
      <c r="U315" s="43"/>
      <c r="V315" s="43"/>
      <c r="W315" s="43"/>
      <c r="X315" s="43"/>
      <c r="Y315" s="43"/>
      <c r="Z315" s="43"/>
      <c r="AA315" s="43"/>
      <c r="AB315" s="43"/>
      <c r="AC315" s="43"/>
      <c r="AD315" s="43"/>
      <c r="AE315" s="43"/>
      <c r="AF315" s="245">
        <f>40000000-3000000</f>
        <v>37000000</v>
      </c>
      <c r="AG315" s="245">
        <v>33066666</v>
      </c>
      <c r="AH315" s="245">
        <v>7466666</v>
      </c>
      <c r="AI315" s="43"/>
      <c r="AJ315" s="43"/>
      <c r="AK315" s="43"/>
      <c r="AL315" s="43"/>
      <c r="AM315" s="43"/>
      <c r="AN315" s="43"/>
      <c r="AO315" s="43"/>
      <c r="AP315" s="43"/>
      <c r="AQ315" s="43"/>
      <c r="AR315" s="43"/>
      <c r="AS315" s="43"/>
      <c r="AT315" s="43"/>
      <c r="AU315" s="43"/>
      <c r="AV315" s="43"/>
      <c r="AW315" s="43"/>
      <c r="AX315" s="49"/>
      <c r="AY315" s="49"/>
      <c r="AZ315" s="49"/>
      <c r="BA315" s="43"/>
      <c r="BB315" s="43"/>
      <c r="BC315" s="43"/>
      <c r="BD315" s="43"/>
      <c r="BE315" s="43"/>
      <c r="BF315" s="43"/>
      <c r="BG315" s="296">
        <f t="shared" si="350"/>
        <v>37000000</v>
      </c>
      <c r="BH315" s="296">
        <f t="shared" si="350"/>
        <v>33066666</v>
      </c>
      <c r="BI315" s="296">
        <f t="shared" si="350"/>
        <v>7466666</v>
      </c>
    </row>
    <row r="316" spans="1:61" ht="102.75" customHeight="1" x14ac:dyDescent="0.2">
      <c r="A316" s="438"/>
      <c r="B316" s="441"/>
      <c r="C316" s="373"/>
      <c r="D316" s="374"/>
      <c r="E316" s="354">
        <v>1905</v>
      </c>
      <c r="F316" s="355" t="s">
        <v>1461</v>
      </c>
      <c r="G316" s="350" t="s">
        <v>1135</v>
      </c>
      <c r="H316" s="354">
        <v>1905023</v>
      </c>
      <c r="I316" s="355" t="s">
        <v>1136</v>
      </c>
      <c r="J316" s="317" t="s">
        <v>1137</v>
      </c>
      <c r="K316" s="298">
        <v>190502300</v>
      </c>
      <c r="L316" s="304" t="s">
        <v>1138</v>
      </c>
      <c r="M316" s="298" t="s">
        <v>98</v>
      </c>
      <c r="N316" s="298">
        <v>12</v>
      </c>
      <c r="O316" s="298">
        <v>12</v>
      </c>
      <c r="P316" s="298">
        <v>3</v>
      </c>
      <c r="Q316" s="524" t="s">
        <v>197</v>
      </c>
      <c r="R316" s="517" t="s">
        <v>1139</v>
      </c>
      <c r="S316" s="518" t="s">
        <v>1140</v>
      </c>
      <c r="T316" s="43"/>
      <c r="U316" s="43"/>
      <c r="V316" s="43"/>
      <c r="W316" s="43"/>
      <c r="X316" s="43"/>
      <c r="Y316" s="43"/>
      <c r="Z316" s="43"/>
      <c r="AA316" s="43"/>
      <c r="AB316" s="43"/>
      <c r="AC316" s="43"/>
      <c r="AD316" s="43"/>
      <c r="AE316" s="43"/>
      <c r="AF316" s="245">
        <v>110000000</v>
      </c>
      <c r="AG316" s="295">
        <v>64066666</v>
      </c>
      <c r="AH316" s="295">
        <v>16333333</v>
      </c>
      <c r="AI316" s="43"/>
      <c r="AJ316" s="43"/>
      <c r="AK316" s="43"/>
      <c r="AL316" s="43"/>
      <c r="AM316" s="43"/>
      <c r="AN316" s="43"/>
      <c r="AO316" s="43"/>
      <c r="AP316" s="43"/>
      <c r="AQ316" s="43"/>
      <c r="AR316" s="43"/>
      <c r="AS316" s="43"/>
      <c r="AT316" s="43"/>
      <c r="AU316" s="43"/>
      <c r="AV316" s="43"/>
      <c r="AW316" s="43"/>
      <c r="AX316" s="49"/>
      <c r="AY316" s="49"/>
      <c r="AZ316" s="49"/>
      <c r="BA316" s="43"/>
      <c r="BB316" s="43"/>
      <c r="BC316" s="43"/>
      <c r="BD316" s="43"/>
      <c r="BE316" s="43"/>
      <c r="BF316" s="43"/>
      <c r="BG316" s="296">
        <f t="shared" si="350"/>
        <v>110000000</v>
      </c>
      <c r="BH316" s="296">
        <f t="shared" si="350"/>
        <v>64066666</v>
      </c>
      <c r="BI316" s="296">
        <f t="shared" si="350"/>
        <v>16333333</v>
      </c>
    </row>
    <row r="317" spans="1:61" ht="109.5" customHeight="1" x14ac:dyDescent="0.2">
      <c r="A317" s="438"/>
      <c r="B317" s="441"/>
      <c r="C317" s="373"/>
      <c r="D317" s="374"/>
      <c r="E317" s="354">
        <v>1905</v>
      </c>
      <c r="F317" s="356" t="s">
        <v>997</v>
      </c>
      <c r="G317" s="226" t="s">
        <v>1089</v>
      </c>
      <c r="H317" s="354">
        <v>1905031</v>
      </c>
      <c r="I317" s="355" t="s">
        <v>1090</v>
      </c>
      <c r="J317" s="354" t="s">
        <v>1091</v>
      </c>
      <c r="K317" s="354">
        <v>190503100</v>
      </c>
      <c r="L317" s="355" t="s">
        <v>1092</v>
      </c>
      <c r="M317" s="298" t="s">
        <v>98</v>
      </c>
      <c r="N317" s="298">
        <v>12</v>
      </c>
      <c r="O317" s="298">
        <v>12</v>
      </c>
      <c r="P317" s="298">
        <v>3</v>
      </c>
      <c r="Q317" s="524"/>
      <c r="R317" s="517"/>
      <c r="S317" s="518"/>
      <c r="T317" s="43"/>
      <c r="U317" s="43"/>
      <c r="V317" s="43"/>
      <c r="W317" s="43"/>
      <c r="X317" s="43"/>
      <c r="Y317" s="43"/>
      <c r="Z317" s="43"/>
      <c r="AA317" s="43"/>
      <c r="AB317" s="43"/>
      <c r="AC317" s="43"/>
      <c r="AD317" s="43"/>
      <c r="AE317" s="43"/>
      <c r="AF317" s="245">
        <f>60000000-1000000</f>
        <v>59000000</v>
      </c>
      <c r="AG317" s="295">
        <v>14400000</v>
      </c>
      <c r="AH317" s="295">
        <v>0</v>
      </c>
      <c r="AI317" s="43"/>
      <c r="AJ317" s="43"/>
      <c r="AK317" s="43"/>
      <c r="AL317" s="43"/>
      <c r="AM317" s="43"/>
      <c r="AN317" s="43"/>
      <c r="AO317" s="43"/>
      <c r="AP317" s="43"/>
      <c r="AQ317" s="43"/>
      <c r="AR317" s="43"/>
      <c r="AS317" s="43"/>
      <c r="AT317" s="43"/>
      <c r="AU317" s="43"/>
      <c r="AV317" s="43"/>
      <c r="AW317" s="43"/>
      <c r="AX317" s="49"/>
      <c r="AY317" s="49"/>
      <c r="AZ317" s="49"/>
      <c r="BA317" s="43"/>
      <c r="BB317" s="43"/>
      <c r="BC317" s="43"/>
      <c r="BD317" s="43"/>
      <c r="BE317" s="43"/>
      <c r="BF317" s="43"/>
      <c r="BG317" s="296">
        <f t="shared" si="350"/>
        <v>59000000</v>
      </c>
      <c r="BH317" s="296">
        <f t="shared" si="350"/>
        <v>14400000</v>
      </c>
      <c r="BI317" s="296">
        <f t="shared" si="350"/>
        <v>0</v>
      </c>
    </row>
    <row r="318" spans="1:61" ht="134.25" customHeight="1" x14ac:dyDescent="0.2">
      <c r="A318" s="438"/>
      <c r="B318" s="441"/>
      <c r="C318" s="373"/>
      <c r="D318" s="374"/>
      <c r="E318" s="354">
        <v>1905</v>
      </c>
      <c r="F318" s="355" t="s">
        <v>1141</v>
      </c>
      <c r="G318" s="332" t="s">
        <v>1142</v>
      </c>
      <c r="H318" s="354">
        <v>1905012</v>
      </c>
      <c r="I318" s="355" t="s">
        <v>1143</v>
      </c>
      <c r="J318" s="298" t="s">
        <v>1144</v>
      </c>
      <c r="K318" s="298">
        <v>190501200</v>
      </c>
      <c r="L318" s="304" t="s">
        <v>1143</v>
      </c>
      <c r="M318" s="298" t="s">
        <v>98</v>
      </c>
      <c r="N318" s="298">
        <v>1</v>
      </c>
      <c r="O318" s="298">
        <v>1</v>
      </c>
      <c r="P318" s="298">
        <v>0</v>
      </c>
      <c r="Q318" s="524" t="s">
        <v>197</v>
      </c>
      <c r="R318" s="517" t="s">
        <v>1145</v>
      </c>
      <c r="S318" s="518" t="s">
        <v>1146</v>
      </c>
      <c r="T318" s="43"/>
      <c r="U318" s="43"/>
      <c r="V318" s="43"/>
      <c r="W318" s="43"/>
      <c r="X318" s="43"/>
      <c r="Y318" s="43"/>
      <c r="Z318" s="43"/>
      <c r="AA318" s="43"/>
      <c r="AB318" s="43"/>
      <c r="AC318" s="43"/>
      <c r="AD318" s="43"/>
      <c r="AE318" s="43"/>
      <c r="AF318" s="43">
        <v>20000000</v>
      </c>
      <c r="AG318" s="43">
        <v>6960000</v>
      </c>
      <c r="AH318" s="43">
        <v>1800000</v>
      </c>
      <c r="AI318" s="43"/>
      <c r="AJ318" s="43"/>
      <c r="AK318" s="43"/>
      <c r="AL318" s="43"/>
      <c r="AM318" s="43"/>
      <c r="AN318" s="43"/>
      <c r="AO318" s="43"/>
      <c r="AP318" s="43"/>
      <c r="AQ318" s="43"/>
      <c r="AR318" s="43"/>
      <c r="AS318" s="43"/>
      <c r="AT318" s="43"/>
      <c r="AU318" s="43"/>
      <c r="AV318" s="43"/>
      <c r="AW318" s="43"/>
      <c r="AX318" s="49"/>
      <c r="AY318" s="49"/>
      <c r="AZ318" s="49"/>
      <c r="BA318" s="43"/>
      <c r="BB318" s="43"/>
      <c r="BC318" s="43"/>
      <c r="BD318" s="385"/>
      <c r="BE318" s="385"/>
      <c r="BF318" s="385"/>
      <c r="BG318" s="296">
        <f t="shared" si="350"/>
        <v>20000000</v>
      </c>
      <c r="BH318" s="296">
        <f t="shared" si="350"/>
        <v>6960000</v>
      </c>
      <c r="BI318" s="296">
        <f t="shared" si="350"/>
        <v>1800000</v>
      </c>
    </row>
    <row r="319" spans="1:61" ht="147" customHeight="1" x14ac:dyDescent="0.2">
      <c r="A319" s="438"/>
      <c r="B319" s="441"/>
      <c r="C319" s="373"/>
      <c r="D319" s="374"/>
      <c r="E319" s="354">
        <v>1905</v>
      </c>
      <c r="F319" s="355" t="s">
        <v>1147</v>
      </c>
      <c r="G319" s="347">
        <v>12.1</v>
      </c>
      <c r="H319" s="354">
        <v>1905026</v>
      </c>
      <c r="I319" s="355" t="s">
        <v>1149</v>
      </c>
      <c r="J319" s="359" t="s">
        <v>1150</v>
      </c>
      <c r="K319" s="298">
        <v>190502600</v>
      </c>
      <c r="L319" s="304" t="s">
        <v>1151</v>
      </c>
      <c r="M319" s="354" t="s">
        <v>98</v>
      </c>
      <c r="N319" s="354">
        <v>12</v>
      </c>
      <c r="O319" s="354">
        <v>12</v>
      </c>
      <c r="P319" s="354">
        <v>4</v>
      </c>
      <c r="Q319" s="524"/>
      <c r="R319" s="517"/>
      <c r="S319" s="518"/>
      <c r="T319" s="43"/>
      <c r="U319" s="43"/>
      <c r="V319" s="43"/>
      <c r="W319" s="43"/>
      <c r="X319" s="43"/>
      <c r="Y319" s="43"/>
      <c r="Z319" s="43"/>
      <c r="AA319" s="43"/>
      <c r="AB319" s="43"/>
      <c r="AC319" s="43"/>
      <c r="AD319" s="43"/>
      <c r="AE319" s="43"/>
      <c r="AF319" s="43">
        <f>60000000-20000000</f>
        <v>40000000</v>
      </c>
      <c r="AG319" s="43">
        <v>0</v>
      </c>
      <c r="AH319" s="43">
        <v>0</v>
      </c>
      <c r="AI319" s="43"/>
      <c r="AJ319" s="43"/>
      <c r="AK319" s="43"/>
      <c r="AL319" s="43"/>
      <c r="AM319" s="43"/>
      <c r="AN319" s="43"/>
      <c r="AO319" s="43"/>
      <c r="AP319" s="43"/>
      <c r="AQ319" s="43"/>
      <c r="AR319" s="43"/>
      <c r="AS319" s="43"/>
      <c r="AT319" s="43"/>
      <c r="AU319" s="43"/>
      <c r="AV319" s="43"/>
      <c r="AW319" s="43"/>
      <c r="AX319" s="49"/>
      <c r="AY319" s="49"/>
      <c r="AZ319" s="49"/>
      <c r="BA319" s="43"/>
      <c r="BB319" s="43"/>
      <c r="BC319" s="43"/>
      <c r="BD319" s="385"/>
      <c r="BE319" s="385"/>
      <c r="BF319" s="385"/>
      <c r="BG319" s="296">
        <f t="shared" si="350"/>
        <v>40000000</v>
      </c>
      <c r="BH319" s="296">
        <f t="shared" si="350"/>
        <v>0</v>
      </c>
      <c r="BI319" s="296">
        <f t="shared" si="350"/>
        <v>0</v>
      </c>
    </row>
    <row r="320" spans="1:61" ht="124.5" customHeight="1" x14ac:dyDescent="0.2">
      <c r="A320" s="438"/>
      <c r="B320" s="441"/>
      <c r="C320" s="373"/>
      <c r="D320" s="374"/>
      <c r="E320" s="354">
        <v>1905</v>
      </c>
      <c r="F320" s="355" t="s">
        <v>1141</v>
      </c>
      <c r="G320" s="226" t="s">
        <v>1152</v>
      </c>
      <c r="H320" s="354">
        <v>1905027</v>
      </c>
      <c r="I320" s="355" t="s">
        <v>1153</v>
      </c>
      <c r="J320" s="354" t="s">
        <v>1154</v>
      </c>
      <c r="K320" s="298">
        <v>190502700</v>
      </c>
      <c r="L320" s="355" t="s">
        <v>1155</v>
      </c>
      <c r="M320" s="298" t="s">
        <v>98</v>
      </c>
      <c r="N320" s="298">
        <v>12</v>
      </c>
      <c r="O320" s="298">
        <v>12</v>
      </c>
      <c r="P320" s="298">
        <v>6</v>
      </c>
      <c r="Q320" s="524"/>
      <c r="R320" s="517"/>
      <c r="S320" s="518"/>
      <c r="T320" s="43"/>
      <c r="U320" s="43"/>
      <c r="V320" s="43"/>
      <c r="W320" s="43"/>
      <c r="X320" s="43"/>
      <c r="Y320" s="43"/>
      <c r="Z320" s="43"/>
      <c r="AA320" s="43"/>
      <c r="AB320" s="43"/>
      <c r="AC320" s="43"/>
      <c r="AD320" s="43"/>
      <c r="AE320" s="43"/>
      <c r="AF320" s="43">
        <v>60000000</v>
      </c>
      <c r="AG320" s="43">
        <v>31133332</v>
      </c>
      <c r="AH320" s="43">
        <v>21799999</v>
      </c>
      <c r="AI320" s="181"/>
      <c r="AJ320" s="181"/>
      <c r="AK320" s="181"/>
      <c r="AL320" s="43"/>
      <c r="AM320" s="43"/>
      <c r="AN320" s="43"/>
      <c r="AO320" s="43"/>
      <c r="AP320" s="43"/>
      <c r="AQ320" s="43"/>
      <c r="AR320" s="43"/>
      <c r="AS320" s="43"/>
      <c r="AT320" s="43"/>
      <c r="AU320" s="43"/>
      <c r="AV320" s="43"/>
      <c r="AW320" s="43"/>
      <c r="AX320" s="49">
        <f>20000000-13438000-6562000</f>
        <v>0</v>
      </c>
      <c r="AY320" s="49"/>
      <c r="AZ320" s="49"/>
      <c r="BA320" s="43"/>
      <c r="BB320" s="43"/>
      <c r="BC320" s="43"/>
      <c r="BD320" s="43"/>
      <c r="BE320" s="43"/>
      <c r="BF320" s="43"/>
      <c r="BG320" s="296">
        <f t="shared" si="350"/>
        <v>60000000</v>
      </c>
      <c r="BH320" s="296">
        <f t="shared" si="350"/>
        <v>31133332</v>
      </c>
      <c r="BI320" s="296">
        <f t="shared" si="350"/>
        <v>21799999</v>
      </c>
    </row>
    <row r="321" spans="1:61" ht="84.75" customHeight="1" x14ac:dyDescent="0.2">
      <c r="A321" s="438"/>
      <c r="B321" s="441"/>
      <c r="C321" s="373"/>
      <c r="D321" s="374"/>
      <c r="E321" s="354">
        <v>1905</v>
      </c>
      <c r="F321" s="356" t="s">
        <v>1156</v>
      </c>
      <c r="G321" s="347" t="s">
        <v>1112</v>
      </c>
      <c r="H321" s="354" t="s">
        <v>92</v>
      </c>
      <c r="I321" s="355" t="s">
        <v>1157</v>
      </c>
      <c r="J321" s="359" t="s">
        <v>1113</v>
      </c>
      <c r="K321" s="298" t="s">
        <v>92</v>
      </c>
      <c r="L321" s="304" t="s">
        <v>1114</v>
      </c>
      <c r="M321" s="354" t="s">
        <v>1401</v>
      </c>
      <c r="N321" s="354">
        <v>12</v>
      </c>
      <c r="O321" s="305">
        <v>2</v>
      </c>
      <c r="P321" s="305">
        <v>1</v>
      </c>
      <c r="Q321" s="524" t="s">
        <v>197</v>
      </c>
      <c r="R321" s="517" t="s">
        <v>1158</v>
      </c>
      <c r="S321" s="518" t="s">
        <v>1159</v>
      </c>
      <c r="T321" s="43"/>
      <c r="U321" s="43"/>
      <c r="V321" s="43"/>
      <c r="W321" s="43"/>
      <c r="X321" s="43"/>
      <c r="Y321" s="43"/>
      <c r="Z321" s="43"/>
      <c r="AA321" s="43"/>
      <c r="AB321" s="43"/>
      <c r="AC321" s="43"/>
      <c r="AD321" s="43"/>
      <c r="AE321" s="43"/>
      <c r="AF321" s="43">
        <f>100000000-25000000</f>
        <v>75000000</v>
      </c>
      <c r="AG321" s="43">
        <v>22000000</v>
      </c>
      <c r="AH321" s="43">
        <v>2800000</v>
      </c>
      <c r="AI321" s="43"/>
      <c r="AJ321" s="43"/>
      <c r="AK321" s="43"/>
      <c r="AL321" s="43"/>
      <c r="AM321" s="43"/>
      <c r="AN321" s="43"/>
      <c r="AO321" s="43"/>
      <c r="AP321" s="43"/>
      <c r="AQ321" s="43"/>
      <c r="AR321" s="43"/>
      <c r="AS321" s="43"/>
      <c r="AT321" s="43"/>
      <c r="AU321" s="43"/>
      <c r="AV321" s="43"/>
      <c r="AW321" s="43"/>
      <c r="AX321" s="49">
        <f>75000000+55000000+15000000</f>
        <v>145000000</v>
      </c>
      <c r="AY321" s="49">
        <v>60146487</v>
      </c>
      <c r="AZ321" s="49">
        <v>58279820</v>
      </c>
      <c r="BA321" s="43"/>
      <c r="BB321" s="43"/>
      <c r="BC321" s="43"/>
      <c r="BD321" s="43">
        <f>200991312+59118933-55519922</f>
        <v>204590323</v>
      </c>
      <c r="BE321" s="43">
        <v>139475717</v>
      </c>
      <c r="BF321" s="43">
        <v>139468517</v>
      </c>
      <c r="BG321" s="296">
        <f t="shared" si="350"/>
        <v>424590323</v>
      </c>
      <c r="BH321" s="296">
        <f t="shared" si="350"/>
        <v>221622204</v>
      </c>
      <c r="BI321" s="296">
        <f t="shared" si="350"/>
        <v>200548337</v>
      </c>
    </row>
    <row r="322" spans="1:61" ht="159" customHeight="1" x14ac:dyDescent="0.2">
      <c r="A322" s="438"/>
      <c r="B322" s="441"/>
      <c r="C322" s="373"/>
      <c r="D322" s="374"/>
      <c r="E322" s="354">
        <v>1905</v>
      </c>
      <c r="F322" s="355" t="s">
        <v>1147</v>
      </c>
      <c r="G322" s="347" t="s">
        <v>1148</v>
      </c>
      <c r="H322" s="354">
        <v>1905026</v>
      </c>
      <c r="I322" s="355" t="s">
        <v>1149</v>
      </c>
      <c r="J322" s="359" t="s">
        <v>1150</v>
      </c>
      <c r="K322" s="298">
        <v>190502600</v>
      </c>
      <c r="L322" s="304" t="s">
        <v>1151</v>
      </c>
      <c r="M322" s="354" t="s">
        <v>98</v>
      </c>
      <c r="N322" s="354">
        <v>12</v>
      </c>
      <c r="O322" s="354">
        <v>12</v>
      </c>
      <c r="P322" s="354">
        <v>4</v>
      </c>
      <c r="Q322" s="524"/>
      <c r="R322" s="517"/>
      <c r="S322" s="518"/>
      <c r="T322" s="43"/>
      <c r="U322" s="43"/>
      <c r="V322" s="43"/>
      <c r="W322" s="43"/>
      <c r="X322" s="43"/>
      <c r="Y322" s="43"/>
      <c r="Z322" s="43"/>
      <c r="AA322" s="43"/>
      <c r="AB322" s="43"/>
      <c r="AC322" s="43"/>
      <c r="AD322" s="43"/>
      <c r="AE322" s="43"/>
      <c r="AF322" s="43">
        <v>100000000</v>
      </c>
      <c r="AG322" s="43">
        <v>70633333</v>
      </c>
      <c r="AH322" s="43">
        <v>17240000</v>
      </c>
      <c r="AI322" s="43"/>
      <c r="AJ322" s="43"/>
      <c r="AK322" s="43"/>
      <c r="AL322" s="181"/>
      <c r="AM322" s="181"/>
      <c r="AN322" s="181"/>
      <c r="AO322" s="43"/>
      <c r="AP322" s="43"/>
      <c r="AQ322" s="43"/>
      <c r="AR322" s="43"/>
      <c r="AS322" s="43"/>
      <c r="AT322" s="43"/>
      <c r="AU322" s="43"/>
      <c r="AV322" s="43"/>
      <c r="AW322" s="43"/>
      <c r="AX322" s="43"/>
      <c r="AY322" s="43"/>
      <c r="AZ322" s="43"/>
      <c r="BA322" s="43"/>
      <c r="BB322" s="43"/>
      <c r="BC322" s="43"/>
      <c r="BD322" s="43">
        <f>340860.61+168116148+662000+158045-168116148</f>
        <v>1160905.6100000143</v>
      </c>
      <c r="BE322" s="43">
        <v>0</v>
      </c>
      <c r="BF322" s="43">
        <v>0</v>
      </c>
      <c r="BG322" s="296">
        <f t="shared" si="350"/>
        <v>101160905.61000001</v>
      </c>
      <c r="BH322" s="296">
        <f t="shared" si="350"/>
        <v>70633333</v>
      </c>
      <c r="BI322" s="296">
        <f t="shared" si="350"/>
        <v>17240000</v>
      </c>
    </row>
    <row r="323" spans="1:61" ht="88.5" customHeight="1" x14ac:dyDescent="0.2">
      <c r="A323" s="438"/>
      <c r="B323" s="441"/>
      <c r="C323" s="373"/>
      <c r="D323" s="374"/>
      <c r="E323" s="354">
        <v>1905</v>
      </c>
      <c r="F323" s="356" t="s">
        <v>1002</v>
      </c>
      <c r="G323" s="226" t="s">
        <v>1160</v>
      </c>
      <c r="H323" s="354">
        <v>1905014</v>
      </c>
      <c r="I323" s="355" t="s">
        <v>589</v>
      </c>
      <c r="J323" s="354" t="s">
        <v>1161</v>
      </c>
      <c r="K323" s="354">
        <v>190501400</v>
      </c>
      <c r="L323" s="355" t="s">
        <v>616</v>
      </c>
      <c r="M323" s="298" t="s">
        <v>98</v>
      </c>
      <c r="N323" s="298">
        <v>12</v>
      </c>
      <c r="O323" s="298">
        <v>12</v>
      </c>
      <c r="P323" s="298">
        <v>8</v>
      </c>
      <c r="Q323" s="524" t="s">
        <v>197</v>
      </c>
      <c r="R323" s="517" t="s">
        <v>1162</v>
      </c>
      <c r="S323" s="518" t="s">
        <v>1163</v>
      </c>
      <c r="T323" s="43"/>
      <c r="U323" s="43"/>
      <c r="V323" s="43"/>
      <c r="W323" s="43"/>
      <c r="X323" s="43"/>
      <c r="Y323" s="43"/>
      <c r="Z323" s="43"/>
      <c r="AA323" s="43"/>
      <c r="AB323" s="43"/>
      <c r="AC323" s="43"/>
      <c r="AD323" s="43"/>
      <c r="AE323" s="43"/>
      <c r="AF323" s="344">
        <f>45000000-17185750</f>
        <v>27814250</v>
      </c>
      <c r="AG323" s="344">
        <v>19274250</v>
      </c>
      <c r="AH323" s="344">
        <v>8814250</v>
      </c>
      <c r="AI323" s="43"/>
      <c r="AJ323" s="43"/>
      <c r="AK323" s="43"/>
      <c r="AL323" s="43"/>
      <c r="AM323" s="43"/>
      <c r="AN323" s="43"/>
      <c r="AO323" s="43"/>
      <c r="AP323" s="43"/>
      <c r="AQ323" s="43"/>
      <c r="AR323" s="43"/>
      <c r="AS323" s="43"/>
      <c r="AT323" s="43"/>
      <c r="AU323" s="43"/>
      <c r="AV323" s="43"/>
      <c r="AW323" s="43"/>
      <c r="AX323" s="49"/>
      <c r="AY323" s="49"/>
      <c r="AZ323" s="49"/>
      <c r="BA323" s="43"/>
      <c r="BB323" s="43"/>
      <c r="BC323" s="43"/>
      <c r="BD323" s="43"/>
      <c r="BE323" s="43"/>
      <c r="BF323" s="43"/>
      <c r="BG323" s="296">
        <f t="shared" si="350"/>
        <v>27814250</v>
      </c>
      <c r="BH323" s="296">
        <f t="shared" si="350"/>
        <v>19274250</v>
      </c>
      <c r="BI323" s="296">
        <f t="shared" si="350"/>
        <v>8814250</v>
      </c>
    </row>
    <row r="324" spans="1:61" ht="146.25" customHeight="1" x14ac:dyDescent="0.2">
      <c r="A324" s="438"/>
      <c r="B324" s="441"/>
      <c r="C324" s="373"/>
      <c r="D324" s="374"/>
      <c r="E324" s="354">
        <v>1905</v>
      </c>
      <c r="F324" s="356" t="s">
        <v>1147</v>
      </c>
      <c r="G324" s="347" t="s">
        <v>1148</v>
      </c>
      <c r="H324" s="354">
        <v>1905026</v>
      </c>
      <c r="I324" s="355" t="s">
        <v>1164</v>
      </c>
      <c r="J324" s="359" t="s">
        <v>1150</v>
      </c>
      <c r="K324" s="298">
        <v>190502600</v>
      </c>
      <c r="L324" s="304" t="s">
        <v>1151</v>
      </c>
      <c r="M324" s="354" t="s">
        <v>98</v>
      </c>
      <c r="N324" s="354">
        <v>12</v>
      </c>
      <c r="O324" s="354">
        <v>12</v>
      </c>
      <c r="P324" s="354">
        <v>8</v>
      </c>
      <c r="Q324" s="524"/>
      <c r="R324" s="517"/>
      <c r="S324" s="518"/>
      <c r="T324" s="43"/>
      <c r="U324" s="43"/>
      <c r="V324" s="43"/>
      <c r="W324" s="43"/>
      <c r="X324" s="43"/>
      <c r="Y324" s="43"/>
      <c r="Z324" s="43"/>
      <c r="AA324" s="43"/>
      <c r="AB324" s="43"/>
      <c r="AC324" s="43"/>
      <c r="AD324" s="43"/>
      <c r="AE324" s="43"/>
      <c r="AF324" s="344">
        <v>17185750</v>
      </c>
      <c r="AG324" s="344">
        <v>17185750</v>
      </c>
      <c r="AH324" s="344">
        <v>17185750</v>
      </c>
      <c r="AI324" s="344"/>
      <c r="AJ324" s="43"/>
      <c r="AK324" s="43"/>
      <c r="AL324" s="43"/>
      <c r="AM324" s="43"/>
      <c r="AN324" s="43"/>
      <c r="AO324" s="43"/>
      <c r="AP324" s="43"/>
      <c r="AQ324" s="43"/>
      <c r="AR324" s="43"/>
      <c r="AS324" s="43"/>
      <c r="AT324" s="43"/>
      <c r="AU324" s="43"/>
      <c r="AV324" s="43"/>
      <c r="AW324" s="43"/>
      <c r="AX324" s="49"/>
      <c r="AY324" s="49"/>
      <c r="AZ324" s="49"/>
      <c r="BA324" s="43"/>
      <c r="BB324" s="43"/>
      <c r="BC324" s="43"/>
      <c r="BD324" s="49">
        <f>155911553+22308240+3163033-4541113</f>
        <v>176841713</v>
      </c>
      <c r="BE324" s="49">
        <f>51700000+11000000</f>
        <v>62700000</v>
      </c>
      <c r="BF324" s="49">
        <v>2800000</v>
      </c>
      <c r="BG324" s="296">
        <f t="shared" si="350"/>
        <v>194027463</v>
      </c>
      <c r="BH324" s="296">
        <f t="shared" si="350"/>
        <v>79885750</v>
      </c>
      <c r="BI324" s="296">
        <f t="shared" si="350"/>
        <v>19985750</v>
      </c>
    </row>
    <row r="325" spans="1:61" ht="155.25" customHeight="1" x14ac:dyDescent="0.2">
      <c r="A325" s="438"/>
      <c r="B325" s="441"/>
      <c r="C325" s="373"/>
      <c r="D325" s="374"/>
      <c r="E325" s="354">
        <v>1905</v>
      </c>
      <c r="F325" s="356" t="s">
        <v>1147</v>
      </c>
      <c r="G325" s="347" t="s">
        <v>1148</v>
      </c>
      <c r="H325" s="354">
        <v>1905026</v>
      </c>
      <c r="I325" s="355" t="s">
        <v>1149</v>
      </c>
      <c r="J325" s="359" t="s">
        <v>1150</v>
      </c>
      <c r="K325" s="298">
        <v>190502600</v>
      </c>
      <c r="L325" s="304" t="s">
        <v>1151</v>
      </c>
      <c r="M325" s="354" t="s">
        <v>98</v>
      </c>
      <c r="N325" s="354">
        <v>12</v>
      </c>
      <c r="O325" s="354">
        <v>12</v>
      </c>
      <c r="P325" s="354">
        <v>6</v>
      </c>
      <c r="Q325" s="423" t="s">
        <v>197</v>
      </c>
      <c r="R325" s="354" t="s">
        <v>1165</v>
      </c>
      <c r="S325" s="355" t="s">
        <v>1166</v>
      </c>
      <c r="T325" s="43"/>
      <c r="U325" s="43"/>
      <c r="V325" s="43"/>
      <c r="W325" s="43"/>
      <c r="X325" s="43"/>
      <c r="Y325" s="43"/>
      <c r="Z325" s="43"/>
      <c r="AA325" s="43"/>
      <c r="AB325" s="43"/>
      <c r="AC325" s="43"/>
      <c r="AD325" s="43"/>
      <c r="AE325" s="43"/>
      <c r="AF325" s="43"/>
      <c r="AG325" s="43"/>
      <c r="AH325" s="43"/>
      <c r="AI325" s="244"/>
      <c r="AJ325" s="244"/>
      <c r="AK325" s="244"/>
      <c r="AL325" s="43"/>
      <c r="AM325" s="43"/>
      <c r="AN325" s="43"/>
      <c r="AO325" s="43"/>
      <c r="AP325" s="43"/>
      <c r="AQ325" s="43"/>
      <c r="AR325" s="43"/>
      <c r="AS325" s="43"/>
      <c r="AT325" s="43"/>
      <c r="AU325" s="43"/>
      <c r="AV325" s="43"/>
      <c r="AW325" s="43"/>
      <c r="AX325" s="49">
        <v>2929870740</v>
      </c>
      <c r="AY325" s="49">
        <v>1049213960.33</v>
      </c>
      <c r="AZ325" s="49">
        <v>619444375</v>
      </c>
      <c r="BA325" s="43"/>
      <c r="BB325" s="43"/>
      <c r="BC325" s="43"/>
      <c r="BD325" s="43">
        <v>0</v>
      </c>
      <c r="BE325" s="43"/>
      <c r="BF325" s="43"/>
      <c r="BG325" s="296">
        <f t="shared" si="350"/>
        <v>2929870740</v>
      </c>
      <c r="BH325" s="296">
        <f t="shared" si="350"/>
        <v>1049213960.33</v>
      </c>
      <c r="BI325" s="296">
        <f t="shared" si="350"/>
        <v>619444375</v>
      </c>
    </row>
    <row r="326" spans="1:61" ht="174" customHeight="1" x14ac:dyDescent="0.2">
      <c r="A326" s="438"/>
      <c r="B326" s="441"/>
      <c r="C326" s="373"/>
      <c r="D326" s="374"/>
      <c r="E326" s="354">
        <v>1905</v>
      </c>
      <c r="F326" s="356" t="s">
        <v>1147</v>
      </c>
      <c r="G326" s="347" t="s">
        <v>1148</v>
      </c>
      <c r="H326" s="354">
        <v>1905026</v>
      </c>
      <c r="I326" s="355" t="s">
        <v>1149</v>
      </c>
      <c r="J326" s="359" t="s">
        <v>1150</v>
      </c>
      <c r="K326" s="298">
        <v>190502600</v>
      </c>
      <c r="L326" s="304" t="s">
        <v>1151</v>
      </c>
      <c r="M326" s="354" t="s">
        <v>98</v>
      </c>
      <c r="N326" s="354">
        <v>12</v>
      </c>
      <c r="O326" s="354">
        <v>12</v>
      </c>
      <c r="P326" s="354">
        <v>6</v>
      </c>
      <c r="Q326" s="423" t="s">
        <v>197</v>
      </c>
      <c r="R326" s="517" t="s">
        <v>1171</v>
      </c>
      <c r="S326" s="535" t="s">
        <v>1172</v>
      </c>
      <c r="T326" s="43"/>
      <c r="U326" s="43"/>
      <c r="V326" s="43"/>
      <c r="W326" s="43"/>
      <c r="X326" s="43"/>
      <c r="Y326" s="43"/>
      <c r="Z326" s="43"/>
      <c r="AA326" s="43"/>
      <c r="AB326" s="43"/>
      <c r="AC326" s="43"/>
      <c r="AD326" s="43"/>
      <c r="AE326" s="43"/>
      <c r="AF326" s="43">
        <f>10000000-2000000</f>
        <v>8000000</v>
      </c>
      <c r="AG326" s="43">
        <v>0</v>
      </c>
      <c r="AH326" s="43">
        <v>0</v>
      </c>
      <c r="AI326" s="244"/>
      <c r="AJ326" s="244"/>
      <c r="AK326" s="244"/>
      <c r="AL326" s="43"/>
      <c r="AM326" s="43"/>
      <c r="AN326" s="43"/>
      <c r="AO326" s="43"/>
      <c r="AP326" s="43"/>
      <c r="AQ326" s="43"/>
      <c r="AR326" s="43"/>
      <c r="AS326" s="43"/>
      <c r="AT326" s="43"/>
      <c r="AU326" s="43"/>
      <c r="AV326" s="43"/>
      <c r="AW326" s="43"/>
      <c r="AX326" s="49"/>
      <c r="AY326" s="49"/>
      <c r="AZ326" s="49"/>
      <c r="BA326" s="43"/>
      <c r="BB326" s="43"/>
      <c r="BC326" s="43"/>
      <c r="BD326" s="43"/>
      <c r="BE326" s="43"/>
      <c r="BF326" s="43"/>
      <c r="BG326" s="296">
        <f t="shared" si="350"/>
        <v>8000000</v>
      </c>
      <c r="BH326" s="296">
        <f t="shared" si="350"/>
        <v>0</v>
      </c>
      <c r="BI326" s="296">
        <f t="shared" si="350"/>
        <v>0</v>
      </c>
    </row>
    <row r="327" spans="1:61" ht="80.25" customHeight="1" x14ac:dyDescent="0.2">
      <c r="A327" s="438"/>
      <c r="B327" s="441"/>
      <c r="C327" s="373"/>
      <c r="D327" s="374"/>
      <c r="E327" s="354">
        <v>1905</v>
      </c>
      <c r="F327" s="356" t="s">
        <v>1007</v>
      </c>
      <c r="G327" s="347" t="s">
        <v>1167</v>
      </c>
      <c r="H327" s="354">
        <v>1905029</v>
      </c>
      <c r="I327" s="355" t="s">
        <v>1168</v>
      </c>
      <c r="J327" s="359" t="s">
        <v>1169</v>
      </c>
      <c r="K327" s="298">
        <v>190502900</v>
      </c>
      <c r="L327" s="304" t="s">
        <v>1170</v>
      </c>
      <c r="M327" s="298" t="s">
        <v>98</v>
      </c>
      <c r="N327" s="298">
        <v>60</v>
      </c>
      <c r="O327" s="298">
        <v>60</v>
      </c>
      <c r="P327" s="298">
        <v>0</v>
      </c>
      <c r="Q327" s="423" t="s">
        <v>197</v>
      </c>
      <c r="R327" s="517"/>
      <c r="S327" s="535"/>
      <c r="T327" s="43"/>
      <c r="U327" s="43"/>
      <c r="V327" s="43"/>
      <c r="W327" s="43"/>
      <c r="X327" s="43"/>
      <c r="Y327" s="43"/>
      <c r="Z327" s="43"/>
      <c r="AA327" s="43"/>
      <c r="AB327" s="43"/>
      <c r="AC327" s="43"/>
      <c r="AD327" s="43"/>
      <c r="AE327" s="43"/>
      <c r="AF327" s="43">
        <f>10000000</f>
        <v>10000000</v>
      </c>
      <c r="AG327" s="43">
        <v>0</v>
      </c>
      <c r="AH327" s="43">
        <v>0</v>
      </c>
      <c r="AI327" s="43"/>
      <c r="AJ327" s="43"/>
      <c r="AK327" s="43"/>
      <c r="AL327" s="43"/>
      <c r="AM327" s="43"/>
      <c r="AN327" s="43"/>
      <c r="AO327" s="43"/>
      <c r="AP327" s="43"/>
      <c r="AQ327" s="43"/>
      <c r="AR327" s="43"/>
      <c r="AS327" s="43"/>
      <c r="AT327" s="43"/>
      <c r="AU327" s="43"/>
      <c r="AV327" s="43"/>
      <c r="AW327" s="43"/>
      <c r="AX327" s="49"/>
      <c r="AY327" s="49"/>
      <c r="AZ327" s="49"/>
      <c r="BA327" s="43"/>
      <c r="BB327" s="43"/>
      <c r="BC327" s="43"/>
      <c r="BD327" s="43"/>
      <c r="BE327" s="43"/>
      <c r="BF327" s="43"/>
      <c r="BG327" s="296">
        <f t="shared" si="350"/>
        <v>10000000</v>
      </c>
      <c r="BH327" s="296">
        <f t="shared" si="350"/>
        <v>0</v>
      </c>
      <c r="BI327" s="296">
        <f t="shared" si="350"/>
        <v>0</v>
      </c>
    </row>
    <row r="328" spans="1:61" ht="93.75" customHeight="1" x14ac:dyDescent="0.2">
      <c r="A328" s="438"/>
      <c r="B328" s="441"/>
      <c r="C328" s="373"/>
      <c r="D328" s="374"/>
      <c r="E328" s="354">
        <v>1905</v>
      </c>
      <c r="F328" s="356" t="s">
        <v>1066</v>
      </c>
      <c r="G328" s="347" t="s">
        <v>1173</v>
      </c>
      <c r="H328" s="354">
        <v>1905025</v>
      </c>
      <c r="I328" s="355" t="s">
        <v>1174</v>
      </c>
      <c r="J328" s="359" t="s">
        <v>1175</v>
      </c>
      <c r="K328" s="298">
        <v>190502500</v>
      </c>
      <c r="L328" s="304" t="s">
        <v>1176</v>
      </c>
      <c r="M328" s="298" t="s">
        <v>98</v>
      </c>
      <c r="N328" s="298">
        <v>12</v>
      </c>
      <c r="O328" s="298">
        <v>12</v>
      </c>
      <c r="P328" s="298">
        <v>9</v>
      </c>
      <c r="Q328" s="423" t="s">
        <v>197</v>
      </c>
      <c r="R328" s="354" t="s">
        <v>1177</v>
      </c>
      <c r="S328" s="355" t="s">
        <v>1178</v>
      </c>
      <c r="T328" s="43"/>
      <c r="U328" s="43"/>
      <c r="V328" s="43"/>
      <c r="W328" s="43"/>
      <c r="X328" s="43"/>
      <c r="Y328" s="43"/>
      <c r="Z328" s="43"/>
      <c r="AA328" s="43"/>
      <c r="AB328" s="43"/>
      <c r="AC328" s="43"/>
      <c r="AD328" s="43"/>
      <c r="AE328" s="43"/>
      <c r="AF328" s="43">
        <f>76000000-800000</f>
        <v>75200000</v>
      </c>
      <c r="AG328" s="43">
        <v>60506662</v>
      </c>
      <c r="AH328" s="43">
        <v>12973331</v>
      </c>
      <c r="AI328" s="43"/>
      <c r="AJ328" s="43"/>
      <c r="AK328" s="43"/>
      <c r="AL328" s="43"/>
      <c r="AM328" s="43"/>
      <c r="AN328" s="43"/>
      <c r="AO328" s="43"/>
      <c r="AP328" s="43"/>
      <c r="AQ328" s="43"/>
      <c r="AR328" s="43"/>
      <c r="AS328" s="43"/>
      <c r="AT328" s="43"/>
      <c r="AU328" s="43"/>
      <c r="AV328" s="43"/>
      <c r="AW328" s="43"/>
      <c r="AX328" s="49"/>
      <c r="AY328" s="49"/>
      <c r="AZ328" s="49"/>
      <c r="BA328" s="43"/>
      <c r="BB328" s="43"/>
      <c r="BC328" s="43"/>
      <c r="BD328" s="43"/>
      <c r="BE328" s="43"/>
      <c r="BF328" s="43"/>
      <c r="BG328" s="296">
        <f t="shared" si="350"/>
        <v>75200000</v>
      </c>
      <c r="BH328" s="296">
        <f t="shared" si="350"/>
        <v>60506662</v>
      </c>
      <c r="BI328" s="296">
        <f t="shared" si="350"/>
        <v>12973331</v>
      </c>
    </row>
    <row r="329" spans="1:61" ht="96" customHeight="1" x14ac:dyDescent="0.2">
      <c r="A329" s="438"/>
      <c r="B329" s="441"/>
      <c r="C329" s="373"/>
      <c r="D329" s="374"/>
      <c r="E329" s="354">
        <v>1905</v>
      </c>
      <c r="F329" s="356" t="s">
        <v>1017</v>
      </c>
      <c r="G329" s="226">
        <v>12.3</v>
      </c>
      <c r="H329" s="354">
        <v>1905015</v>
      </c>
      <c r="I329" s="355" t="s">
        <v>480</v>
      </c>
      <c r="J329" s="354" t="s">
        <v>1179</v>
      </c>
      <c r="K329" s="354">
        <v>190501503</v>
      </c>
      <c r="L329" s="355" t="s">
        <v>1180</v>
      </c>
      <c r="M329" s="298" t="s">
        <v>98</v>
      </c>
      <c r="N329" s="298">
        <v>15</v>
      </c>
      <c r="O329" s="298">
        <v>15</v>
      </c>
      <c r="P329" s="298">
        <v>7</v>
      </c>
      <c r="Q329" s="423" t="s">
        <v>197</v>
      </c>
      <c r="R329" s="354" t="s">
        <v>1048</v>
      </c>
      <c r="S329" s="355" t="s">
        <v>1049</v>
      </c>
      <c r="T329" s="43"/>
      <c r="U329" s="43"/>
      <c r="V329" s="43"/>
      <c r="W329" s="43"/>
      <c r="X329" s="43"/>
      <c r="Y329" s="43"/>
      <c r="Z329" s="43"/>
      <c r="AA329" s="43"/>
      <c r="AB329" s="43"/>
      <c r="AC329" s="43"/>
      <c r="AD329" s="43"/>
      <c r="AE329" s="43"/>
      <c r="AF329" s="61">
        <f>100126107.49-0.35</f>
        <v>100126107.14</v>
      </c>
      <c r="AG329" s="61">
        <v>0</v>
      </c>
      <c r="AH329" s="61">
        <v>0</v>
      </c>
      <c r="AI329" s="43"/>
      <c r="AJ329" s="43"/>
      <c r="AK329" s="43"/>
      <c r="AL329" s="43"/>
      <c r="AM329" s="43"/>
      <c r="AN329" s="43"/>
      <c r="AO329" s="43"/>
      <c r="AP329" s="43"/>
      <c r="AQ329" s="43"/>
      <c r="AR329" s="43"/>
      <c r="AS329" s="43"/>
      <c r="AT329" s="43"/>
      <c r="AU329" s="43"/>
      <c r="AV329" s="43"/>
      <c r="AW329" s="43"/>
      <c r="AX329" s="49"/>
      <c r="AY329" s="49"/>
      <c r="AZ329" s="49"/>
      <c r="BA329" s="43"/>
      <c r="BB329" s="43"/>
      <c r="BC329" s="43"/>
      <c r="BD329" s="43"/>
      <c r="BE329" s="43"/>
      <c r="BF329" s="43"/>
      <c r="BG329" s="296">
        <f t="shared" si="350"/>
        <v>100126107.14</v>
      </c>
      <c r="BH329" s="296">
        <f t="shared" si="350"/>
        <v>0</v>
      </c>
      <c r="BI329" s="296">
        <f t="shared" si="350"/>
        <v>0</v>
      </c>
    </row>
    <row r="330" spans="1:61" ht="89.25" customHeight="1" x14ac:dyDescent="0.2">
      <c r="A330" s="438"/>
      <c r="B330" s="441"/>
      <c r="C330" s="375"/>
      <c r="D330" s="354"/>
      <c r="E330" s="354">
        <v>1905</v>
      </c>
      <c r="F330" s="356" t="s">
        <v>1181</v>
      </c>
      <c r="G330" s="336" t="s">
        <v>1182</v>
      </c>
      <c r="H330" s="354" t="s">
        <v>92</v>
      </c>
      <c r="I330" s="356" t="s">
        <v>1183</v>
      </c>
      <c r="J330" s="363" t="s">
        <v>1184</v>
      </c>
      <c r="K330" s="363" t="s">
        <v>92</v>
      </c>
      <c r="L330" s="356" t="s">
        <v>1185</v>
      </c>
      <c r="M330" s="298" t="s">
        <v>98</v>
      </c>
      <c r="N330" s="298">
        <v>1</v>
      </c>
      <c r="O330" s="298">
        <v>1</v>
      </c>
      <c r="P330" s="298">
        <v>0.5</v>
      </c>
      <c r="Q330" s="423" t="s">
        <v>197</v>
      </c>
      <c r="R330" s="354" t="s">
        <v>1186</v>
      </c>
      <c r="S330" s="355" t="s">
        <v>1187</v>
      </c>
      <c r="T330" s="43"/>
      <c r="U330" s="43"/>
      <c r="V330" s="43"/>
      <c r="W330" s="43"/>
      <c r="X330" s="43"/>
      <c r="Y330" s="43"/>
      <c r="Z330" s="43"/>
      <c r="AA330" s="43"/>
      <c r="AB330" s="43"/>
      <c r="AC330" s="43"/>
      <c r="AD330" s="43"/>
      <c r="AE330" s="43"/>
      <c r="AF330" s="43"/>
      <c r="AG330" s="43"/>
      <c r="AH330" s="43"/>
      <c r="AI330" s="62"/>
      <c r="AJ330" s="62"/>
      <c r="AK330" s="62"/>
      <c r="AL330" s="43"/>
      <c r="AM330" s="43"/>
      <c r="AN330" s="43"/>
      <c r="AO330" s="43"/>
      <c r="AP330" s="43"/>
      <c r="AQ330" s="43"/>
      <c r="AR330" s="43"/>
      <c r="AS330" s="43"/>
      <c r="AT330" s="43"/>
      <c r="AU330" s="43"/>
      <c r="AV330" s="43"/>
      <c r="AW330" s="43"/>
      <c r="AX330" s="49">
        <f>161000000+139000000+150000000</f>
        <v>450000000</v>
      </c>
      <c r="AY330" s="49">
        <v>185105150</v>
      </c>
      <c r="AZ330" s="49">
        <v>106553170</v>
      </c>
      <c r="BA330" s="43"/>
      <c r="BB330" s="43"/>
      <c r="BC330" s="43"/>
      <c r="BD330" s="43"/>
      <c r="BE330" s="43"/>
      <c r="BF330" s="43"/>
      <c r="BG330" s="296">
        <f t="shared" si="350"/>
        <v>450000000</v>
      </c>
      <c r="BH330" s="296">
        <f t="shared" si="350"/>
        <v>185105150</v>
      </c>
      <c r="BI330" s="296">
        <f t="shared" si="350"/>
        <v>106553170</v>
      </c>
    </row>
    <row r="331" spans="1:61" ht="79.5" customHeight="1" x14ac:dyDescent="0.2">
      <c r="A331" s="438"/>
      <c r="B331" s="441"/>
      <c r="C331" s="373"/>
      <c r="D331" s="374"/>
      <c r="E331" s="354">
        <v>1905</v>
      </c>
      <c r="F331" s="356" t="s">
        <v>1497</v>
      </c>
      <c r="G331" s="226" t="s">
        <v>1089</v>
      </c>
      <c r="H331" s="364">
        <v>1905031</v>
      </c>
      <c r="I331" s="355" t="s">
        <v>1090</v>
      </c>
      <c r="J331" s="354" t="s">
        <v>1091</v>
      </c>
      <c r="K331" s="354">
        <v>190503100</v>
      </c>
      <c r="L331" s="355" t="s">
        <v>1092</v>
      </c>
      <c r="M331" s="298" t="s">
        <v>98</v>
      </c>
      <c r="N331" s="298">
        <v>12</v>
      </c>
      <c r="O331" s="298">
        <v>12</v>
      </c>
      <c r="P331" s="298">
        <v>10</v>
      </c>
      <c r="Q331" s="423" t="s">
        <v>197</v>
      </c>
      <c r="R331" s="354" t="s">
        <v>1188</v>
      </c>
      <c r="S331" s="355" t="s">
        <v>11</v>
      </c>
      <c r="T331" s="43"/>
      <c r="U331" s="43"/>
      <c r="V331" s="43"/>
      <c r="W331" s="43"/>
      <c r="X331" s="43"/>
      <c r="Y331" s="43"/>
      <c r="Z331" s="43"/>
      <c r="AA331" s="43"/>
      <c r="AB331" s="43"/>
      <c r="AC331" s="43"/>
      <c r="AD331" s="43"/>
      <c r="AE331" s="43"/>
      <c r="AF331" s="43">
        <f>1300000000+100126107.49</f>
        <v>1400126107.49</v>
      </c>
      <c r="AG331" s="43">
        <v>539370666</v>
      </c>
      <c r="AH331" s="43">
        <v>19632666</v>
      </c>
      <c r="AI331" s="43"/>
      <c r="AJ331" s="43"/>
      <c r="AK331" s="43"/>
      <c r="AL331" s="43"/>
      <c r="AM331" s="43"/>
      <c r="AN331" s="43"/>
      <c r="AO331" s="43"/>
      <c r="AP331" s="43"/>
      <c r="AQ331" s="43"/>
      <c r="AR331" s="43"/>
      <c r="AS331" s="43"/>
      <c r="AT331" s="43"/>
      <c r="AU331" s="43"/>
      <c r="AV331" s="43"/>
      <c r="AW331" s="43"/>
      <c r="AX331" s="49"/>
      <c r="AY331" s="49"/>
      <c r="AZ331" s="49"/>
      <c r="BA331" s="43"/>
      <c r="BB331" s="43"/>
      <c r="BC331" s="43"/>
      <c r="BD331" s="43"/>
      <c r="BE331" s="43"/>
      <c r="BF331" s="43"/>
      <c r="BG331" s="296">
        <f t="shared" si="350"/>
        <v>1400126107.49</v>
      </c>
      <c r="BH331" s="296">
        <f t="shared" si="350"/>
        <v>539370666</v>
      </c>
      <c r="BI331" s="296">
        <f t="shared" si="350"/>
        <v>19632666</v>
      </c>
    </row>
    <row r="332" spans="1:61" ht="24.75" customHeight="1" x14ac:dyDescent="0.2">
      <c r="A332" s="438"/>
      <c r="B332" s="441"/>
      <c r="C332" s="195">
        <v>13</v>
      </c>
      <c r="D332" s="167">
        <v>1906</v>
      </c>
      <c r="E332" s="357" t="s">
        <v>191</v>
      </c>
      <c r="F332" s="166"/>
      <c r="G332" s="167"/>
      <c r="H332" s="168"/>
      <c r="I332" s="166"/>
      <c r="J332" s="167"/>
      <c r="K332" s="167"/>
      <c r="L332" s="166"/>
      <c r="M332" s="169"/>
      <c r="N332" s="169"/>
      <c r="O332" s="167"/>
      <c r="P332" s="167"/>
      <c r="Q332" s="424"/>
      <c r="R332" s="167"/>
      <c r="S332" s="166"/>
      <c r="T332" s="171">
        <f t="shared" ref="T332:BG332" si="351">SUM(T333:T339)</f>
        <v>0</v>
      </c>
      <c r="U332" s="171"/>
      <c r="V332" s="171"/>
      <c r="W332" s="171">
        <f t="shared" si="351"/>
        <v>0</v>
      </c>
      <c r="X332" s="171"/>
      <c r="Y332" s="171"/>
      <c r="Z332" s="171">
        <f t="shared" si="351"/>
        <v>0</v>
      </c>
      <c r="AA332" s="171"/>
      <c r="AB332" s="171"/>
      <c r="AC332" s="171">
        <f t="shared" si="351"/>
        <v>0</v>
      </c>
      <c r="AD332" s="171"/>
      <c r="AE332" s="171"/>
      <c r="AF332" s="171">
        <f t="shared" si="351"/>
        <v>2194512076.8699999</v>
      </c>
      <c r="AG332" s="171">
        <f t="shared" si="351"/>
        <v>671108389</v>
      </c>
      <c r="AH332" s="171">
        <f t="shared" si="351"/>
        <v>671108389</v>
      </c>
      <c r="AI332" s="171">
        <f t="shared" si="351"/>
        <v>26148440529.420002</v>
      </c>
      <c r="AJ332" s="171">
        <f t="shared" si="351"/>
        <v>21003871527</v>
      </c>
      <c r="AK332" s="171">
        <f t="shared" si="351"/>
        <v>10659175124.5</v>
      </c>
      <c r="AL332" s="171">
        <f t="shared" si="351"/>
        <v>0</v>
      </c>
      <c r="AM332" s="171"/>
      <c r="AN332" s="171"/>
      <c r="AO332" s="171">
        <f t="shared" si="351"/>
        <v>0</v>
      </c>
      <c r="AP332" s="171"/>
      <c r="AQ332" s="171"/>
      <c r="AR332" s="171">
        <f t="shared" si="351"/>
        <v>0</v>
      </c>
      <c r="AS332" s="171"/>
      <c r="AT332" s="171"/>
      <c r="AU332" s="171">
        <f t="shared" si="351"/>
        <v>0</v>
      </c>
      <c r="AV332" s="171"/>
      <c r="AW332" s="171"/>
      <c r="AX332" s="171">
        <f t="shared" si="351"/>
        <v>941590000</v>
      </c>
      <c r="AY332" s="171">
        <f t="shared" si="351"/>
        <v>844533333</v>
      </c>
      <c r="AZ332" s="171">
        <f t="shared" si="351"/>
        <v>426400000</v>
      </c>
      <c r="BA332" s="171">
        <f t="shared" si="351"/>
        <v>0</v>
      </c>
      <c r="BB332" s="171"/>
      <c r="BC332" s="171"/>
      <c r="BD332" s="171">
        <f t="shared" si="351"/>
        <v>1413975883.6900001</v>
      </c>
      <c r="BE332" s="171">
        <f t="shared" si="351"/>
        <v>1317894840</v>
      </c>
      <c r="BF332" s="171">
        <f t="shared" si="351"/>
        <v>616456440</v>
      </c>
      <c r="BG332" s="171">
        <f t="shared" si="351"/>
        <v>30698518489.98</v>
      </c>
      <c r="BH332" s="171">
        <f t="shared" ref="BH332:BI332" si="352">SUM(BH333:BH339)</f>
        <v>23837408089</v>
      </c>
      <c r="BI332" s="171">
        <f t="shared" si="352"/>
        <v>12373139953.5</v>
      </c>
    </row>
    <row r="333" spans="1:61" ht="76.5" customHeight="1" x14ac:dyDescent="0.2">
      <c r="A333" s="438"/>
      <c r="B333" s="441"/>
      <c r="C333" s="373"/>
      <c r="D333" s="374"/>
      <c r="E333" s="354">
        <v>1906</v>
      </c>
      <c r="F333" s="356" t="s">
        <v>1066</v>
      </c>
      <c r="G333" s="226" t="s">
        <v>1189</v>
      </c>
      <c r="H333" s="354">
        <v>1906032</v>
      </c>
      <c r="I333" s="355" t="s">
        <v>1190</v>
      </c>
      <c r="J333" s="354" t="s">
        <v>1191</v>
      </c>
      <c r="K333" s="298">
        <v>190603200</v>
      </c>
      <c r="L333" s="355" t="s">
        <v>1192</v>
      </c>
      <c r="M333" s="298" t="s">
        <v>188</v>
      </c>
      <c r="N333" s="298">
        <v>3000</v>
      </c>
      <c r="O333" s="298">
        <v>1500</v>
      </c>
      <c r="P333" s="298">
        <v>1200</v>
      </c>
      <c r="Q333" s="524" t="s">
        <v>197</v>
      </c>
      <c r="R333" s="517" t="s">
        <v>1193</v>
      </c>
      <c r="S333" s="518" t="s">
        <v>1194</v>
      </c>
      <c r="T333" s="43"/>
      <c r="U333" s="43"/>
      <c r="V333" s="43"/>
      <c r="W333" s="43"/>
      <c r="X333" s="43"/>
      <c r="Y333" s="43"/>
      <c r="Z333" s="43"/>
      <c r="AA333" s="43"/>
      <c r="AB333" s="43"/>
      <c r="AC333" s="43"/>
      <c r="AD333" s="43"/>
      <c r="AE333" s="43"/>
      <c r="AF333" s="43"/>
      <c r="AG333" s="43"/>
      <c r="AH333" s="43"/>
      <c r="AI333" s="61"/>
      <c r="AJ333" s="61"/>
      <c r="AK333" s="61"/>
      <c r="AL333" s="43"/>
      <c r="AM333" s="43"/>
      <c r="AN333" s="43"/>
      <c r="AO333" s="43"/>
      <c r="AP333" s="43"/>
      <c r="AQ333" s="43"/>
      <c r="AR333" s="43"/>
      <c r="AS333" s="43"/>
      <c r="AT333" s="43"/>
      <c r="AU333" s="43"/>
      <c r="AV333" s="43"/>
      <c r="AW333" s="43"/>
      <c r="AX333" s="49"/>
      <c r="AY333" s="49"/>
      <c r="AZ333" s="49"/>
      <c r="BA333" s="43"/>
      <c r="BB333" s="43"/>
      <c r="BC333" s="43"/>
      <c r="BD333" s="43"/>
      <c r="BE333" s="43"/>
      <c r="BF333" s="43"/>
      <c r="BG333" s="173">
        <f>+T333+W333+Z333+AC333+AF333+AI333+AL333+AO333+AR333+AU333+AX333+BA333+BD333</f>
        <v>0</v>
      </c>
      <c r="BH333" s="173">
        <f t="shared" ref="BH333:BI335" si="353">+U333+X333+AA333+AD333+AG333+AJ333+AM333+AP333+AS333+AV333+AY333+BB333+BE333</f>
        <v>0</v>
      </c>
      <c r="BI333" s="173">
        <f t="shared" si="353"/>
        <v>0</v>
      </c>
    </row>
    <row r="334" spans="1:61" ht="71.25" customHeight="1" x14ac:dyDescent="0.2">
      <c r="A334" s="438"/>
      <c r="B334" s="441"/>
      <c r="C334" s="373"/>
      <c r="D334" s="374"/>
      <c r="E334" s="354">
        <v>1906</v>
      </c>
      <c r="F334" s="356" t="s">
        <v>1195</v>
      </c>
      <c r="G334" s="226" t="s">
        <v>1196</v>
      </c>
      <c r="H334" s="354" t="s">
        <v>92</v>
      </c>
      <c r="I334" s="355" t="s">
        <v>1197</v>
      </c>
      <c r="J334" s="354" t="s">
        <v>1198</v>
      </c>
      <c r="K334" s="354" t="s">
        <v>92</v>
      </c>
      <c r="L334" s="355" t="s">
        <v>1199</v>
      </c>
      <c r="M334" s="298" t="s">
        <v>98</v>
      </c>
      <c r="N334" s="298">
        <v>19899</v>
      </c>
      <c r="O334" s="298">
        <v>19899</v>
      </c>
      <c r="P334" s="298">
        <v>17952</v>
      </c>
      <c r="Q334" s="524"/>
      <c r="R334" s="517"/>
      <c r="S334" s="518"/>
      <c r="T334" s="43"/>
      <c r="U334" s="43"/>
      <c r="V334" s="43"/>
      <c r="W334" s="43"/>
      <c r="X334" s="43"/>
      <c r="Y334" s="43"/>
      <c r="Z334" s="43"/>
      <c r="AA334" s="43"/>
      <c r="AB334" s="43"/>
      <c r="AC334" s="43"/>
      <c r="AD334" s="43"/>
      <c r="AE334" s="43"/>
      <c r="AF334" s="43"/>
      <c r="AG334" s="43"/>
      <c r="AH334" s="43"/>
      <c r="AI334" s="43">
        <f>21634597197+14825685-3.96</f>
        <v>21649422878.040001</v>
      </c>
      <c r="AJ334" s="43">
        <v>19900314812</v>
      </c>
      <c r="AK334" s="43">
        <v>9555618409.5</v>
      </c>
      <c r="AL334" s="43"/>
      <c r="AM334" s="43"/>
      <c r="AN334" s="43"/>
      <c r="AO334" s="43"/>
      <c r="AP334" s="43"/>
      <c r="AQ334" s="43"/>
      <c r="AR334" s="43"/>
      <c r="AS334" s="43"/>
      <c r="AT334" s="43"/>
      <c r="AU334" s="43"/>
      <c r="AV334" s="43"/>
      <c r="AW334" s="43"/>
      <c r="AX334" s="49">
        <v>11200000</v>
      </c>
      <c r="AY334" s="49">
        <v>11200000</v>
      </c>
      <c r="AZ334" s="49">
        <v>11200000</v>
      </c>
      <c r="BA334" s="43"/>
      <c r="BB334" s="43"/>
      <c r="BC334" s="43"/>
      <c r="BD334" s="43"/>
      <c r="BE334" s="43"/>
      <c r="BF334" s="43"/>
      <c r="BG334" s="296">
        <f>+T334+W334+Z334+AC334+AF334+AI334+AL334+AO334+AR334+AU334+AX334+BA334+BD334</f>
        <v>21660622878.040001</v>
      </c>
      <c r="BH334" s="296">
        <f t="shared" si="353"/>
        <v>19911514812</v>
      </c>
      <c r="BI334" s="296">
        <f t="shared" si="353"/>
        <v>9566818409.5</v>
      </c>
    </row>
    <row r="335" spans="1:61" ht="82.5" customHeight="1" x14ac:dyDescent="0.2">
      <c r="A335" s="438"/>
      <c r="B335" s="441"/>
      <c r="C335" s="375"/>
      <c r="D335" s="354"/>
      <c r="E335" s="354">
        <v>1906</v>
      </c>
      <c r="F335" s="415" t="s">
        <v>1038</v>
      </c>
      <c r="G335" s="534" t="s">
        <v>1200</v>
      </c>
      <c r="H335" s="517" t="s">
        <v>92</v>
      </c>
      <c r="I335" s="518" t="s">
        <v>1201</v>
      </c>
      <c r="J335" s="298" t="s">
        <v>1202</v>
      </c>
      <c r="K335" s="305" t="s">
        <v>92</v>
      </c>
      <c r="L335" s="304" t="s">
        <v>1203</v>
      </c>
      <c r="M335" s="298" t="s">
        <v>98</v>
      </c>
      <c r="N335" s="298">
        <v>60</v>
      </c>
      <c r="O335" s="354">
        <v>60</v>
      </c>
      <c r="P335" s="354">
        <v>33</v>
      </c>
      <c r="Q335" s="524" t="s">
        <v>197</v>
      </c>
      <c r="R335" s="517" t="s">
        <v>1204</v>
      </c>
      <c r="S335" s="518" t="s">
        <v>1205</v>
      </c>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9"/>
      <c r="AY335" s="49"/>
      <c r="AZ335" s="49"/>
      <c r="BA335" s="43"/>
      <c r="BB335" s="43"/>
      <c r="BC335" s="43"/>
      <c r="BD335" s="43">
        <f>1530716729+39149969-208772729-24042969</f>
        <v>1337051000</v>
      </c>
      <c r="BE335" s="43">
        <v>1317894840</v>
      </c>
      <c r="BF335" s="43">
        <v>616456440</v>
      </c>
      <c r="BG335" s="296">
        <f>+T335+W335+Z335+AC335+AF335+AI335+AL335+AO335+AR335+AU335+AX335+BA335+BD335</f>
        <v>1337051000</v>
      </c>
      <c r="BH335" s="296">
        <f t="shared" si="353"/>
        <v>1317894840</v>
      </c>
      <c r="BI335" s="296">
        <f t="shared" si="353"/>
        <v>616456440</v>
      </c>
    </row>
    <row r="336" spans="1:61" s="202" customFormat="1" ht="69" customHeight="1" x14ac:dyDescent="0.2">
      <c r="A336" s="456"/>
      <c r="B336" s="457"/>
      <c r="C336" s="398"/>
      <c r="D336" s="361"/>
      <c r="E336" s="354">
        <v>1906</v>
      </c>
      <c r="F336" s="402" t="s">
        <v>1195</v>
      </c>
      <c r="G336" s="534"/>
      <c r="H336" s="517"/>
      <c r="I336" s="518"/>
      <c r="J336" s="332" t="s">
        <v>1206</v>
      </c>
      <c r="K336" s="351" t="s">
        <v>92</v>
      </c>
      <c r="L336" s="342" t="s">
        <v>1207</v>
      </c>
      <c r="M336" s="332" t="s">
        <v>98</v>
      </c>
      <c r="N336" s="332">
        <v>40</v>
      </c>
      <c r="O336" s="226">
        <v>40</v>
      </c>
      <c r="P336" s="500">
        <v>0</v>
      </c>
      <c r="Q336" s="524"/>
      <c r="R336" s="517"/>
      <c r="S336" s="518"/>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9"/>
      <c r="AY336" s="49"/>
      <c r="AZ336" s="49"/>
      <c r="BA336" s="43"/>
      <c r="BB336" s="43"/>
      <c r="BC336" s="43"/>
      <c r="BD336" s="43"/>
      <c r="BE336" s="43"/>
      <c r="BF336" s="43"/>
      <c r="BG336" s="201"/>
      <c r="BH336" s="201"/>
      <c r="BI336" s="201"/>
    </row>
    <row r="337" spans="1:67" ht="84" customHeight="1" x14ac:dyDescent="0.2">
      <c r="A337" s="438"/>
      <c r="B337" s="441"/>
      <c r="C337" s="375"/>
      <c r="D337" s="354"/>
      <c r="E337" s="354">
        <v>1906</v>
      </c>
      <c r="F337" s="356" t="s">
        <v>1195</v>
      </c>
      <c r="G337" s="332" t="s">
        <v>1504</v>
      </c>
      <c r="H337" s="354" t="s">
        <v>92</v>
      </c>
      <c r="I337" s="355" t="s">
        <v>1208</v>
      </c>
      <c r="J337" s="298" t="s">
        <v>1209</v>
      </c>
      <c r="K337" s="305" t="s">
        <v>92</v>
      </c>
      <c r="L337" s="304" t="s">
        <v>1210</v>
      </c>
      <c r="M337" s="298" t="s">
        <v>98</v>
      </c>
      <c r="N337" s="298">
        <v>100</v>
      </c>
      <c r="O337" s="354">
        <v>100</v>
      </c>
      <c r="P337" s="354">
        <v>0</v>
      </c>
      <c r="Q337" s="524"/>
      <c r="R337" s="517"/>
      <c r="S337" s="518"/>
      <c r="T337" s="43"/>
      <c r="U337" s="43"/>
      <c r="V337" s="43"/>
      <c r="W337" s="43"/>
      <c r="X337" s="43"/>
      <c r="Y337" s="43"/>
      <c r="Z337" s="43"/>
      <c r="AA337" s="43"/>
      <c r="AB337" s="43"/>
      <c r="AC337" s="43"/>
      <c r="AD337" s="43"/>
      <c r="AE337" s="43"/>
      <c r="AF337" s="43">
        <f>1514260580-1496346983-0.13-17913596.87+1496346983+1496346983-1496346983</f>
        <v>1496346983</v>
      </c>
      <c r="AG337" s="43">
        <v>0</v>
      </c>
      <c r="AH337" s="43">
        <v>0</v>
      </c>
      <c r="AI337" s="43"/>
      <c r="AJ337" s="43"/>
      <c r="AK337" s="43"/>
      <c r="AL337" s="43"/>
      <c r="AM337" s="43"/>
      <c r="AN337" s="43"/>
      <c r="AO337" s="43"/>
      <c r="AP337" s="43"/>
      <c r="AQ337" s="43"/>
      <c r="AR337" s="43"/>
      <c r="AS337" s="43"/>
      <c r="AT337" s="43"/>
      <c r="AU337" s="43"/>
      <c r="AV337" s="43"/>
      <c r="AW337" s="43"/>
      <c r="AX337" s="49"/>
      <c r="AY337" s="49"/>
      <c r="AZ337" s="49"/>
      <c r="BA337" s="43"/>
      <c r="BB337" s="43"/>
      <c r="BC337" s="43"/>
      <c r="BD337" s="43"/>
      <c r="BE337" s="43"/>
      <c r="BF337" s="43"/>
      <c r="BG337" s="296">
        <f>+T337+W337+Z337+AC337+AF337+AI337+AL337+AO337+AR337+AU337+AX337+BA337+BD337</f>
        <v>1496346983</v>
      </c>
      <c r="BH337" s="296">
        <f t="shared" ref="BH337:BI339" si="354">+U337+X337+AA337+AD337+AG337+AJ337+AM337+AP337+AS337+AV337+AY337+BB337+BE337</f>
        <v>0</v>
      </c>
      <c r="BI337" s="296">
        <f t="shared" si="354"/>
        <v>0</v>
      </c>
    </row>
    <row r="338" spans="1:67" ht="75.75" customHeight="1" x14ac:dyDescent="0.2">
      <c r="A338" s="438"/>
      <c r="B338" s="441"/>
      <c r="C338" s="375"/>
      <c r="D338" s="354"/>
      <c r="E338" s="354">
        <v>1906</v>
      </c>
      <c r="F338" s="356" t="s">
        <v>1195</v>
      </c>
      <c r="G338" s="347" t="s">
        <v>1211</v>
      </c>
      <c r="H338" s="354" t="s">
        <v>92</v>
      </c>
      <c r="I338" s="355" t="s">
        <v>1212</v>
      </c>
      <c r="J338" s="359" t="s">
        <v>1213</v>
      </c>
      <c r="K338" s="305" t="s">
        <v>92</v>
      </c>
      <c r="L338" s="304" t="s">
        <v>1214</v>
      </c>
      <c r="M338" s="298" t="s">
        <v>98</v>
      </c>
      <c r="N338" s="298">
        <v>100</v>
      </c>
      <c r="O338" s="298">
        <v>100</v>
      </c>
      <c r="P338" s="298">
        <v>37</v>
      </c>
      <c r="Q338" s="524"/>
      <c r="R338" s="517"/>
      <c r="S338" s="518"/>
      <c r="T338" s="43"/>
      <c r="U338" s="43"/>
      <c r="V338" s="43"/>
      <c r="W338" s="43"/>
      <c r="X338" s="43"/>
      <c r="Y338" s="43"/>
      <c r="Z338" s="43"/>
      <c r="AA338" s="43"/>
      <c r="AB338" s="43"/>
      <c r="AC338" s="43"/>
      <c r="AD338" s="43"/>
      <c r="AE338" s="43"/>
      <c r="AF338" s="43">
        <f>680251497+17913596.87</f>
        <v>698165093.87</v>
      </c>
      <c r="AG338" s="43">
        <v>671108389</v>
      </c>
      <c r="AH338" s="43">
        <v>671108389</v>
      </c>
      <c r="AI338" s="43">
        <f>1200096.53+4427083.08+6409080.2+3298588097+241539752.22+428092534.45+51987321.83-772313.93</f>
        <v>4031471651.3799996</v>
      </c>
      <c r="AJ338" s="43">
        <v>1103556715</v>
      </c>
      <c r="AK338" s="43">
        <v>1103556715</v>
      </c>
      <c r="AL338" s="43"/>
      <c r="AM338" s="43"/>
      <c r="AN338" s="43"/>
      <c r="AO338" s="43"/>
      <c r="AP338" s="43"/>
      <c r="AQ338" s="43"/>
      <c r="AR338" s="43"/>
      <c r="AS338" s="43"/>
      <c r="AT338" s="43"/>
      <c r="AU338" s="43"/>
      <c r="AV338" s="43"/>
      <c r="AW338" s="43"/>
      <c r="AX338" s="49"/>
      <c r="AY338" s="49"/>
      <c r="AZ338" s="49"/>
      <c r="BA338" s="43"/>
      <c r="BB338" s="43"/>
      <c r="BC338" s="43"/>
      <c r="BD338" s="43">
        <f>68256639+7852620.44+815624.25</f>
        <v>76924883.689999998</v>
      </c>
      <c r="BE338" s="43">
        <v>0</v>
      </c>
      <c r="BF338" s="43">
        <v>0</v>
      </c>
      <c r="BG338" s="296">
        <f>+T338+W338+Z338+AC338+AF338+AI338+AL338+AO338+AR338+AU338+AX338+BA338+BD338</f>
        <v>4806561628.9399996</v>
      </c>
      <c r="BH338" s="296">
        <f t="shared" si="354"/>
        <v>1774665104</v>
      </c>
      <c r="BI338" s="296">
        <f t="shared" si="354"/>
        <v>1774665104</v>
      </c>
    </row>
    <row r="339" spans="1:67" ht="69" customHeight="1" x14ac:dyDescent="0.2">
      <c r="A339" s="439"/>
      <c r="B339" s="442"/>
      <c r="C339" s="375"/>
      <c r="D339" s="354"/>
      <c r="E339" s="354">
        <v>1906</v>
      </c>
      <c r="F339" s="356" t="s">
        <v>1215</v>
      </c>
      <c r="G339" s="332" t="s">
        <v>1216</v>
      </c>
      <c r="H339" s="354">
        <v>1906029</v>
      </c>
      <c r="I339" s="355" t="s">
        <v>1217</v>
      </c>
      <c r="J339" s="298" t="s">
        <v>1218</v>
      </c>
      <c r="K339" s="298">
        <v>190602900</v>
      </c>
      <c r="L339" s="304" t="s">
        <v>1219</v>
      </c>
      <c r="M339" s="298" t="s">
        <v>98</v>
      </c>
      <c r="N339" s="298">
        <v>40</v>
      </c>
      <c r="O339" s="298">
        <v>40</v>
      </c>
      <c r="P339" s="298">
        <v>20</v>
      </c>
      <c r="Q339" s="423" t="s">
        <v>197</v>
      </c>
      <c r="R339" s="354" t="s">
        <v>1220</v>
      </c>
      <c r="S339" s="355" t="s">
        <v>1221</v>
      </c>
      <c r="T339" s="43"/>
      <c r="U339" s="43"/>
      <c r="V339" s="43"/>
      <c r="W339" s="43"/>
      <c r="X339" s="43"/>
      <c r="Y339" s="43"/>
      <c r="Z339" s="43"/>
      <c r="AA339" s="43"/>
      <c r="AB339" s="43"/>
      <c r="AC339" s="43"/>
      <c r="AD339" s="43"/>
      <c r="AE339" s="43"/>
      <c r="AF339" s="43">
        <f>1496346983-1496346983</f>
        <v>0</v>
      </c>
      <c r="AG339" s="43"/>
      <c r="AH339" s="43"/>
      <c r="AI339" s="61">
        <v>467546000</v>
      </c>
      <c r="AJ339" s="61">
        <v>0</v>
      </c>
      <c r="AK339" s="61">
        <v>0</v>
      </c>
      <c r="AL339" s="43"/>
      <c r="AM339" s="43"/>
      <c r="AN339" s="43"/>
      <c r="AO339" s="43"/>
      <c r="AP339" s="43"/>
      <c r="AQ339" s="43"/>
      <c r="AR339" s="43"/>
      <c r="AS339" s="43"/>
      <c r="AT339" s="43"/>
      <c r="AU339" s="43"/>
      <c r="AV339" s="43"/>
      <c r="AW339" s="43"/>
      <c r="AX339" s="49">
        <f>161590000-11200000+780000000</f>
        <v>930390000</v>
      </c>
      <c r="AY339" s="49">
        <v>833333333</v>
      </c>
      <c r="AZ339" s="49">
        <v>415200000</v>
      </c>
      <c r="BA339" s="43"/>
      <c r="BB339" s="43"/>
      <c r="BC339" s="43"/>
      <c r="BD339" s="43"/>
      <c r="BE339" s="43"/>
      <c r="BF339" s="43"/>
      <c r="BG339" s="296">
        <f>+T339+W339+Z339+AC339+AF339+AI339+AL339+AO339+AR339+AU339+AX339+BA339+BD339</f>
        <v>1397936000</v>
      </c>
      <c r="BH339" s="296">
        <f t="shared" si="354"/>
        <v>833333333</v>
      </c>
      <c r="BI339" s="296">
        <f t="shared" si="354"/>
        <v>415200000</v>
      </c>
    </row>
    <row r="340" spans="1:67" s="242" customFormat="1" ht="15.75" x14ac:dyDescent="0.2">
      <c r="A340" s="443"/>
      <c r="B340" s="444"/>
      <c r="C340" s="444"/>
      <c r="D340" s="445"/>
      <c r="E340" s="446"/>
      <c r="F340" s="446"/>
      <c r="G340" s="447"/>
      <c r="H340" s="447"/>
      <c r="I340" s="448"/>
      <c r="J340" s="449"/>
      <c r="K340" s="449"/>
      <c r="L340" s="448"/>
      <c r="M340" s="447"/>
      <c r="N340" s="447"/>
      <c r="O340" s="449"/>
      <c r="P340" s="449"/>
      <c r="Q340" s="447"/>
      <c r="R340" s="447"/>
      <c r="S340" s="448"/>
      <c r="T340" s="450"/>
      <c r="U340" s="450"/>
      <c r="V340" s="450"/>
      <c r="W340" s="450"/>
      <c r="X340" s="450"/>
      <c r="Y340" s="450"/>
      <c r="Z340" s="450"/>
      <c r="AA340" s="450"/>
      <c r="AB340" s="450"/>
      <c r="AC340" s="450"/>
      <c r="AD340" s="450"/>
      <c r="AE340" s="450"/>
      <c r="AF340" s="450"/>
      <c r="AG340" s="450"/>
      <c r="AH340" s="450"/>
      <c r="AI340" s="450"/>
      <c r="AJ340" s="450"/>
      <c r="AK340" s="450"/>
      <c r="AL340" s="450"/>
      <c r="AM340" s="450"/>
      <c r="AN340" s="450"/>
      <c r="AO340" s="450"/>
      <c r="AP340" s="450"/>
      <c r="AQ340" s="450"/>
      <c r="AR340" s="450"/>
      <c r="AS340" s="450"/>
      <c r="AT340" s="450"/>
      <c r="AU340" s="450"/>
      <c r="AV340" s="450"/>
      <c r="AW340" s="450"/>
      <c r="AX340" s="451"/>
      <c r="AY340" s="451"/>
      <c r="AZ340" s="451"/>
      <c r="BA340" s="450"/>
      <c r="BB340" s="450"/>
      <c r="BC340" s="450"/>
      <c r="BD340" s="450"/>
      <c r="BE340" s="450"/>
      <c r="BF340" s="450"/>
      <c r="BG340" s="451"/>
      <c r="BH340" s="451"/>
      <c r="BI340" s="451"/>
    </row>
    <row r="341" spans="1:67" s="158" customFormat="1" ht="19.5" customHeight="1" x14ac:dyDescent="0.25">
      <c r="A341" s="211" t="s">
        <v>1502</v>
      </c>
      <c r="B341" s="211"/>
      <c r="C341" s="211"/>
      <c r="D341" s="212"/>
      <c r="E341" s="212"/>
      <c r="F341" s="213"/>
      <c r="G341" s="214"/>
      <c r="H341" s="156"/>
      <c r="I341" s="213"/>
      <c r="J341" s="214"/>
      <c r="K341" s="214"/>
      <c r="L341" s="213"/>
      <c r="M341" s="156"/>
      <c r="N341" s="156"/>
      <c r="O341" s="214"/>
      <c r="P341" s="214"/>
      <c r="Q341" s="425"/>
      <c r="R341" s="214"/>
      <c r="S341" s="213"/>
      <c r="T341" s="188">
        <f>+T342+T348+T353</f>
        <v>0</v>
      </c>
      <c r="U341" s="188"/>
      <c r="V341" s="188"/>
      <c r="W341" s="188">
        <f>+W342+W348+W353</f>
        <v>0</v>
      </c>
      <c r="X341" s="188"/>
      <c r="Y341" s="188"/>
      <c r="Z341" s="188">
        <f>+Z342+Z348+Z353</f>
        <v>0</v>
      </c>
      <c r="AA341" s="188"/>
      <c r="AB341" s="188"/>
      <c r="AC341" s="188">
        <f>+AC342+AC348+AC353</f>
        <v>0</v>
      </c>
      <c r="AD341" s="188"/>
      <c r="AE341" s="188"/>
      <c r="AF341" s="188">
        <f>+AF342+AF348+AF353</f>
        <v>0</v>
      </c>
      <c r="AG341" s="188"/>
      <c r="AH341" s="188"/>
      <c r="AI341" s="188">
        <f>+AI342+AI348+AI353</f>
        <v>0</v>
      </c>
      <c r="AJ341" s="188"/>
      <c r="AK341" s="188"/>
      <c r="AL341" s="188">
        <f>+AL342+AL348+AL353</f>
        <v>0</v>
      </c>
      <c r="AM341" s="188"/>
      <c r="AN341" s="188"/>
      <c r="AO341" s="188">
        <f>+AO342+AO348+AO353</f>
        <v>0</v>
      </c>
      <c r="AP341" s="188"/>
      <c r="AQ341" s="188"/>
      <c r="AR341" s="188">
        <f>+AR342+AR348+AR353</f>
        <v>0</v>
      </c>
      <c r="AS341" s="188"/>
      <c r="AT341" s="188"/>
      <c r="AU341" s="188">
        <f>+AU342+AU348+AU353</f>
        <v>0</v>
      </c>
      <c r="AV341" s="188"/>
      <c r="AW341" s="188"/>
      <c r="AX341" s="188">
        <f>+AX342+AX348+AX353</f>
        <v>632885000</v>
      </c>
      <c r="AY341" s="188">
        <f t="shared" ref="AY341:AZ341" si="355">+AY342+AY348+AY353</f>
        <v>254853263</v>
      </c>
      <c r="AZ341" s="188">
        <f t="shared" si="355"/>
        <v>161461132</v>
      </c>
      <c r="BA341" s="188">
        <f>+BA342+BA348+BA353</f>
        <v>0</v>
      </c>
      <c r="BB341" s="188"/>
      <c r="BC341" s="188"/>
      <c r="BD341" s="188">
        <f>+BD342+BD348+BD353</f>
        <v>0</v>
      </c>
      <c r="BE341" s="188"/>
      <c r="BF341" s="188"/>
      <c r="BG341" s="188">
        <f>+BG342+BG348+BG353</f>
        <v>632885000</v>
      </c>
      <c r="BH341" s="188">
        <f>+BH342+BH348+BH353</f>
        <v>254853263</v>
      </c>
      <c r="BI341" s="188">
        <f>+BI342+BI348+BI353</f>
        <v>161461132</v>
      </c>
      <c r="BJ341" s="487"/>
      <c r="BK341" s="487"/>
      <c r="BL341" s="487"/>
      <c r="BM341" s="487"/>
      <c r="BN341" s="487"/>
      <c r="BO341" s="487"/>
    </row>
    <row r="342" spans="1:67" s="158" customFormat="1" ht="15.75" x14ac:dyDescent="0.25">
      <c r="A342" s="437"/>
      <c r="B342" s="259">
        <v>1</v>
      </c>
      <c r="C342" s="159" t="s">
        <v>1</v>
      </c>
      <c r="D342" s="160"/>
      <c r="E342" s="160"/>
      <c r="F342" s="161"/>
      <c r="G342" s="162"/>
      <c r="H342" s="163"/>
      <c r="I342" s="161"/>
      <c r="J342" s="162"/>
      <c r="K342" s="162"/>
      <c r="L342" s="161"/>
      <c r="M342" s="164"/>
      <c r="N342" s="164"/>
      <c r="O342" s="162"/>
      <c r="P342" s="162"/>
      <c r="Q342" s="426"/>
      <c r="R342" s="162"/>
      <c r="S342" s="161"/>
      <c r="T342" s="403">
        <f>+T343+T346</f>
        <v>0</v>
      </c>
      <c r="U342" s="403"/>
      <c r="V342" s="403"/>
      <c r="W342" s="403">
        <f>+W343+W346</f>
        <v>0</v>
      </c>
      <c r="X342" s="403"/>
      <c r="Y342" s="403"/>
      <c r="Z342" s="403">
        <f>+Z343+Z346</f>
        <v>0</v>
      </c>
      <c r="AA342" s="403"/>
      <c r="AB342" s="403"/>
      <c r="AC342" s="403">
        <f>+AC343+AC346</f>
        <v>0</v>
      </c>
      <c r="AD342" s="403"/>
      <c r="AE342" s="403"/>
      <c r="AF342" s="403">
        <f>+AF343+AF346</f>
        <v>0</v>
      </c>
      <c r="AG342" s="403"/>
      <c r="AH342" s="403"/>
      <c r="AI342" s="403">
        <f>+AI343+AI346</f>
        <v>0</v>
      </c>
      <c r="AJ342" s="403"/>
      <c r="AK342" s="403"/>
      <c r="AL342" s="403">
        <f>+AL343+AL346</f>
        <v>0</v>
      </c>
      <c r="AM342" s="403"/>
      <c r="AN342" s="403"/>
      <c r="AO342" s="403">
        <f>+AO343+AO346</f>
        <v>0</v>
      </c>
      <c r="AP342" s="403"/>
      <c r="AQ342" s="403"/>
      <c r="AR342" s="403">
        <f>+AR343+AR346</f>
        <v>0</v>
      </c>
      <c r="AS342" s="403"/>
      <c r="AT342" s="403"/>
      <c r="AU342" s="403">
        <f>+AU343+AU346</f>
        <v>0</v>
      </c>
      <c r="AV342" s="403"/>
      <c r="AW342" s="403"/>
      <c r="AX342" s="403">
        <f>+AX343+AX346</f>
        <v>207164000</v>
      </c>
      <c r="AY342" s="403">
        <f t="shared" ref="AY342:AZ342" si="356">+AY343+AY346</f>
        <v>0</v>
      </c>
      <c r="AZ342" s="403">
        <f t="shared" si="356"/>
        <v>0</v>
      </c>
      <c r="BA342" s="403">
        <f>+BA343+BA346</f>
        <v>0</v>
      </c>
      <c r="BB342" s="403"/>
      <c r="BC342" s="403"/>
      <c r="BD342" s="403">
        <f>+BD343+BD346</f>
        <v>0</v>
      </c>
      <c r="BE342" s="403"/>
      <c r="BF342" s="403"/>
      <c r="BG342" s="403">
        <f>+BG343+BG346</f>
        <v>207164000</v>
      </c>
      <c r="BH342" s="403">
        <f>+BH343+BH346</f>
        <v>0</v>
      </c>
      <c r="BI342" s="403">
        <f>+BI343+BI346</f>
        <v>0</v>
      </c>
    </row>
    <row r="343" spans="1:67" s="158" customFormat="1" ht="15.75" x14ac:dyDescent="0.25">
      <c r="A343" s="437"/>
      <c r="B343" s="533"/>
      <c r="C343" s="357">
        <v>16</v>
      </c>
      <c r="D343" s="170">
        <v>2301</v>
      </c>
      <c r="E343" s="357" t="s">
        <v>1462</v>
      </c>
      <c r="F343" s="166"/>
      <c r="G343" s="167"/>
      <c r="H343" s="168"/>
      <c r="I343" s="166"/>
      <c r="J343" s="167"/>
      <c r="K343" s="167"/>
      <c r="L343" s="166"/>
      <c r="M343" s="169"/>
      <c r="N343" s="169"/>
      <c r="O343" s="167"/>
      <c r="P343" s="167"/>
      <c r="Q343" s="424"/>
      <c r="R343" s="167"/>
      <c r="S343" s="166"/>
      <c r="T343" s="171">
        <f>SUM(T344:T345)</f>
        <v>0</v>
      </c>
      <c r="U343" s="171"/>
      <c r="V343" s="171"/>
      <c r="W343" s="171">
        <f>SUM(W344:W345)</f>
        <v>0</v>
      </c>
      <c r="X343" s="171"/>
      <c r="Y343" s="171"/>
      <c r="Z343" s="171">
        <f>SUM(Z344:Z345)</f>
        <v>0</v>
      </c>
      <c r="AA343" s="171"/>
      <c r="AB343" s="171"/>
      <c r="AC343" s="171">
        <f>SUM(AC344:AC345)</f>
        <v>0</v>
      </c>
      <c r="AD343" s="171"/>
      <c r="AE343" s="171"/>
      <c r="AF343" s="171">
        <f>SUM(AF344:AF345)</f>
        <v>0</v>
      </c>
      <c r="AG343" s="171"/>
      <c r="AH343" s="171"/>
      <c r="AI343" s="171">
        <f>SUM(AI344:AI345)</f>
        <v>0</v>
      </c>
      <c r="AJ343" s="171"/>
      <c r="AK343" s="171"/>
      <c r="AL343" s="171">
        <f>SUM(AL344:AL345)</f>
        <v>0</v>
      </c>
      <c r="AM343" s="171"/>
      <c r="AN343" s="171"/>
      <c r="AO343" s="171">
        <f>SUM(AO344:AO345)</f>
        <v>0</v>
      </c>
      <c r="AP343" s="171"/>
      <c r="AQ343" s="171"/>
      <c r="AR343" s="171">
        <f>SUM(AR344:AR345)</f>
        <v>0</v>
      </c>
      <c r="AS343" s="171"/>
      <c r="AT343" s="171"/>
      <c r="AU343" s="171">
        <f>SUM(AU344:AU345)</f>
        <v>0</v>
      </c>
      <c r="AV343" s="171"/>
      <c r="AW343" s="171"/>
      <c r="AX343" s="171">
        <f>SUM(AX344:AX345)</f>
        <v>200000000</v>
      </c>
      <c r="AY343" s="171">
        <f t="shared" ref="AY343:AZ343" si="357">SUM(AY344:AY345)</f>
        <v>0</v>
      </c>
      <c r="AZ343" s="171">
        <f t="shared" si="357"/>
        <v>0</v>
      </c>
      <c r="BA343" s="171">
        <f>SUM(BA344:BA345)</f>
        <v>0</v>
      </c>
      <c r="BB343" s="171"/>
      <c r="BC343" s="171"/>
      <c r="BD343" s="171">
        <f>SUM(BD344:BD345)</f>
        <v>0</v>
      </c>
      <c r="BE343" s="171"/>
      <c r="BF343" s="171"/>
      <c r="BG343" s="171">
        <f>SUM(BG344:BG345)</f>
        <v>200000000</v>
      </c>
      <c r="BH343" s="171">
        <f>SUM(BH344:BH345)</f>
        <v>0</v>
      </c>
      <c r="BI343" s="171">
        <f>SUM(BI344:BI345)</f>
        <v>0</v>
      </c>
    </row>
    <row r="344" spans="1:67" s="202" customFormat="1" ht="75" customHeight="1" x14ac:dyDescent="0.2">
      <c r="A344" s="456"/>
      <c r="B344" s="521"/>
      <c r="C344" s="523"/>
      <c r="D344" s="353"/>
      <c r="E344" s="361">
        <v>2301</v>
      </c>
      <c r="F344" s="422" t="s">
        <v>1223</v>
      </c>
      <c r="G344" s="361" t="s">
        <v>1224</v>
      </c>
      <c r="H344" s="404">
        <v>2301024</v>
      </c>
      <c r="I344" s="404" t="s">
        <v>1225</v>
      </c>
      <c r="J344" s="361" t="s">
        <v>1226</v>
      </c>
      <c r="K344" s="303">
        <v>230102404</v>
      </c>
      <c r="L344" s="362" t="s">
        <v>1227</v>
      </c>
      <c r="M344" s="361" t="s">
        <v>188</v>
      </c>
      <c r="N344" s="361">
        <v>12</v>
      </c>
      <c r="O344" s="361">
        <v>1</v>
      </c>
      <c r="P344" s="226">
        <v>0</v>
      </c>
      <c r="Q344" s="524" t="s">
        <v>234</v>
      </c>
      <c r="R344" s="517" t="s">
        <v>1228</v>
      </c>
      <c r="S344" s="518" t="s">
        <v>1229</v>
      </c>
      <c r="T344" s="43"/>
      <c r="U344" s="43"/>
      <c r="V344" s="43"/>
      <c r="W344" s="43"/>
      <c r="X344" s="43"/>
      <c r="Y344" s="43"/>
      <c r="Z344" s="43"/>
      <c r="AA344" s="43"/>
      <c r="AB344" s="43"/>
      <c r="AC344" s="201"/>
      <c r="AD344" s="201"/>
      <c r="AE344" s="201"/>
      <c r="AF344" s="201"/>
      <c r="AG344" s="201"/>
      <c r="AH344" s="201"/>
      <c r="AI344" s="201"/>
      <c r="AJ344" s="201"/>
      <c r="AK344" s="201"/>
      <c r="AL344" s="201"/>
      <c r="AM344" s="201"/>
      <c r="AN344" s="201"/>
      <c r="AO344" s="201"/>
      <c r="AP344" s="201"/>
      <c r="AQ344" s="201"/>
      <c r="AR344" s="201"/>
      <c r="AS344" s="201"/>
      <c r="AT344" s="201"/>
      <c r="AU344" s="201"/>
      <c r="AV344" s="201"/>
      <c r="AW344" s="201"/>
      <c r="AX344" s="366">
        <f>152024000+17384534</f>
        <v>169408534</v>
      </c>
      <c r="AY344" s="352">
        <v>0</v>
      </c>
      <c r="AZ344" s="352">
        <v>0</v>
      </c>
      <c r="BA344" s="201"/>
      <c r="BB344" s="201"/>
      <c r="BC344" s="201"/>
      <c r="BD344" s="201"/>
      <c r="BE344" s="201"/>
      <c r="BF344" s="201"/>
      <c r="BG344" s="201">
        <f>+T344+W344+Z344+AC344+AF344+AI344+AL344+AO344+AR344+AU344+AX344+BA344+BD344</f>
        <v>169408534</v>
      </c>
      <c r="BH344" s="201">
        <f t="shared" ref="BH344:BI345" si="358">+U344+X344+AA344+AD344+AG344+AJ344+AM344+AP344+AS344+AV344+AY344+BB344+BE344</f>
        <v>0</v>
      </c>
      <c r="BI344" s="201">
        <f t="shared" si="358"/>
        <v>0</v>
      </c>
    </row>
    <row r="345" spans="1:67" ht="97.5" customHeight="1" x14ac:dyDescent="0.2">
      <c r="A345" s="438"/>
      <c r="B345" s="521"/>
      <c r="C345" s="523"/>
      <c r="D345" s="374"/>
      <c r="E345" s="354">
        <v>2301</v>
      </c>
      <c r="F345" s="421" t="s">
        <v>1230</v>
      </c>
      <c r="G345" s="354" t="s">
        <v>1511</v>
      </c>
      <c r="H345" s="354">
        <v>2301030</v>
      </c>
      <c r="I345" s="355" t="s">
        <v>1231</v>
      </c>
      <c r="J345" s="354" t="s">
        <v>1232</v>
      </c>
      <c r="K345" s="298">
        <v>230103000</v>
      </c>
      <c r="L345" s="355" t="s">
        <v>1233</v>
      </c>
      <c r="M345" s="354" t="s">
        <v>188</v>
      </c>
      <c r="N345" s="354">
        <v>17000</v>
      </c>
      <c r="O345" s="354">
        <v>500</v>
      </c>
      <c r="P345" s="354">
        <v>0</v>
      </c>
      <c r="Q345" s="524"/>
      <c r="R345" s="517"/>
      <c r="S345" s="518"/>
      <c r="T345" s="43"/>
      <c r="U345" s="43"/>
      <c r="V345" s="43"/>
      <c r="W345" s="43"/>
      <c r="X345" s="43"/>
      <c r="Y345" s="43"/>
      <c r="Z345" s="43"/>
      <c r="AA345" s="43"/>
      <c r="AB345" s="43"/>
      <c r="AC345" s="173"/>
      <c r="AD345" s="173"/>
      <c r="AE345" s="173"/>
      <c r="AF345" s="173"/>
      <c r="AG345" s="173"/>
      <c r="AH345" s="173"/>
      <c r="AI345" s="173"/>
      <c r="AJ345" s="173"/>
      <c r="AK345" s="173"/>
      <c r="AL345" s="173"/>
      <c r="AM345" s="173"/>
      <c r="AN345" s="173"/>
      <c r="AO345" s="173"/>
      <c r="AP345" s="173"/>
      <c r="AQ345" s="173"/>
      <c r="AR345" s="173"/>
      <c r="AS345" s="173"/>
      <c r="AT345" s="173"/>
      <c r="AU345" s="173"/>
      <c r="AV345" s="173"/>
      <c r="AW345" s="173"/>
      <c r="AX345" s="173">
        <f>47976000-17384534</f>
        <v>30591466</v>
      </c>
      <c r="AY345" s="173">
        <v>0</v>
      </c>
      <c r="AZ345" s="173">
        <v>0</v>
      </c>
      <c r="BA345" s="173"/>
      <c r="BB345" s="173"/>
      <c r="BC345" s="173"/>
      <c r="BD345" s="173"/>
      <c r="BE345" s="173"/>
      <c r="BF345" s="173"/>
      <c r="BG345" s="173">
        <f>+T345+W345+Z345+AC345+AF345+AI345+AL345+AO345+AR345+AU345+AX345+BA345+BD345</f>
        <v>30591466</v>
      </c>
      <c r="BH345" s="173">
        <f t="shared" si="358"/>
        <v>0</v>
      </c>
      <c r="BI345" s="173">
        <f t="shared" si="358"/>
        <v>0</v>
      </c>
    </row>
    <row r="346" spans="1:67" s="158" customFormat="1" ht="23.25" customHeight="1" x14ac:dyDescent="0.25">
      <c r="A346" s="463"/>
      <c r="B346" s="441"/>
      <c r="C346" s="357">
        <v>17</v>
      </c>
      <c r="D346" s="170">
        <v>2302</v>
      </c>
      <c r="E346" s="357" t="s">
        <v>1463</v>
      </c>
      <c r="F346" s="166"/>
      <c r="G346" s="167"/>
      <c r="H346" s="168"/>
      <c r="I346" s="166"/>
      <c r="J346" s="167"/>
      <c r="K346" s="167"/>
      <c r="L346" s="166"/>
      <c r="M346" s="169"/>
      <c r="N346" s="169"/>
      <c r="O346" s="167"/>
      <c r="P346" s="167"/>
      <c r="Q346" s="424"/>
      <c r="R346" s="167"/>
      <c r="S346" s="166"/>
      <c r="T346" s="171">
        <f>+T347</f>
        <v>0</v>
      </c>
      <c r="U346" s="171"/>
      <c r="V346" s="171"/>
      <c r="W346" s="171">
        <f t="shared" ref="W346:BD346" si="359">+W347</f>
        <v>0</v>
      </c>
      <c r="X346" s="171"/>
      <c r="Y346" s="171"/>
      <c r="Z346" s="171">
        <f t="shared" si="359"/>
        <v>0</v>
      </c>
      <c r="AA346" s="171"/>
      <c r="AB346" s="171"/>
      <c r="AC346" s="171">
        <f t="shared" si="359"/>
        <v>0</v>
      </c>
      <c r="AD346" s="171"/>
      <c r="AE346" s="171"/>
      <c r="AF346" s="171">
        <f t="shared" si="359"/>
        <v>0</v>
      </c>
      <c r="AG346" s="171"/>
      <c r="AH346" s="171"/>
      <c r="AI346" s="171">
        <f t="shared" si="359"/>
        <v>0</v>
      </c>
      <c r="AJ346" s="171"/>
      <c r="AK346" s="171"/>
      <c r="AL346" s="171">
        <f t="shared" si="359"/>
        <v>0</v>
      </c>
      <c r="AM346" s="171"/>
      <c r="AN346" s="171"/>
      <c r="AO346" s="171">
        <f t="shared" si="359"/>
        <v>0</v>
      </c>
      <c r="AP346" s="171"/>
      <c r="AQ346" s="171"/>
      <c r="AR346" s="171">
        <f t="shared" si="359"/>
        <v>0</v>
      </c>
      <c r="AS346" s="171"/>
      <c r="AT346" s="171"/>
      <c r="AU346" s="171">
        <f t="shared" si="359"/>
        <v>0</v>
      </c>
      <c r="AV346" s="171"/>
      <c r="AW346" s="171"/>
      <c r="AX346" s="171">
        <f t="shared" si="359"/>
        <v>7164000</v>
      </c>
      <c r="AY346" s="171">
        <f t="shared" si="359"/>
        <v>0</v>
      </c>
      <c r="AZ346" s="171">
        <f t="shared" si="359"/>
        <v>0</v>
      </c>
      <c r="BA346" s="171">
        <f t="shared" si="359"/>
        <v>0</v>
      </c>
      <c r="BB346" s="171"/>
      <c r="BC346" s="171"/>
      <c r="BD346" s="171">
        <f t="shared" si="359"/>
        <v>0</v>
      </c>
      <c r="BE346" s="171"/>
      <c r="BF346" s="171"/>
      <c r="BG346" s="171">
        <f>+BG347</f>
        <v>7164000</v>
      </c>
      <c r="BH346" s="171">
        <f t="shared" ref="BH346:BI346" si="360">+BH347</f>
        <v>0</v>
      </c>
      <c r="BI346" s="171">
        <f t="shared" si="360"/>
        <v>0</v>
      </c>
    </row>
    <row r="347" spans="1:67" s="202" customFormat="1" ht="84" customHeight="1" x14ac:dyDescent="0.2">
      <c r="A347" s="456"/>
      <c r="B347" s="473"/>
      <c r="C347" s="382"/>
      <c r="D347" s="353"/>
      <c r="E347" s="361">
        <v>2302</v>
      </c>
      <c r="F347" s="362" t="s">
        <v>1223</v>
      </c>
      <c r="G347" s="361" t="s">
        <v>1235</v>
      </c>
      <c r="H347" s="361">
        <v>2302042</v>
      </c>
      <c r="I347" s="362" t="s">
        <v>1236</v>
      </c>
      <c r="J347" s="361" t="s">
        <v>1237</v>
      </c>
      <c r="K347" s="303">
        <v>230204200</v>
      </c>
      <c r="L347" s="362" t="s">
        <v>1238</v>
      </c>
      <c r="M347" s="361" t="s">
        <v>188</v>
      </c>
      <c r="N347" s="361">
        <v>3</v>
      </c>
      <c r="O347" s="361">
        <v>1</v>
      </c>
      <c r="P347" s="361">
        <v>0</v>
      </c>
      <c r="Q347" s="243" t="s">
        <v>234</v>
      </c>
      <c r="R347" s="361" t="s">
        <v>1239</v>
      </c>
      <c r="S347" s="362" t="s">
        <v>1240</v>
      </c>
      <c r="T347" s="43"/>
      <c r="U347" s="43"/>
      <c r="V347" s="43"/>
      <c r="W347" s="43"/>
      <c r="X347" s="43"/>
      <c r="Y347" s="43"/>
      <c r="Z347" s="43"/>
      <c r="AA347" s="43"/>
      <c r="AB347" s="43"/>
      <c r="AC347" s="201"/>
      <c r="AD347" s="201"/>
      <c r="AE347" s="201"/>
      <c r="AF347" s="201"/>
      <c r="AG347" s="201"/>
      <c r="AH347" s="201"/>
      <c r="AI347" s="201"/>
      <c r="AJ347" s="201"/>
      <c r="AK347" s="201"/>
      <c r="AL347" s="201"/>
      <c r="AM347" s="201"/>
      <c r="AN347" s="201"/>
      <c r="AO347" s="201"/>
      <c r="AP347" s="201"/>
      <c r="AQ347" s="201"/>
      <c r="AR347" s="201"/>
      <c r="AS347" s="201"/>
      <c r="AT347" s="201"/>
      <c r="AU347" s="201"/>
      <c r="AV347" s="201"/>
      <c r="AW347" s="201"/>
      <c r="AX347" s="201">
        <v>7164000</v>
      </c>
      <c r="AY347" s="201">
        <v>0</v>
      </c>
      <c r="AZ347" s="201">
        <v>0</v>
      </c>
      <c r="BA347" s="201"/>
      <c r="BB347" s="201"/>
      <c r="BC347" s="201"/>
      <c r="BD347" s="201"/>
      <c r="BE347" s="201"/>
      <c r="BF347" s="201"/>
      <c r="BG347" s="201">
        <f>+T347+W347+Z347+AC347+AF347+AI347+AL347+AO347+AR347+AU347+AX347+BA347+BD347</f>
        <v>7164000</v>
      </c>
      <c r="BH347" s="201">
        <f t="shared" ref="BH347:BI347" si="361">+U347+X347+AA347+AD347+AG347+AJ347+AM347+AP347+AS347+AV347+AY347+BB347+BE347</f>
        <v>0</v>
      </c>
      <c r="BI347" s="201">
        <f t="shared" si="361"/>
        <v>0</v>
      </c>
    </row>
    <row r="348" spans="1:67" s="158" customFormat="1" ht="15.75" x14ac:dyDescent="0.25">
      <c r="A348" s="463"/>
      <c r="B348" s="259">
        <v>2</v>
      </c>
      <c r="C348" s="159" t="s">
        <v>1241</v>
      </c>
      <c r="D348" s="160"/>
      <c r="E348" s="160"/>
      <c r="F348" s="161"/>
      <c r="G348" s="162"/>
      <c r="H348" s="163"/>
      <c r="I348" s="161"/>
      <c r="J348" s="162"/>
      <c r="K348" s="162"/>
      <c r="L348" s="161"/>
      <c r="M348" s="164"/>
      <c r="N348" s="164"/>
      <c r="O348" s="162"/>
      <c r="P348" s="162"/>
      <c r="Q348" s="426"/>
      <c r="R348" s="162"/>
      <c r="S348" s="161"/>
      <c r="T348" s="403">
        <f t="shared" ref="T348:BI348" si="362">+T349+T351</f>
        <v>0</v>
      </c>
      <c r="U348" s="403"/>
      <c r="V348" s="403"/>
      <c r="W348" s="403">
        <f t="shared" si="362"/>
        <v>0</v>
      </c>
      <c r="X348" s="403"/>
      <c r="Y348" s="403"/>
      <c r="Z348" s="403">
        <f t="shared" si="362"/>
        <v>0</v>
      </c>
      <c r="AA348" s="403"/>
      <c r="AB348" s="403"/>
      <c r="AC348" s="403">
        <f t="shared" si="362"/>
        <v>0</v>
      </c>
      <c r="AD348" s="403"/>
      <c r="AE348" s="403"/>
      <c r="AF348" s="403">
        <f t="shared" si="362"/>
        <v>0</v>
      </c>
      <c r="AG348" s="403"/>
      <c r="AH348" s="403"/>
      <c r="AI348" s="403">
        <f t="shared" si="362"/>
        <v>0</v>
      </c>
      <c r="AJ348" s="403"/>
      <c r="AK348" s="403"/>
      <c r="AL348" s="403">
        <f t="shared" si="362"/>
        <v>0</v>
      </c>
      <c r="AM348" s="403"/>
      <c r="AN348" s="403"/>
      <c r="AO348" s="403">
        <f t="shared" si="362"/>
        <v>0</v>
      </c>
      <c r="AP348" s="403"/>
      <c r="AQ348" s="403"/>
      <c r="AR348" s="403">
        <f t="shared" si="362"/>
        <v>0</v>
      </c>
      <c r="AS348" s="403"/>
      <c r="AT348" s="403"/>
      <c r="AU348" s="403">
        <f t="shared" si="362"/>
        <v>0</v>
      </c>
      <c r="AV348" s="403"/>
      <c r="AW348" s="403"/>
      <c r="AX348" s="403">
        <f t="shared" si="362"/>
        <v>72000000</v>
      </c>
      <c r="AY348" s="403">
        <f t="shared" ref="AY348:AZ348" si="363">+AY349+AY351</f>
        <v>0</v>
      </c>
      <c r="AZ348" s="403">
        <f t="shared" si="363"/>
        <v>0</v>
      </c>
      <c r="BA348" s="403">
        <f t="shared" si="362"/>
        <v>0</v>
      </c>
      <c r="BB348" s="403"/>
      <c r="BC348" s="403"/>
      <c r="BD348" s="403">
        <f t="shared" si="362"/>
        <v>0</v>
      </c>
      <c r="BE348" s="403"/>
      <c r="BF348" s="403"/>
      <c r="BG348" s="403">
        <f t="shared" si="362"/>
        <v>72000000</v>
      </c>
      <c r="BH348" s="403">
        <f t="shared" si="362"/>
        <v>0</v>
      </c>
      <c r="BI348" s="403">
        <f t="shared" si="362"/>
        <v>0</v>
      </c>
    </row>
    <row r="349" spans="1:67" s="158" customFormat="1" ht="15.75" x14ac:dyDescent="0.25">
      <c r="A349" s="463"/>
      <c r="B349" s="440"/>
      <c r="C349" s="357">
        <v>31</v>
      </c>
      <c r="D349" s="170" t="s">
        <v>1242</v>
      </c>
      <c r="E349" s="357" t="s">
        <v>1243</v>
      </c>
      <c r="F349" s="166"/>
      <c r="G349" s="167"/>
      <c r="H349" s="168"/>
      <c r="I349" s="166"/>
      <c r="J349" s="167"/>
      <c r="K349" s="167"/>
      <c r="L349" s="166"/>
      <c r="M349" s="169"/>
      <c r="N349" s="169"/>
      <c r="O349" s="167"/>
      <c r="P349" s="167"/>
      <c r="Q349" s="424"/>
      <c r="R349" s="167"/>
      <c r="S349" s="166"/>
      <c r="T349" s="171">
        <f>+T350</f>
        <v>0</v>
      </c>
      <c r="U349" s="171"/>
      <c r="V349" s="171"/>
      <c r="W349" s="171">
        <f t="shared" ref="W349:AU349" si="364">+W350</f>
        <v>0</v>
      </c>
      <c r="X349" s="171"/>
      <c r="Y349" s="171"/>
      <c r="Z349" s="171">
        <f t="shared" si="364"/>
        <v>0</v>
      </c>
      <c r="AA349" s="171"/>
      <c r="AB349" s="171"/>
      <c r="AC349" s="171">
        <f t="shared" si="364"/>
        <v>0</v>
      </c>
      <c r="AD349" s="171"/>
      <c r="AE349" s="171"/>
      <c r="AF349" s="171">
        <f t="shared" si="364"/>
        <v>0</v>
      </c>
      <c r="AG349" s="171"/>
      <c r="AH349" s="171"/>
      <c r="AI349" s="171">
        <f t="shared" si="364"/>
        <v>0</v>
      </c>
      <c r="AJ349" s="171"/>
      <c r="AK349" s="171"/>
      <c r="AL349" s="171">
        <f t="shared" si="364"/>
        <v>0</v>
      </c>
      <c r="AM349" s="171"/>
      <c r="AN349" s="171"/>
      <c r="AO349" s="171">
        <f t="shared" si="364"/>
        <v>0</v>
      </c>
      <c r="AP349" s="171"/>
      <c r="AQ349" s="171"/>
      <c r="AR349" s="171">
        <f t="shared" si="364"/>
        <v>0</v>
      </c>
      <c r="AS349" s="171"/>
      <c r="AT349" s="171"/>
      <c r="AU349" s="171">
        <f t="shared" si="364"/>
        <v>0</v>
      </c>
      <c r="AV349" s="171"/>
      <c r="AW349" s="171"/>
      <c r="AX349" s="171">
        <f>SUM(AX350:AX350)</f>
        <v>54000000</v>
      </c>
      <c r="AY349" s="171">
        <f t="shared" ref="AY349:AZ349" si="365">SUM(AY350:AY350)</f>
        <v>0</v>
      </c>
      <c r="AZ349" s="171">
        <f t="shared" si="365"/>
        <v>0</v>
      </c>
      <c r="BA349" s="171">
        <f>SUM(BA350:BA350)</f>
        <v>0</v>
      </c>
      <c r="BB349" s="171"/>
      <c r="BC349" s="171"/>
      <c r="BD349" s="171">
        <f>SUM(BD350:BD350)</f>
        <v>0</v>
      </c>
      <c r="BE349" s="171"/>
      <c r="BF349" s="171"/>
      <c r="BG349" s="171">
        <f>SUM(BG350:BG350)</f>
        <v>54000000</v>
      </c>
      <c r="BH349" s="171">
        <f t="shared" ref="BH349:BI349" si="366">SUM(BH350:BH350)</f>
        <v>0</v>
      </c>
      <c r="BI349" s="171">
        <f t="shared" si="366"/>
        <v>0</v>
      </c>
    </row>
    <row r="350" spans="1:67" ht="60" customHeight="1" x14ac:dyDescent="0.2">
      <c r="A350" s="438"/>
      <c r="B350" s="441"/>
      <c r="C350" s="373"/>
      <c r="D350" s="374"/>
      <c r="E350" s="354">
        <v>3903</v>
      </c>
      <c r="F350" s="356" t="s">
        <v>1244</v>
      </c>
      <c r="G350" s="363" t="s">
        <v>1245</v>
      </c>
      <c r="H350" s="354">
        <v>3903005</v>
      </c>
      <c r="I350" s="355" t="s">
        <v>1246</v>
      </c>
      <c r="J350" s="298" t="s">
        <v>1247</v>
      </c>
      <c r="K350" s="301" t="s">
        <v>1402</v>
      </c>
      <c r="L350" s="304" t="s">
        <v>1248</v>
      </c>
      <c r="M350" s="354" t="s">
        <v>98</v>
      </c>
      <c r="N350" s="354">
        <v>1</v>
      </c>
      <c r="O350" s="354">
        <v>1</v>
      </c>
      <c r="P350" s="354">
        <v>0</v>
      </c>
      <c r="Q350" s="423" t="s">
        <v>234</v>
      </c>
      <c r="R350" s="354" t="s">
        <v>1249</v>
      </c>
      <c r="S350" s="355" t="s">
        <v>1464</v>
      </c>
      <c r="T350" s="43"/>
      <c r="U350" s="43"/>
      <c r="V350" s="43"/>
      <c r="W350" s="43"/>
      <c r="X350" s="43"/>
      <c r="Y350" s="43"/>
      <c r="Z350" s="43"/>
      <c r="AA350" s="43"/>
      <c r="AB350" s="43"/>
      <c r="AC350" s="173"/>
      <c r="AD350" s="173"/>
      <c r="AE350" s="173"/>
      <c r="AF350" s="173"/>
      <c r="AG350" s="173"/>
      <c r="AH350" s="173"/>
      <c r="AI350" s="173"/>
      <c r="AJ350" s="173"/>
      <c r="AK350" s="173"/>
      <c r="AL350" s="173"/>
      <c r="AM350" s="173"/>
      <c r="AN350" s="173"/>
      <c r="AO350" s="173"/>
      <c r="AP350" s="173"/>
      <c r="AQ350" s="173"/>
      <c r="AR350" s="173"/>
      <c r="AS350" s="173"/>
      <c r="AT350" s="173"/>
      <c r="AU350" s="173"/>
      <c r="AV350" s="173"/>
      <c r="AW350" s="173"/>
      <c r="AX350" s="173">
        <f>21000000+25000000+8000000</f>
        <v>54000000</v>
      </c>
      <c r="AY350" s="173">
        <v>0</v>
      </c>
      <c r="AZ350" s="173">
        <v>0</v>
      </c>
      <c r="BA350" s="173"/>
      <c r="BB350" s="173"/>
      <c r="BC350" s="173"/>
      <c r="BD350" s="173"/>
      <c r="BE350" s="173"/>
      <c r="BF350" s="173"/>
      <c r="BG350" s="173">
        <f>+T350+W350+Z350+AC350+AF350+AI350+AL350+AO350+AR350+AU350+AX350+BA350+BD350</f>
        <v>54000000</v>
      </c>
      <c r="BH350" s="173">
        <f t="shared" ref="BH350:BI350" si="367">+U350+X350+AA350+AD350+AG350+AJ350+AM350+AP350+AS350+AV350+AY350+BB350+BE350</f>
        <v>0</v>
      </c>
      <c r="BI350" s="173">
        <f t="shared" si="367"/>
        <v>0</v>
      </c>
    </row>
    <row r="351" spans="1:67" s="158" customFormat="1" ht="15.75" x14ac:dyDescent="0.25">
      <c r="A351" s="463"/>
      <c r="B351" s="441"/>
      <c r="C351" s="357">
        <v>32</v>
      </c>
      <c r="D351" s="170">
        <v>3904</v>
      </c>
      <c r="E351" s="357" t="s">
        <v>1251</v>
      </c>
      <c r="F351" s="166"/>
      <c r="G351" s="167"/>
      <c r="H351" s="168"/>
      <c r="I351" s="166"/>
      <c r="J351" s="167"/>
      <c r="K351" s="167"/>
      <c r="L351" s="166"/>
      <c r="M351" s="169"/>
      <c r="N351" s="169"/>
      <c r="O351" s="167"/>
      <c r="P351" s="167"/>
      <c r="Q351" s="424"/>
      <c r="R351" s="167"/>
      <c r="S351" s="166"/>
      <c r="T351" s="171">
        <f>+T352</f>
        <v>0</v>
      </c>
      <c r="U351" s="171"/>
      <c r="V351" s="171"/>
      <c r="W351" s="171">
        <f t="shared" ref="W351:BD351" si="368">+W352</f>
        <v>0</v>
      </c>
      <c r="X351" s="171"/>
      <c r="Y351" s="171"/>
      <c r="Z351" s="171">
        <f t="shared" si="368"/>
        <v>0</v>
      </c>
      <c r="AA351" s="171"/>
      <c r="AB351" s="171"/>
      <c r="AC351" s="171">
        <f t="shared" si="368"/>
        <v>0</v>
      </c>
      <c r="AD351" s="171"/>
      <c r="AE351" s="171"/>
      <c r="AF351" s="171">
        <f t="shared" si="368"/>
        <v>0</v>
      </c>
      <c r="AG351" s="171"/>
      <c r="AH351" s="171"/>
      <c r="AI351" s="171">
        <f t="shared" si="368"/>
        <v>0</v>
      </c>
      <c r="AJ351" s="171"/>
      <c r="AK351" s="171"/>
      <c r="AL351" s="171">
        <f t="shared" si="368"/>
        <v>0</v>
      </c>
      <c r="AM351" s="171"/>
      <c r="AN351" s="171"/>
      <c r="AO351" s="171">
        <f t="shared" si="368"/>
        <v>0</v>
      </c>
      <c r="AP351" s="171"/>
      <c r="AQ351" s="171"/>
      <c r="AR351" s="171">
        <f t="shared" si="368"/>
        <v>0</v>
      </c>
      <c r="AS351" s="171"/>
      <c r="AT351" s="171"/>
      <c r="AU351" s="171">
        <f t="shared" si="368"/>
        <v>0</v>
      </c>
      <c r="AV351" s="171"/>
      <c r="AW351" s="171"/>
      <c r="AX351" s="171">
        <f t="shared" si="368"/>
        <v>18000000</v>
      </c>
      <c r="AY351" s="171">
        <f t="shared" si="368"/>
        <v>0</v>
      </c>
      <c r="AZ351" s="171">
        <f t="shared" si="368"/>
        <v>0</v>
      </c>
      <c r="BA351" s="171">
        <f t="shared" si="368"/>
        <v>0</v>
      </c>
      <c r="BB351" s="171"/>
      <c r="BC351" s="171"/>
      <c r="BD351" s="171">
        <f t="shared" si="368"/>
        <v>0</v>
      </c>
      <c r="BE351" s="171"/>
      <c r="BF351" s="171"/>
      <c r="BG351" s="171">
        <f>+BG352</f>
        <v>18000000</v>
      </c>
      <c r="BH351" s="171">
        <f t="shared" ref="BH351:BI351" si="369">+BH352</f>
        <v>0</v>
      </c>
      <c r="BI351" s="171">
        <f t="shared" si="369"/>
        <v>0</v>
      </c>
    </row>
    <row r="352" spans="1:67" s="202" customFormat="1" ht="94.5" customHeight="1" x14ac:dyDescent="0.2">
      <c r="A352" s="456"/>
      <c r="B352" s="473"/>
      <c r="C352" s="382"/>
      <c r="D352" s="353"/>
      <c r="E352" s="361">
        <v>3904</v>
      </c>
      <c r="F352" s="243" t="s">
        <v>1465</v>
      </c>
      <c r="G352" s="141" t="s">
        <v>1252</v>
      </c>
      <c r="H352" s="141">
        <v>3904018</v>
      </c>
      <c r="I352" s="243" t="s">
        <v>1253</v>
      </c>
      <c r="J352" s="141" t="s">
        <v>1254</v>
      </c>
      <c r="K352" s="301">
        <v>390401809</v>
      </c>
      <c r="L352" s="243" t="s">
        <v>1255</v>
      </c>
      <c r="M352" s="361" t="s">
        <v>188</v>
      </c>
      <c r="N352" s="361">
        <v>20</v>
      </c>
      <c r="O352" s="361">
        <v>1</v>
      </c>
      <c r="P352" s="361">
        <v>0</v>
      </c>
      <c r="Q352" s="243" t="s">
        <v>234</v>
      </c>
      <c r="R352" s="361" t="s">
        <v>1256</v>
      </c>
      <c r="S352" s="362" t="s">
        <v>1466</v>
      </c>
      <c r="T352" s="43"/>
      <c r="U352" s="43"/>
      <c r="V352" s="43"/>
      <c r="W352" s="43"/>
      <c r="X352" s="43"/>
      <c r="Y352" s="43"/>
      <c r="Z352" s="43"/>
      <c r="AA352" s="43"/>
      <c r="AB352" s="43"/>
      <c r="AC352" s="201"/>
      <c r="AD352" s="201"/>
      <c r="AE352" s="201"/>
      <c r="AF352" s="201"/>
      <c r="AG352" s="201"/>
      <c r="AH352" s="201"/>
      <c r="AI352" s="201"/>
      <c r="AJ352" s="201"/>
      <c r="AK352" s="201"/>
      <c r="AL352" s="201"/>
      <c r="AM352" s="201"/>
      <c r="AN352" s="201"/>
      <c r="AO352" s="201"/>
      <c r="AP352" s="201"/>
      <c r="AQ352" s="201"/>
      <c r="AR352" s="201"/>
      <c r="AS352" s="201"/>
      <c r="AT352" s="201"/>
      <c r="AU352" s="201"/>
      <c r="AV352" s="201"/>
      <c r="AW352" s="201"/>
      <c r="AX352" s="201">
        <v>18000000</v>
      </c>
      <c r="AY352" s="201">
        <v>0</v>
      </c>
      <c r="AZ352" s="201">
        <v>0</v>
      </c>
      <c r="BA352" s="201"/>
      <c r="BB352" s="201"/>
      <c r="BC352" s="201"/>
      <c r="BD352" s="201"/>
      <c r="BE352" s="201"/>
      <c r="BF352" s="201"/>
      <c r="BG352" s="201">
        <f>+T352+W352+Z352+AC352+AF352+AI352+AL352+AO352+AR352+AU352+AX352+BA352+BD352</f>
        <v>18000000</v>
      </c>
      <c r="BH352" s="201">
        <f t="shared" ref="BH352:BI352" si="370">+U352+X352+AA352+AD352+AG352+AJ352+AM352+AP352+AS352+AV352+AY352+BB352+BE352</f>
        <v>0</v>
      </c>
      <c r="BI352" s="201">
        <f t="shared" si="370"/>
        <v>0</v>
      </c>
    </row>
    <row r="353" spans="1:67" s="158" customFormat="1" ht="21" customHeight="1" x14ac:dyDescent="0.25">
      <c r="A353" s="463"/>
      <c r="B353" s="259">
        <v>4</v>
      </c>
      <c r="C353" s="159" t="s">
        <v>117</v>
      </c>
      <c r="D353" s="160"/>
      <c r="E353" s="160"/>
      <c r="F353" s="161"/>
      <c r="G353" s="162"/>
      <c r="H353" s="163"/>
      <c r="I353" s="161"/>
      <c r="J353" s="162"/>
      <c r="K353" s="162"/>
      <c r="L353" s="161"/>
      <c r="M353" s="164"/>
      <c r="N353" s="164"/>
      <c r="O353" s="162"/>
      <c r="P353" s="162"/>
      <c r="Q353" s="426"/>
      <c r="R353" s="162"/>
      <c r="S353" s="161"/>
      <c r="T353" s="165">
        <f>+T354</f>
        <v>0</v>
      </c>
      <c r="U353" s="165"/>
      <c r="V353" s="165"/>
      <c r="W353" s="165">
        <f t="shared" ref="W353:BD353" si="371">+W354</f>
        <v>0</v>
      </c>
      <c r="X353" s="165"/>
      <c r="Y353" s="165"/>
      <c r="Z353" s="165">
        <f t="shared" si="371"/>
        <v>0</v>
      </c>
      <c r="AA353" s="165"/>
      <c r="AB353" s="165"/>
      <c r="AC353" s="165">
        <f t="shared" si="371"/>
        <v>0</v>
      </c>
      <c r="AD353" s="165"/>
      <c r="AE353" s="165"/>
      <c r="AF353" s="165">
        <f t="shared" si="371"/>
        <v>0</v>
      </c>
      <c r="AG353" s="165"/>
      <c r="AH353" s="165"/>
      <c r="AI353" s="165">
        <f t="shared" si="371"/>
        <v>0</v>
      </c>
      <c r="AJ353" s="165"/>
      <c r="AK353" s="165"/>
      <c r="AL353" s="165">
        <f t="shared" si="371"/>
        <v>0</v>
      </c>
      <c r="AM353" s="165"/>
      <c r="AN353" s="165"/>
      <c r="AO353" s="165">
        <f t="shared" si="371"/>
        <v>0</v>
      </c>
      <c r="AP353" s="165"/>
      <c r="AQ353" s="165"/>
      <c r="AR353" s="165">
        <f t="shared" si="371"/>
        <v>0</v>
      </c>
      <c r="AS353" s="165"/>
      <c r="AT353" s="165"/>
      <c r="AU353" s="165">
        <f t="shared" si="371"/>
        <v>0</v>
      </c>
      <c r="AV353" s="165"/>
      <c r="AW353" s="165"/>
      <c r="AX353" s="165">
        <f t="shared" si="371"/>
        <v>353721000</v>
      </c>
      <c r="AY353" s="165">
        <f t="shared" si="371"/>
        <v>254853263</v>
      </c>
      <c r="AZ353" s="165">
        <f t="shared" si="371"/>
        <v>161461132</v>
      </c>
      <c r="BA353" s="165">
        <f t="shared" si="371"/>
        <v>0</v>
      </c>
      <c r="BB353" s="165"/>
      <c r="BC353" s="165"/>
      <c r="BD353" s="165">
        <f t="shared" si="371"/>
        <v>0</v>
      </c>
      <c r="BE353" s="165"/>
      <c r="BF353" s="165"/>
      <c r="BG353" s="165">
        <f>+BG354</f>
        <v>353721000</v>
      </c>
      <c r="BH353" s="165">
        <f t="shared" ref="BH353:BI353" si="372">+BH354</f>
        <v>254853263</v>
      </c>
      <c r="BI353" s="165">
        <f t="shared" si="372"/>
        <v>161461132</v>
      </c>
    </row>
    <row r="354" spans="1:67" s="158" customFormat="1" ht="21.75" customHeight="1" x14ac:dyDescent="0.25">
      <c r="A354" s="463"/>
      <c r="B354" s="440"/>
      <c r="C354" s="357">
        <v>17</v>
      </c>
      <c r="D354" s="170">
        <v>2302</v>
      </c>
      <c r="E354" s="357" t="s">
        <v>1463</v>
      </c>
      <c r="F354" s="166"/>
      <c r="G354" s="167"/>
      <c r="H354" s="168"/>
      <c r="I354" s="166"/>
      <c r="J354" s="167"/>
      <c r="K354" s="167"/>
      <c r="L354" s="166"/>
      <c r="M354" s="169"/>
      <c r="N354" s="169"/>
      <c r="O354" s="167"/>
      <c r="P354" s="167"/>
      <c r="Q354" s="424"/>
      <c r="R354" s="167"/>
      <c r="S354" s="166"/>
      <c r="T354" s="171">
        <f t="shared" ref="T354:BI354" si="373">SUM(T355:T356)</f>
        <v>0</v>
      </c>
      <c r="U354" s="171">
        <f t="shared" si="373"/>
        <v>0</v>
      </c>
      <c r="V354" s="171">
        <f t="shared" si="373"/>
        <v>0</v>
      </c>
      <c r="W354" s="171">
        <f t="shared" si="373"/>
        <v>0</v>
      </c>
      <c r="X354" s="171">
        <f t="shared" si="373"/>
        <v>0</v>
      </c>
      <c r="Y354" s="171">
        <f t="shared" si="373"/>
        <v>0</v>
      </c>
      <c r="Z354" s="171">
        <f t="shared" si="373"/>
        <v>0</v>
      </c>
      <c r="AA354" s="171">
        <f t="shared" si="373"/>
        <v>0</v>
      </c>
      <c r="AB354" s="171">
        <f t="shared" si="373"/>
        <v>0</v>
      </c>
      <c r="AC354" s="171">
        <f t="shared" si="373"/>
        <v>0</v>
      </c>
      <c r="AD354" s="171">
        <f t="shared" si="373"/>
        <v>0</v>
      </c>
      <c r="AE354" s="171">
        <f t="shared" si="373"/>
        <v>0</v>
      </c>
      <c r="AF354" s="171">
        <f t="shared" si="373"/>
        <v>0</v>
      </c>
      <c r="AG354" s="171">
        <f t="shared" si="373"/>
        <v>0</v>
      </c>
      <c r="AH354" s="171">
        <f t="shared" si="373"/>
        <v>0</v>
      </c>
      <c r="AI354" s="171">
        <f t="shared" si="373"/>
        <v>0</v>
      </c>
      <c r="AJ354" s="171">
        <f t="shared" si="373"/>
        <v>0</v>
      </c>
      <c r="AK354" s="171">
        <f t="shared" si="373"/>
        <v>0</v>
      </c>
      <c r="AL354" s="171">
        <f t="shared" si="373"/>
        <v>0</v>
      </c>
      <c r="AM354" s="171">
        <f t="shared" si="373"/>
        <v>0</v>
      </c>
      <c r="AN354" s="171">
        <f t="shared" si="373"/>
        <v>0</v>
      </c>
      <c r="AO354" s="171">
        <f t="shared" si="373"/>
        <v>0</v>
      </c>
      <c r="AP354" s="171">
        <f t="shared" si="373"/>
        <v>0</v>
      </c>
      <c r="AQ354" s="171">
        <f t="shared" si="373"/>
        <v>0</v>
      </c>
      <c r="AR354" s="171">
        <f t="shared" si="373"/>
        <v>0</v>
      </c>
      <c r="AS354" s="171">
        <f t="shared" si="373"/>
        <v>0</v>
      </c>
      <c r="AT354" s="171">
        <f t="shared" si="373"/>
        <v>0</v>
      </c>
      <c r="AU354" s="171">
        <f t="shared" si="373"/>
        <v>0</v>
      </c>
      <c r="AV354" s="171">
        <f t="shared" si="373"/>
        <v>0</v>
      </c>
      <c r="AW354" s="171">
        <f t="shared" si="373"/>
        <v>0</v>
      </c>
      <c r="AX354" s="171">
        <f t="shared" si="373"/>
        <v>353721000</v>
      </c>
      <c r="AY354" s="171">
        <f t="shared" ref="AY354:AZ354" si="374">SUM(AY355:AY356)</f>
        <v>254853263</v>
      </c>
      <c r="AZ354" s="171">
        <f t="shared" si="374"/>
        <v>161461132</v>
      </c>
      <c r="BA354" s="171">
        <f t="shared" si="373"/>
        <v>0</v>
      </c>
      <c r="BB354" s="171">
        <f t="shared" si="373"/>
        <v>0</v>
      </c>
      <c r="BC354" s="171">
        <f t="shared" si="373"/>
        <v>0</v>
      </c>
      <c r="BD354" s="171">
        <f t="shared" si="373"/>
        <v>0</v>
      </c>
      <c r="BE354" s="171">
        <f t="shared" si="373"/>
        <v>0</v>
      </c>
      <c r="BF354" s="171">
        <f t="shared" si="373"/>
        <v>0</v>
      </c>
      <c r="BG354" s="171">
        <f t="shared" si="373"/>
        <v>353721000</v>
      </c>
      <c r="BH354" s="171">
        <f t="shared" si="373"/>
        <v>254853263</v>
      </c>
      <c r="BI354" s="171">
        <f t="shared" si="373"/>
        <v>161461132</v>
      </c>
    </row>
    <row r="355" spans="1:67" s="202" customFormat="1" ht="91.5" customHeight="1" x14ac:dyDescent="0.2">
      <c r="A355" s="456"/>
      <c r="B355" s="528"/>
      <c r="C355" s="530"/>
      <c r="D355" s="353"/>
      <c r="E355" s="361">
        <v>2302</v>
      </c>
      <c r="F355" s="362" t="s">
        <v>1258</v>
      </c>
      <c r="G355" s="361" t="s">
        <v>1259</v>
      </c>
      <c r="H355" s="361">
        <v>2302033</v>
      </c>
      <c r="I355" s="362" t="s">
        <v>1260</v>
      </c>
      <c r="J355" s="361" t="s">
        <v>1261</v>
      </c>
      <c r="K355" s="301">
        <v>230203300</v>
      </c>
      <c r="L355" s="362" t="s">
        <v>1262</v>
      </c>
      <c r="M355" s="361" t="s">
        <v>98</v>
      </c>
      <c r="N355" s="361">
        <v>100</v>
      </c>
      <c r="O355" s="361">
        <v>100</v>
      </c>
      <c r="P355" s="361">
        <v>70</v>
      </c>
      <c r="Q355" s="531" t="s">
        <v>99</v>
      </c>
      <c r="R355" s="532" t="s">
        <v>1263</v>
      </c>
      <c r="S355" s="531" t="s">
        <v>1264</v>
      </c>
      <c r="T355" s="43"/>
      <c r="U355" s="43"/>
      <c r="V355" s="43"/>
      <c r="W355" s="43"/>
      <c r="X355" s="43"/>
      <c r="Y355" s="43"/>
      <c r="Z355" s="43"/>
      <c r="AA355" s="43"/>
      <c r="AB355" s="43"/>
      <c r="AC355" s="201"/>
      <c r="AD355" s="201"/>
      <c r="AE355" s="201"/>
      <c r="AF355" s="201"/>
      <c r="AG355" s="201"/>
      <c r="AH355" s="201"/>
      <c r="AI355" s="201"/>
      <c r="AJ355" s="201"/>
      <c r="AK355" s="201"/>
      <c r="AL355" s="201"/>
      <c r="AM355" s="201"/>
      <c r="AN355" s="201"/>
      <c r="AO355" s="201"/>
      <c r="AP355" s="201"/>
      <c r="AQ355" s="201"/>
      <c r="AR355" s="201"/>
      <c r="AS355" s="201"/>
      <c r="AT355" s="201"/>
      <c r="AU355" s="201"/>
      <c r="AV355" s="201"/>
      <c r="AW355" s="201"/>
      <c r="AX355" s="201">
        <v>263401000</v>
      </c>
      <c r="AY355" s="296">
        <v>230926797</v>
      </c>
      <c r="AZ355" s="296">
        <v>157881132</v>
      </c>
      <c r="BA355" s="201"/>
      <c r="BB355" s="201"/>
      <c r="BC355" s="201"/>
      <c r="BD355" s="201"/>
      <c r="BE355" s="201"/>
      <c r="BF355" s="201"/>
      <c r="BG355" s="201">
        <f>+T355+W355+Z355+AC355+AF355+AI355+AL355+AO355+AR355+AU355+AX355+BA355+BD355</f>
        <v>263401000</v>
      </c>
      <c r="BH355" s="201">
        <f t="shared" ref="BH355:BI356" si="375">+U355+X355+AA355+AD355+AG355+AJ355+AM355+AP355+AS355+AV355+AY355+BB355+BE355</f>
        <v>230926797</v>
      </c>
      <c r="BI355" s="201">
        <f t="shared" si="375"/>
        <v>157881132</v>
      </c>
    </row>
    <row r="356" spans="1:67" s="202" customFormat="1" ht="72" customHeight="1" x14ac:dyDescent="0.2">
      <c r="A356" s="472"/>
      <c r="B356" s="529"/>
      <c r="C356" s="530"/>
      <c r="D356" s="353"/>
      <c r="E356" s="361">
        <v>2302</v>
      </c>
      <c r="F356" s="362" t="s">
        <v>1258</v>
      </c>
      <c r="G356" s="361" t="s">
        <v>1265</v>
      </c>
      <c r="H356" s="361">
        <v>2302066</v>
      </c>
      <c r="I356" s="362" t="s">
        <v>1266</v>
      </c>
      <c r="J356" s="361" t="s">
        <v>1267</v>
      </c>
      <c r="K356" s="301">
        <v>230206600</v>
      </c>
      <c r="L356" s="362" t="s">
        <v>1268</v>
      </c>
      <c r="M356" s="361" t="s">
        <v>188</v>
      </c>
      <c r="N356" s="361">
        <v>200</v>
      </c>
      <c r="O356" s="361">
        <v>30</v>
      </c>
      <c r="P356" s="361">
        <v>0</v>
      </c>
      <c r="Q356" s="531"/>
      <c r="R356" s="532"/>
      <c r="S356" s="531"/>
      <c r="T356" s="43"/>
      <c r="U356" s="43"/>
      <c r="V356" s="43"/>
      <c r="W356" s="43"/>
      <c r="X356" s="43"/>
      <c r="Y356" s="43"/>
      <c r="Z356" s="43"/>
      <c r="AA356" s="43"/>
      <c r="AB356" s="43"/>
      <c r="AC356" s="201"/>
      <c r="AD356" s="201"/>
      <c r="AE356" s="201"/>
      <c r="AF356" s="201"/>
      <c r="AG356" s="201"/>
      <c r="AH356" s="201"/>
      <c r="AI356" s="201"/>
      <c r="AJ356" s="201"/>
      <c r="AK356" s="201"/>
      <c r="AL356" s="201"/>
      <c r="AM356" s="201"/>
      <c r="AN356" s="201"/>
      <c r="AO356" s="201"/>
      <c r="AP356" s="201"/>
      <c r="AQ356" s="201"/>
      <c r="AR356" s="201"/>
      <c r="AS356" s="201"/>
      <c r="AT356" s="201"/>
      <c r="AU356" s="201"/>
      <c r="AV356" s="201"/>
      <c r="AW356" s="201"/>
      <c r="AX356" s="201">
        <f>14320000+76000000</f>
        <v>90320000</v>
      </c>
      <c r="AY356" s="296">
        <v>23926466</v>
      </c>
      <c r="AZ356" s="296">
        <v>3580000</v>
      </c>
      <c r="BA356" s="201"/>
      <c r="BB356" s="201"/>
      <c r="BC356" s="201"/>
      <c r="BD356" s="201"/>
      <c r="BE356" s="201"/>
      <c r="BF356" s="201"/>
      <c r="BG356" s="201">
        <f>+T356+W356+Z356+AC356+AF356+AI356+AL356+AO356+AR356+AU356+AX356+BA356+BD356</f>
        <v>90320000</v>
      </c>
      <c r="BH356" s="201">
        <f t="shared" si="375"/>
        <v>23926466</v>
      </c>
      <c r="BI356" s="201">
        <f t="shared" si="375"/>
        <v>3580000</v>
      </c>
    </row>
    <row r="357" spans="1:67" s="249" customFormat="1" ht="38.25" customHeight="1" x14ac:dyDescent="0.25">
      <c r="A357" s="405" t="s">
        <v>1269</v>
      </c>
      <c r="B357" s="406"/>
      <c r="C357" s="406"/>
      <c r="D357" s="406"/>
      <c r="E357" s="406"/>
      <c r="F357" s="406"/>
      <c r="G357" s="406"/>
      <c r="H357" s="406"/>
      <c r="I357" s="406"/>
      <c r="J357" s="246"/>
      <c r="K357" s="246"/>
      <c r="L357" s="247"/>
      <c r="M357" s="246"/>
      <c r="N357" s="246"/>
      <c r="O357" s="246"/>
      <c r="P357" s="246"/>
      <c r="Q357" s="247"/>
      <c r="R357" s="246"/>
      <c r="S357" s="247"/>
      <c r="T357" s="248">
        <f t="shared" ref="T357:BI357" si="376">+T341+T275+T231+T203+T195+T147+T130+T117+T79+T39+T33+T16+T8</f>
        <v>8373731127.0799999</v>
      </c>
      <c r="U357" s="248">
        <f t="shared" si="376"/>
        <v>1793608906</v>
      </c>
      <c r="V357" s="248">
        <f t="shared" si="376"/>
        <v>1392004565</v>
      </c>
      <c r="W357" s="248">
        <f t="shared" si="376"/>
        <v>2192073558.0099998</v>
      </c>
      <c r="X357" s="248">
        <f t="shared" si="376"/>
        <v>118600000</v>
      </c>
      <c r="Y357" s="248">
        <f t="shared" si="376"/>
        <v>12400000</v>
      </c>
      <c r="Z357" s="248">
        <f t="shared" si="376"/>
        <v>184304077.94</v>
      </c>
      <c r="AA357" s="248">
        <f t="shared" si="376"/>
        <v>184278666</v>
      </c>
      <c r="AB357" s="248">
        <f t="shared" si="376"/>
        <v>90435017</v>
      </c>
      <c r="AC357" s="248">
        <f t="shared" si="376"/>
        <v>2849173512.6999998</v>
      </c>
      <c r="AD357" s="248">
        <f t="shared" si="376"/>
        <v>1346800605</v>
      </c>
      <c r="AE357" s="248">
        <f t="shared" si="376"/>
        <v>929384162</v>
      </c>
      <c r="AF357" s="248">
        <f t="shared" si="376"/>
        <v>6648246009.5</v>
      </c>
      <c r="AG357" s="248">
        <f t="shared" si="376"/>
        <v>2349741748</v>
      </c>
      <c r="AH357" s="248">
        <f t="shared" si="376"/>
        <v>1122931061</v>
      </c>
      <c r="AI357" s="248">
        <f t="shared" si="376"/>
        <v>27454768746.280003</v>
      </c>
      <c r="AJ357" s="248">
        <f t="shared" si="376"/>
        <v>21651168903</v>
      </c>
      <c r="AK357" s="248">
        <f t="shared" si="376"/>
        <v>11295390100.5</v>
      </c>
      <c r="AL357" s="248">
        <f t="shared" si="376"/>
        <v>134989913515.46001</v>
      </c>
      <c r="AM357" s="248">
        <f t="shared" si="376"/>
        <v>90736278326</v>
      </c>
      <c r="AN357" s="248">
        <f t="shared" si="376"/>
        <v>89715762271</v>
      </c>
      <c r="AO357" s="248">
        <f t="shared" si="376"/>
        <v>23500000000</v>
      </c>
      <c r="AP357" s="248">
        <f t="shared" si="376"/>
        <v>19060689144</v>
      </c>
      <c r="AQ357" s="248">
        <f t="shared" si="376"/>
        <v>19060689144</v>
      </c>
      <c r="AR357" s="248">
        <f t="shared" si="376"/>
        <v>13759826753.450001</v>
      </c>
      <c r="AS357" s="248">
        <f t="shared" si="376"/>
        <v>12938796308</v>
      </c>
      <c r="AT357" s="248">
        <f t="shared" si="376"/>
        <v>7834225057</v>
      </c>
      <c r="AU357" s="248">
        <f t="shared" si="376"/>
        <v>2686652877.1199999</v>
      </c>
      <c r="AV357" s="248">
        <f t="shared" si="376"/>
        <v>0</v>
      </c>
      <c r="AW357" s="248">
        <f t="shared" si="376"/>
        <v>0</v>
      </c>
      <c r="AX357" s="248">
        <f t="shared" si="376"/>
        <v>21505338599.350002</v>
      </c>
      <c r="AY357" s="248">
        <f t="shared" si="376"/>
        <v>11235117195.66</v>
      </c>
      <c r="AZ357" s="248">
        <f t="shared" si="376"/>
        <v>5944407653.3299999</v>
      </c>
      <c r="BA357" s="248">
        <f t="shared" si="376"/>
        <v>920376136.11000001</v>
      </c>
      <c r="BB357" s="248">
        <f t="shared" si="376"/>
        <v>606663331</v>
      </c>
      <c r="BC357" s="248">
        <f t="shared" si="376"/>
        <v>463306666</v>
      </c>
      <c r="BD357" s="248">
        <f t="shared" si="376"/>
        <v>2397768825.3000002</v>
      </c>
      <c r="BE357" s="248">
        <f t="shared" si="376"/>
        <v>1825403877</v>
      </c>
      <c r="BF357" s="248">
        <f t="shared" si="376"/>
        <v>799524957</v>
      </c>
      <c r="BG357" s="248">
        <f t="shared" si="376"/>
        <v>247462173738.30002</v>
      </c>
      <c r="BH357" s="248">
        <f t="shared" si="376"/>
        <v>163847147009.66</v>
      </c>
      <c r="BI357" s="248">
        <f t="shared" si="376"/>
        <v>138660460653.83002</v>
      </c>
      <c r="BJ357" s="487"/>
      <c r="BK357" s="487"/>
      <c r="BL357" s="487"/>
      <c r="BM357" s="487"/>
      <c r="BN357" s="487"/>
      <c r="BO357" s="487"/>
    </row>
    <row r="358" spans="1:67" s="242" customFormat="1" ht="15.75" x14ac:dyDescent="0.2">
      <c r="A358" s="443"/>
      <c r="B358" s="444"/>
      <c r="C358" s="444"/>
      <c r="D358" s="445"/>
      <c r="E358" s="446"/>
      <c r="F358" s="446"/>
      <c r="G358" s="447"/>
      <c r="H358" s="447"/>
      <c r="I358" s="448"/>
      <c r="J358" s="449"/>
      <c r="K358" s="449"/>
      <c r="L358" s="448"/>
      <c r="M358" s="447"/>
      <c r="N358" s="447"/>
      <c r="O358" s="449"/>
      <c r="P358" s="449"/>
      <c r="Q358" s="447"/>
      <c r="R358" s="447"/>
      <c r="S358" s="448"/>
      <c r="T358" s="450"/>
      <c r="U358" s="450"/>
      <c r="V358" s="450"/>
      <c r="W358" s="450"/>
      <c r="X358" s="450"/>
      <c r="Y358" s="450"/>
      <c r="Z358" s="450"/>
      <c r="AA358" s="450"/>
      <c r="AB358" s="450"/>
      <c r="AC358" s="450"/>
      <c r="AD358" s="450"/>
      <c r="AE358" s="450"/>
      <c r="AF358" s="450"/>
      <c r="AG358" s="450"/>
      <c r="AH358" s="450"/>
      <c r="AI358" s="450"/>
      <c r="AJ358" s="450"/>
      <c r="AK358" s="450"/>
      <c r="AL358" s="450"/>
      <c r="AM358" s="450"/>
      <c r="AN358" s="450"/>
      <c r="AO358" s="450"/>
      <c r="AP358" s="450"/>
      <c r="AQ358" s="450"/>
      <c r="AR358" s="450"/>
      <c r="AS358" s="450"/>
      <c r="AT358" s="450"/>
      <c r="AU358" s="450"/>
      <c r="AV358" s="450"/>
      <c r="AW358" s="450"/>
      <c r="AX358" s="451"/>
      <c r="AY358" s="451"/>
      <c r="AZ358" s="451"/>
      <c r="BA358" s="450"/>
      <c r="BB358" s="450"/>
      <c r="BC358" s="450"/>
      <c r="BD358" s="450"/>
      <c r="BE358" s="450"/>
      <c r="BF358" s="450"/>
      <c r="BG358" s="451"/>
      <c r="BH358" s="451"/>
      <c r="BI358" s="451"/>
    </row>
    <row r="359" spans="1:67" ht="29.25" customHeight="1" x14ac:dyDescent="0.2">
      <c r="A359" s="211" t="s">
        <v>1270</v>
      </c>
      <c r="B359" s="211"/>
      <c r="C359" s="211"/>
      <c r="D359" s="212"/>
      <c r="E359" s="212"/>
      <c r="F359" s="213"/>
      <c r="G359" s="214"/>
      <c r="H359" s="156"/>
      <c r="I359" s="213"/>
      <c r="J359" s="214"/>
      <c r="K359" s="214"/>
      <c r="L359" s="213"/>
      <c r="M359" s="156"/>
      <c r="N359" s="156"/>
      <c r="O359" s="214"/>
      <c r="P359" s="214"/>
      <c r="Q359" s="425"/>
      <c r="R359" s="214"/>
      <c r="S359" s="213"/>
      <c r="T359" s="188">
        <f t="shared" ref="T359:BD359" si="377">+T360</f>
        <v>0</v>
      </c>
      <c r="U359" s="188"/>
      <c r="V359" s="188"/>
      <c r="W359" s="188">
        <f t="shared" si="377"/>
        <v>0</v>
      </c>
      <c r="X359" s="188"/>
      <c r="Y359" s="188"/>
      <c r="Z359" s="188">
        <f t="shared" si="377"/>
        <v>0</v>
      </c>
      <c r="AA359" s="188"/>
      <c r="AB359" s="188"/>
      <c r="AC359" s="188">
        <f t="shared" si="377"/>
        <v>0</v>
      </c>
      <c r="AD359" s="188"/>
      <c r="AE359" s="188"/>
      <c r="AF359" s="188">
        <f t="shared" si="377"/>
        <v>0</v>
      </c>
      <c r="AG359" s="188"/>
      <c r="AH359" s="188"/>
      <c r="AI359" s="188">
        <f t="shared" si="377"/>
        <v>0</v>
      </c>
      <c r="AJ359" s="188"/>
      <c r="AK359" s="188"/>
      <c r="AL359" s="188">
        <f t="shared" si="377"/>
        <v>0</v>
      </c>
      <c r="AM359" s="188"/>
      <c r="AN359" s="188"/>
      <c r="AO359" s="188">
        <f t="shared" si="377"/>
        <v>0</v>
      </c>
      <c r="AP359" s="188"/>
      <c r="AQ359" s="188"/>
      <c r="AR359" s="188">
        <f t="shared" si="377"/>
        <v>0</v>
      </c>
      <c r="AS359" s="188"/>
      <c r="AT359" s="188"/>
      <c r="AU359" s="188">
        <f t="shared" si="377"/>
        <v>0</v>
      </c>
      <c r="AV359" s="188"/>
      <c r="AW359" s="188"/>
      <c r="AX359" s="188">
        <f t="shared" si="377"/>
        <v>759313093.42000008</v>
      </c>
      <c r="AY359" s="188">
        <f t="shared" si="377"/>
        <v>210404994</v>
      </c>
      <c r="AZ359" s="188">
        <f t="shared" si="377"/>
        <v>184748366</v>
      </c>
      <c r="BA359" s="188">
        <f t="shared" si="377"/>
        <v>3582176217.3600001</v>
      </c>
      <c r="BB359" s="188">
        <f t="shared" si="377"/>
        <v>1371181426.25</v>
      </c>
      <c r="BC359" s="188">
        <f t="shared" si="377"/>
        <v>871745646.25</v>
      </c>
      <c r="BD359" s="188">
        <f t="shared" si="377"/>
        <v>0</v>
      </c>
      <c r="BE359" s="188"/>
      <c r="BF359" s="188"/>
      <c r="BG359" s="188">
        <f>BG360</f>
        <v>4341489310.7799997</v>
      </c>
      <c r="BH359" s="188">
        <f t="shared" ref="BH359:BI359" si="378">BH360</f>
        <v>1581586420.25</v>
      </c>
      <c r="BI359" s="188">
        <f t="shared" si="378"/>
        <v>1056494012.25</v>
      </c>
      <c r="BJ359" s="487"/>
      <c r="BK359" s="487"/>
      <c r="BL359" s="487"/>
      <c r="BM359" s="487"/>
      <c r="BN359" s="487"/>
      <c r="BO359" s="487"/>
    </row>
    <row r="360" spans="1:67" ht="22.5" customHeight="1" x14ac:dyDescent="0.2">
      <c r="A360" s="452"/>
      <c r="B360" s="259">
        <v>1</v>
      </c>
      <c r="C360" s="159" t="s">
        <v>1</v>
      </c>
      <c r="D360" s="160"/>
      <c r="E360" s="160"/>
      <c r="F360" s="161"/>
      <c r="G360" s="162"/>
      <c r="H360" s="163"/>
      <c r="I360" s="161"/>
      <c r="J360" s="162"/>
      <c r="K360" s="162"/>
      <c r="L360" s="161"/>
      <c r="M360" s="164"/>
      <c r="N360" s="164"/>
      <c r="O360" s="162"/>
      <c r="P360" s="162"/>
      <c r="Q360" s="426"/>
      <c r="R360" s="162"/>
      <c r="S360" s="161"/>
      <c r="T360" s="165">
        <f>T361+T374</f>
        <v>0</v>
      </c>
      <c r="U360" s="165"/>
      <c r="V360" s="165"/>
      <c r="W360" s="165">
        <f t="shared" ref="W360:BI360" si="379">W361+W374</f>
        <v>0</v>
      </c>
      <c r="X360" s="165"/>
      <c r="Y360" s="165"/>
      <c r="Z360" s="165">
        <f t="shared" si="379"/>
        <v>0</v>
      </c>
      <c r="AA360" s="165"/>
      <c r="AB360" s="165"/>
      <c r="AC360" s="165">
        <f t="shared" si="379"/>
        <v>0</v>
      </c>
      <c r="AD360" s="165"/>
      <c r="AE360" s="165"/>
      <c r="AF360" s="165">
        <f t="shared" si="379"/>
        <v>0</v>
      </c>
      <c r="AG360" s="165"/>
      <c r="AH360" s="165"/>
      <c r="AI360" s="165">
        <f t="shared" si="379"/>
        <v>0</v>
      </c>
      <c r="AJ360" s="165"/>
      <c r="AK360" s="165"/>
      <c r="AL360" s="165">
        <f t="shared" si="379"/>
        <v>0</v>
      </c>
      <c r="AM360" s="165"/>
      <c r="AN360" s="165"/>
      <c r="AO360" s="165">
        <f t="shared" si="379"/>
        <v>0</v>
      </c>
      <c r="AP360" s="165"/>
      <c r="AQ360" s="165"/>
      <c r="AR360" s="165">
        <f t="shared" si="379"/>
        <v>0</v>
      </c>
      <c r="AS360" s="165"/>
      <c r="AT360" s="165"/>
      <c r="AU360" s="165">
        <f t="shared" si="379"/>
        <v>0</v>
      </c>
      <c r="AV360" s="165"/>
      <c r="AW360" s="165"/>
      <c r="AX360" s="165">
        <f t="shared" si="379"/>
        <v>759313093.42000008</v>
      </c>
      <c r="AY360" s="165">
        <f t="shared" ref="AY360:AZ360" si="380">AY361+AY374</f>
        <v>210404994</v>
      </c>
      <c r="AZ360" s="165">
        <f t="shared" si="380"/>
        <v>184748366</v>
      </c>
      <c r="BA360" s="165">
        <f t="shared" si="379"/>
        <v>3582176217.3600001</v>
      </c>
      <c r="BB360" s="165">
        <f t="shared" ref="BB360:BC360" si="381">BB361+BB374</f>
        <v>1371181426.25</v>
      </c>
      <c r="BC360" s="165">
        <f t="shared" si="381"/>
        <v>871745646.25</v>
      </c>
      <c r="BD360" s="165">
        <f t="shared" si="379"/>
        <v>0</v>
      </c>
      <c r="BE360" s="165"/>
      <c r="BF360" s="165"/>
      <c r="BG360" s="165">
        <f t="shared" si="379"/>
        <v>4341489310.7799997</v>
      </c>
      <c r="BH360" s="165">
        <f t="shared" si="379"/>
        <v>1581586420.25</v>
      </c>
      <c r="BI360" s="165">
        <f t="shared" si="379"/>
        <v>1056494012.25</v>
      </c>
    </row>
    <row r="361" spans="1:67" ht="20.25" customHeight="1" x14ac:dyDescent="0.2">
      <c r="A361" s="438"/>
      <c r="B361" s="440"/>
      <c r="C361" s="195">
        <v>39</v>
      </c>
      <c r="D361" s="195">
        <v>4301</v>
      </c>
      <c r="E361" s="357" t="s">
        <v>218</v>
      </c>
      <c r="F361" s="221"/>
      <c r="G361" s="220"/>
      <c r="H361" s="220"/>
      <c r="I361" s="221"/>
      <c r="J361" s="220"/>
      <c r="K361" s="220"/>
      <c r="L361" s="221"/>
      <c r="M361" s="168"/>
      <c r="N361" s="168"/>
      <c r="O361" s="220"/>
      <c r="P361" s="220"/>
      <c r="Q361" s="401"/>
      <c r="R361" s="220"/>
      <c r="S361" s="221"/>
      <c r="T361" s="63">
        <f>SUM(T362:T369)</f>
        <v>0</v>
      </c>
      <c r="U361" s="63"/>
      <c r="V361" s="63"/>
      <c r="W361" s="63">
        <f t="shared" ref="W361:AU361" si="382">SUM(W362:W369)</f>
        <v>0</v>
      </c>
      <c r="X361" s="63"/>
      <c r="Y361" s="63"/>
      <c r="Z361" s="63">
        <f t="shared" si="382"/>
        <v>0</v>
      </c>
      <c r="AA361" s="63"/>
      <c r="AB361" s="63"/>
      <c r="AC361" s="63">
        <f t="shared" si="382"/>
        <v>0</v>
      </c>
      <c r="AD361" s="63"/>
      <c r="AE361" s="63"/>
      <c r="AF361" s="63">
        <f t="shared" si="382"/>
        <v>0</v>
      </c>
      <c r="AG361" s="63"/>
      <c r="AH361" s="63"/>
      <c r="AI361" s="63">
        <f t="shared" si="382"/>
        <v>0</v>
      </c>
      <c r="AJ361" s="63"/>
      <c r="AK361" s="63"/>
      <c r="AL361" s="63">
        <f t="shared" si="382"/>
        <v>0</v>
      </c>
      <c r="AM361" s="63"/>
      <c r="AN361" s="63"/>
      <c r="AO361" s="63">
        <f t="shared" si="382"/>
        <v>0</v>
      </c>
      <c r="AP361" s="63"/>
      <c r="AQ361" s="63"/>
      <c r="AR361" s="63">
        <f t="shared" si="382"/>
        <v>0</v>
      </c>
      <c r="AS361" s="63"/>
      <c r="AT361" s="63"/>
      <c r="AU361" s="63">
        <f t="shared" si="382"/>
        <v>0</v>
      </c>
      <c r="AV361" s="63"/>
      <c r="AW361" s="63"/>
      <c r="AX361" s="63">
        <f>SUM(AX362:AX373)</f>
        <v>185487366.42000002</v>
      </c>
      <c r="AY361" s="63">
        <f t="shared" ref="AY361:AZ361" si="383">SUM(AY362:AY373)</f>
        <v>29487628</v>
      </c>
      <c r="AZ361" s="63">
        <f t="shared" si="383"/>
        <v>21081000</v>
      </c>
      <c r="BA361" s="63">
        <f t="shared" ref="BA361:BI361" si="384">SUM(BA362:BA373)</f>
        <v>2891013342.3600001</v>
      </c>
      <c r="BB361" s="63">
        <f t="shared" ref="BB361:BC361" si="385">SUM(BB362:BB373)</f>
        <v>1175665835.25</v>
      </c>
      <c r="BC361" s="63">
        <f t="shared" si="385"/>
        <v>771645646.25</v>
      </c>
      <c r="BD361" s="63">
        <f t="shared" si="384"/>
        <v>0</v>
      </c>
      <c r="BE361" s="63"/>
      <c r="BF361" s="63"/>
      <c r="BG361" s="63">
        <f t="shared" si="384"/>
        <v>3076500708.7799997</v>
      </c>
      <c r="BH361" s="63">
        <f t="shared" si="384"/>
        <v>1205153463.25</v>
      </c>
      <c r="BI361" s="63">
        <f t="shared" si="384"/>
        <v>792726646.25</v>
      </c>
    </row>
    <row r="362" spans="1:67" ht="122.25" customHeight="1" x14ac:dyDescent="0.2">
      <c r="A362" s="438"/>
      <c r="B362" s="441"/>
      <c r="C362" s="373"/>
      <c r="D362" s="373"/>
      <c r="E362" s="354">
        <v>4301</v>
      </c>
      <c r="F362" s="434" t="s">
        <v>1518</v>
      </c>
      <c r="G362" s="389" t="s">
        <v>1271</v>
      </c>
      <c r="H362" s="389">
        <v>4301007</v>
      </c>
      <c r="I362" s="429" t="s">
        <v>1272</v>
      </c>
      <c r="J362" s="389" t="s">
        <v>1273</v>
      </c>
      <c r="K362" s="389">
        <v>430100701</v>
      </c>
      <c r="L362" s="429" t="s">
        <v>1274</v>
      </c>
      <c r="M362" s="364" t="s">
        <v>98</v>
      </c>
      <c r="N362" s="364">
        <v>12</v>
      </c>
      <c r="O362" s="354">
        <v>12</v>
      </c>
      <c r="P362" s="354">
        <v>6</v>
      </c>
      <c r="Q362" s="524" t="s">
        <v>224</v>
      </c>
      <c r="R362" s="517" t="s">
        <v>1275</v>
      </c>
      <c r="S362" s="518" t="s">
        <v>1276</v>
      </c>
      <c r="T362" s="52"/>
      <c r="U362" s="52"/>
      <c r="V362" s="52"/>
      <c r="W362" s="52"/>
      <c r="X362" s="52"/>
      <c r="Y362" s="52"/>
      <c r="Z362" s="52"/>
      <c r="AA362" s="52"/>
      <c r="AB362" s="52"/>
      <c r="AC362" s="52"/>
      <c r="AD362" s="52"/>
      <c r="AE362" s="52"/>
      <c r="AF362" s="52"/>
      <c r="AG362" s="52"/>
      <c r="AH362" s="52"/>
      <c r="AI362" s="250"/>
      <c r="AJ362" s="250"/>
      <c r="AK362" s="250"/>
      <c r="AL362" s="52"/>
      <c r="AM362" s="52"/>
      <c r="AN362" s="52"/>
      <c r="AO362" s="52"/>
      <c r="AP362" s="52"/>
      <c r="AQ362" s="52"/>
      <c r="AR362" s="52"/>
      <c r="AS362" s="52"/>
      <c r="AT362" s="52"/>
      <c r="AU362" s="52"/>
      <c r="AV362" s="52"/>
      <c r="AW362" s="52"/>
      <c r="AX362" s="64"/>
      <c r="AY362" s="64"/>
      <c r="AZ362" s="64"/>
      <c r="BA362" s="319">
        <f>47740000+18240000+96129000</f>
        <v>162109000</v>
      </c>
      <c r="BB362" s="319">
        <v>81573333</v>
      </c>
      <c r="BC362" s="319">
        <v>47740000</v>
      </c>
      <c r="BD362" s="43"/>
      <c r="BE362" s="43"/>
      <c r="BF362" s="43"/>
      <c r="BG362" s="173">
        <f>+T362+W362+Z362+AC362+AF362+AI362+AL362+AO362+AR362+AU362+AX362+BA362+BD362</f>
        <v>162109000</v>
      </c>
      <c r="BH362" s="173">
        <f t="shared" ref="BG362:BI373" si="386">+U362+X362+AA362+AD362+AG362+AJ362+AM362+AP362+AS362+AV362+AY362+BB362+BE362</f>
        <v>81573333</v>
      </c>
      <c r="BI362" s="173">
        <f t="shared" si="386"/>
        <v>47740000</v>
      </c>
    </row>
    <row r="363" spans="1:67" ht="120" customHeight="1" x14ac:dyDescent="0.2">
      <c r="A363" s="438"/>
      <c r="B363" s="441"/>
      <c r="C363" s="373"/>
      <c r="D363" s="373"/>
      <c r="E363" s="354">
        <v>4301</v>
      </c>
      <c r="F363" s="434" t="s">
        <v>1518</v>
      </c>
      <c r="G363" s="389">
        <v>39.200000000000003</v>
      </c>
      <c r="H363" s="389">
        <v>4301037</v>
      </c>
      <c r="I363" s="429" t="s">
        <v>1278</v>
      </c>
      <c r="J363" s="389" t="s">
        <v>1279</v>
      </c>
      <c r="K363" s="389">
        <v>430103701</v>
      </c>
      <c r="L363" s="429" t="s">
        <v>1280</v>
      </c>
      <c r="M363" s="298" t="s">
        <v>98</v>
      </c>
      <c r="N363" s="298">
        <v>12</v>
      </c>
      <c r="O363" s="298">
        <v>12</v>
      </c>
      <c r="P363" s="298">
        <v>9</v>
      </c>
      <c r="Q363" s="524"/>
      <c r="R363" s="517"/>
      <c r="S363" s="518"/>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319">
        <v>3480000</v>
      </c>
      <c r="AY363" s="319">
        <v>3480000</v>
      </c>
      <c r="AZ363" s="319">
        <v>2120000</v>
      </c>
      <c r="BA363" s="319">
        <v>10000000</v>
      </c>
      <c r="BB363" s="319">
        <v>10000000</v>
      </c>
      <c r="BC363" s="319">
        <v>10000000</v>
      </c>
      <c r="BD363" s="65"/>
      <c r="BE363" s="65"/>
      <c r="BF363" s="65"/>
      <c r="BG363" s="296">
        <f t="shared" si="386"/>
        <v>13480000</v>
      </c>
      <c r="BH363" s="173">
        <f t="shared" si="386"/>
        <v>13480000</v>
      </c>
      <c r="BI363" s="173">
        <f t="shared" si="386"/>
        <v>12120000</v>
      </c>
    </row>
    <row r="364" spans="1:67" ht="134.25" customHeight="1" x14ac:dyDescent="0.2">
      <c r="A364" s="438"/>
      <c r="B364" s="441"/>
      <c r="C364" s="373"/>
      <c r="D364" s="373"/>
      <c r="E364" s="354">
        <v>4301</v>
      </c>
      <c r="F364" s="434" t="s">
        <v>1518</v>
      </c>
      <c r="G364" s="389" t="s">
        <v>1277</v>
      </c>
      <c r="H364" s="389">
        <v>4301037</v>
      </c>
      <c r="I364" s="429" t="s">
        <v>1278</v>
      </c>
      <c r="J364" s="389" t="s">
        <v>1281</v>
      </c>
      <c r="K364" s="389" t="s">
        <v>1282</v>
      </c>
      <c r="L364" s="429" t="s">
        <v>1283</v>
      </c>
      <c r="M364" s="298" t="s">
        <v>98</v>
      </c>
      <c r="N364" s="298">
        <v>12</v>
      </c>
      <c r="O364" s="298">
        <v>12</v>
      </c>
      <c r="P364" s="298">
        <v>9</v>
      </c>
      <c r="Q364" s="423" t="s">
        <v>224</v>
      </c>
      <c r="R364" s="354" t="s">
        <v>1284</v>
      </c>
      <c r="S364" s="355" t="s">
        <v>1467</v>
      </c>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319">
        <v>2227426</v>
      </c>
      <c r="AY364" s="319">
        <v>0</v>
      </c>
      <c r="AZ364" s="319">
        <v>0</v>
      </c>
      <c r="BA364" s="319">
        <f>7000000+40000000</f>
        <v>47000000</v>
      </c>
      <c r="BB364" s="319">
        <v>7000000</v>
      </c>
      <c r="BC364" s="319">
        <v>7000000</v>
      </c>
      <c r="BD364" s="43"/>
      <c r="BE364" s="43"/>
      <c r="BF364" s="43"/>
      <c r="BG364" s="296">
        <f t="shared" si="386"/>
        <v>49227426</v>
      </c>
      <c r="BH364" s="173">
        <f t="shared" si="386"/>
        <v>7000000</v>
      </c>
      <c r="BI364" s="173">
        <f t="shared" si="386"/>
        <v>7000000</v>
      </c>
    </row>
    <row r="365" spans="1:67" ht="120.75" customHeight="1" x14ac:dyDescent="0.2">
      <c r="A365" s="438"/>
      <c r="B365" s="441"/>
      <c r="C365" s="373"/>
      <c r="D365" s="373"/>
      <c r="E365" s="354">
        <v>4301</v>
      </c>
      <c r="F365" s="434" t="s">
        <v>1518</v>
      </c>
      <c r="G365" s="389" t="s">
        <v>1277</v>
      </c>
      <c r="H365" s="389">
        <v>4301037</v>
      </c>
      <c r="I365" s="429" t="s">
        <v>1278</v>
      </c>
      <c r="J365" s="389" t="s">
        <v>1281</v>
      </c>
      <c r="K365" s="389">
        <v>430103704</v>
      </c>
      <c r="L365" s="429" t="s">
        <v>1283</v>
      </c>
      <c r="M365" s="298" t="s">
        <v>98</v>
      </c>
      <c r="N365" s="298">
        <v>12</v>
      </c>
      <c r="O365" s="298">
        <v>12</v>
      </c>
      <c r="P365" s="298">
        <v>9</v>
      </c>
      <c r="Q365" s="524" t="s">
        <v>224</v>
      </c>
      <c r="R365" s="517" t="s">
        <v>1286</v>
      </c>
      <c r="S365" s="518" t="s">
        <v>1287</v>
      </c>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251"/>
      <c r="AY365" s="251"/>
      <c r="AZ365" s="251"/>
      <c r="BA365" s="320">
        <f>13800000+24000000</f>
        <v>37800000</v>
      </c>
      <c r="BB365" s="320">
        <v>13800000</v>
      </c>
      <c r="BC365" s="320">
        <v>13800000</v>
      </c>
      <c r="BD365" s="43"/>
      <c r="BE365" s="43"/>
      <c r="BF365" s="43"/>
      <c r="BG365" s="296">
        <f t="shared" si="386"/>
        <v>37800000</v>
      </c>
      <c r="BH365" s="173">
        <f t="shared" si="386"/>
        <v>13800000</v>
      </c>
      <c r="BI365" s="173">
        <f t="shared" si="386"/>
        <v>13800000</v>
      </c>
    </row>
    <row r="366" spans="1:67" ht="127.5" customHeight="1" x14ac:dyDescent="0.2">
      <c r="A366" s="438"/>
      <c r="B366" s="441"/>
      <c r="C366" s="373"/>
      <c r="D366" s="373"/>
      <c r="E366" s="354">
        <v>4301</v>
      </c>
      <c r="F366" s="429" t="s">
        <v>1518</v>
      </c>
      <c r="G366" s="389" t="s">
        <v>1288</v>
      </c>
      <c r="H366" s="389" t="s">
        <v>92</v>
      </c>
      <c r="I366" s="429" t="s">
        <v>1289</v>
      </c>
      <c r="J366" s="389" t="s">
        <v>1290</v>
      </c>
      <c r="K366" s="389" t="s">
        <v>92</v>
      </c>
      <c r="L366" s="429" t="s">
        <v>1520</v>
      </c>
      <c r="M366" s="364" t="s">
        <v>98</v>
      </c>
      <c r="N366" s="364">
        <v>1</v>
      </c>
      <c r="O366" s="354">
        <v>1</v>
      </c>
      <c r="P366" s="354">
        <v>0.75</v>
      </c>
      <c r="Q366" s="524"/>
      <c r="R366" s="517"/>
      <c r="S366" s="518"/>
      <c r="T366" s="52"/>
      <c r="U366" s="52"/>
      <c r="V366" s="52"/>
      <c r="W366" s="52"/>
      <c r="X366" s="52"/>
      <c r="Y366" s="52"/>
      <c r="Z366" s="52"/>
      <c r="AA366" s="52"/>
      <c r="AB366" s="52"/>
      <c r="AC366" s="52"/>
      <c r="AD366" s="52"/>
      <c r="AE366" s="52"/>
      <c r="AF366" s="52"/>
      <c r="AG366" s="52"/>
      <c r="AH366" s="52"/>
      <c r="AI366" s="52"/>
      <c r="AJ366" s="52"/>
      <c r="AK366" s="52"/>
      <c r="AL366" s="52"/>
      <c r="AM366" s="52"/>
      <c r="AN366" s="52"/>
      <c r="AO366" s="52"/>
      <c r="AP366" s="52"/>
      <c r="AQ366" s="52"/>
      <c r="AR366" s="52"/>
      <c r="AS366" s="52"/>
      <c r="AT366" s="52"/>
      <c r="AU366" s="52"/>
      <c r="AV366" s="52"/>
      <c r="AW366" s="52"/>
      <c r="AX366" s="56"/>
      <c r="AY366" s="56"/>
      <c r="AZ366" s="56"/>
      <c r="BA366" s="320">
        <f>19500000+12000000</f>
        <v>31500000</v>
      </c>
      <c r="BB366" s="320">
        <v>19500000</v>
      </c>
      <c r="BC366" s="320">
        <v>19500000</v>
      </c>
      <c r="BD366" s="252"/>
      <c r="BE366" s="252"/>
      <c r="BF366" s="252"/>
      <c r="BG366" s="296">
        <f t="shared" si="386"/>
        <v>31500000</v>
      </c>
      <c r="BH366" s="173">
        <f t="shared" si="386"/>
        <v>19500000</v>
      </c>
      <c r="BI366" s="173">
        <f t="shared" si="386"/>
        <v>19500000</v>
      </c>
    </row>
    <row r="367" spans="1:67" ht="129.75" customHeight="1" x14ac:dyDescent="0.2">
      <c r="A367" s="438"/>
      <c r="B367" s="441"/>
      <c r="C367" s="373"/>
      <c r="D367" s="373"/>
      <c r="E367" s="354">
        <v>4301</v>
      </c>
      <c r="F367" s="434" t="s">
        <v>1518</v>
      </c>
      <c r="G367" s="389" t="s">
        <v>1271</v>
      </c>
      <c r="H367" s="389">
        <v>4301007</v>
      </c>
      <c r="I367" s="321" t="s">
        <v>1272</v>
      </c>
      <c r="J367" s="389" t="s">
        <v>1273</v>
      </c>
      <c r="K367" s="389">
        <v>430100701</v>
      </c>
      <c r="L367" s="429" t="s">
        <v>1274</v>
      </c>
      <c r="M367" s="364" t="s">
        <v>98</v>
      </c>
      <c r="N367" s="364">
        <v>12</v>
      </c>
      <c r="O367" s="354">
        <v>12</v>
      </c>
      <c r="P367" s="354">
        <v>9</v>
      </c>
      <c r="Q367" s="423" t="s">
        <v>224</v>
      </c>
      <c r="R367" s="517" t="s">
        <v>1291</v>
      </c>
      <c r="S367" s="518" t="s">
        <v>1468</v>
      </c>
      <c r="T367" s="52"/>
      <c r="U367" s="52"/>
      <c r="V367" s="52"/>
      <c r="W367" s="52"/>
      <c r="X367" s="52"/>
      <c r="Y367" s="52"/>
      <c r="Z367" s="52"/>
      <c r="AA367" s="52"/>
      <c r="AB367" s="52"/>
      <c r="AC367" s="52"/>
      <c r="AD367" s="52"/>
      <c r="AE367" s="52"/>
      <c r="AF367" s="52"/>
      <c r="AG367" s="52"/>
      <c r="AH367" s="52"/>
      <c r="AI367" s="52"/>
      <c r="AJ367" s="52"/>
      <c r="AK367" s="52"/>
      <c r="AL367" s="52"/>
      <c r="AM367" s="52"/>
      <c r="AN367" s="52"/>
      <c r="AO367" s="52"/>
      <c r="AP367" s="52"/>
      <c r="AQ367" s="52"/>
      <c r="AR367" s="52"/>
      <c r="AS367" s="52"/>
      <c r="AT367" s="52"/>
      <c r="AU367" s="52"/>
      <c r="AV367" s="52"/>
      <c r="AW367" s="52"/>
      <c r="AX367" s="56"/>
      <c r="AY367" s="56"/>
      <c r="AZ367" s="56"/>
      <c r="BA367" s="322">
        <v>348605598</v>
      </c>
      <c r="BB367" s="322">
        <v>175836663.62</v>
      </c>
      <c r="BC367" s="322">
        <v>175836663.62</v>
      </c>
      <c r="BD367" s="252"/>
      <c r="BE367" s="252"/>
      <c r="BF367" s="252"/>
      <c r="BG367" s="296">
        <f t="shared" si="386"/>
        <v>348605598</v>
      </c>
      <c r="BH367" s="173">
        <f t="shared" si="386"/>
        <v>175836663.62</v>
      </c>
      <c r="BI367" s="173">
        <f t="shared" si="386"/>
        <v>175836663.62</v>
      </c>
    </row>
    <row r="368" spans="1:67" ht="119.25" customHeight="1" x14ac:dyDescent="0.2">
      <c r="A368" s="438"/>
      <c r="B368" s="441"/>
      <c r="C368" s="373"/>
      <c r="D368" s="373"/>
      <c r="E368" s="354">
        <v>4301</v>
      </c>
      <c r="F368" s="434" t="s">
        <v>1518</v>
      </c>
      <c r="G368" s="389" t="s">
        <v>1277</v>
      </c>
      <c r="H368" s="389">
        <v>4301037</v>
      </c>
      <c r="I368" s="429" t="s">
        <v>1278</v>
      </c>
      <c r="J368" s="389" t="s">
        <v>1281</v>
      </c>
      <c r="K368" s="389" t="s">
        <v>1282</v>
      </c>
      <c r="L368" s="429" t="s">
        <v>1283</v>
      </c>
      <c r="M368" s="298" t="s">
        <v>98</v>
      </c>
      <c r="N368" s="298">
        <v>12</v>
      </c>
      <c r="O368" s="298">
        <v>12</v>
      </c>
      <c r="P368" s="298">
        <v>9</v>
      </c>
      <c r="Q368" s="423" t="s">
        <v>224</v>
      </c>
      <c r="R368" s="517"/>
      <c r="S368" s="518"/>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320">
        <v>18480000</v>
      </c>
      <c r="AY368" s="320">
        <v>18480000</v>
      </c>
      <c r="AZ368" s="320">
        <v>18480000</v>
      </c>
      <c r="BA368" s="323"/>
      <c r="BB368" s="323"/>
      <c r="BC368" s="323"/>
      <c r="BD368" s="252"/>
      <c r="BE368" s="252"/>
      <c r="BF368" s="252"/>
      <c r="BG368" s="296">
        <f t="shared" si="386"/>
        <v>18480000</v>
      </c>
      <c r="BH368" s="173">
        <f t="shared" si="386"/>
        <v>18480000</v>
      </c>
      <c r="BI368" s="173">
        <f t="shared" si="386"/>
        <v>18480000</v>
      </c>
    </row>
    <row r="369" spans="1:67" ht="113.25" customHeight="1" x14ac:dyDescent="0.2">
      <c r="A369" s="438"/>
      <c r="B369" s="441"/>
      <c r="C369" s="373"/>
      <c r="D369" s="373"/>
      <c r="E369" s="354">
        <v>4301</v>
      </c>
      <c r="F369" s="434" t="s">
        <v>1518</v>
      </c>
      <c r="G369" s="389" t="s">
        <v>1277</v>
      </c>
      <c r="H369" s="389">
        <v>4301037</v>
      </c>
      <c r="I369" s="429" t="s">
        <v>1278</v>
      </c>
      <c r="J369" s="389" t="s">
        <v>1281</v>
      </c>
      <c r="K369" s="389" t="s">
        <v>1282</v>
      </c>
      <c r="L369" s="429" t="s">
        <v>1283</v>
      </c>
      <c r="M369" s="298" t="s">
        <v>98</v>
      </c>
      <c r="N369" s="298">
        <v>12</v>
      </c>
      <c r="O369" s="298">
        <v>12</v>
      </c>
      <c r="P369" s="298">
        <v>9</v>
      </c>
      <c r="Q369" s="423" t="s">
        <v>224</v>
      </c>
      <c r="R369" s="354" t="s">
        <v>1293</v>
      </c>
      <c r="S369" s="355" t="s">
        <v>1469</v>
      </c>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320">
        <v>359648</v>
      </c>
      <c r="AY369" s="320">
        <v>0</v>
      </c>
      <c r="AZ369" s="320">
        <v>0</v>
      </c>
      <c r="BA369" s="323">
        <f>30633333+60592102</f>
        <v>91225435</v>
      </c>
      <c r="BB369" s="323">
        <v>57090908</v>
      </c>
      <c r="BC369" s="323">
        <v>30633333</v>
      </c>
      <c r="BD369" s="252"/>
      <c r="BE369" s="252"/>
      <c r="BF369" s="252"/>
      <c r="BG369" s="296">
        <f t="shared" si="386"/>
        <v>91585083</v>
      </c>
      <c r="BH369" s="173">
        <f t="shared" si="386"/>
        <v>57090908</v>
      </c>
      <c r="BI369" s="173">
        <f t="shared" si="386"/>
        <v>30633333</v>
      </c>
    </row>
    <row r="370" spans="1:67" ht="109.5" customHeight="1" x14ac:dyDescent="0.2">
      <c r="A370" s="438"/>
      <c r="B370" s="441"/>
      <c r="C370" s="373"/>
      <c r="D370" s="373"/>
      <c r="E370" s="354">
        <v>4301</v>
      </c>
      <c r="F370" s="434" t="s">
        <v>1518</v>
      </c>
      <c r="G370" s="389" t="s">
        <v>1271</v>
      </c>
      <c r="H370" s="389">
        <v>4301007</v>
      </c>
      <c r="I370" s="321" t="s">
        <v>1272</v>
      </c>
      <c r="J370" s="389" t="s">
        <v>1273</v>
      </c>
      <c r="K370" s="389">
        <v>430100701</v>
      </c>
      <c r="L370" s="429" t="s">
        <v>1274</v>
      </c>
      <c r="M370" s="364" t="s">
        <v>98</v>
      </c>
      <c r="N370" s="364">
        <v>12</v>
      </c>
      <c r="O370" s="354">
        <v>12</v>
      </c>
      <c r="P370" s="354">
        <v>6</v>
      </c>
      <c r="Q370" s="524" t="s">
        <v>224</v>
      </c>
      <c r="R370" s="525" t="s">
        <v>1303</v>
      </c>
      <c r="S370" s="525" t="s">
        <v>1517</v>
      </c>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324"/>
      <c r="AY370" s="324"/>
      <c r="AZ370" s="324"/>
      <c r="BA370" s="323">
        <v>990610430</v>
      </c>
      <c r="BB370" s="323">
        <v>542245644.63</v>
      </c>
      <c r="BC370" s="323">
        <v>455578982.63</v>
      </c>
      <c r="BD370" s="252"/>
      <c r="BE370" s="252"/>
      <c r="BF370" s="252"/>
      <c r="BG370" s="296">
        <f t="shared" si="386"/>
        <v>990610430</v>
      </c>
      <c r="BH370" s="173">
        <f t="shared" si="386"/>
        <v>542245644.63</v>
      </c>
      <c r="BI370" s="173">
        <f t="shared" si="386"/>
        <v>455578982.63</v>
      </c>
    </row>
    <row r="371" spans="1:67" ht="114.75" customHeight="1" x14ac:dyDescent="0.2">
      <c r="A371" s="438"/>
      <c r="B371" s="441"/>
      <c r="C371" s="373"/>
      <c r="D371" s="373"/>
      <c r="E371" s="354">
        <v>4301</v>
      </c>
      <c r="F371" s="434" t="s">
        <v>1518</v>
      </c>
      <c r="G371" s="526" t="s">
        <v>1277</v>
      </c>
      <c r="H371" s="526">
        <v>4301037</v>
      </c>
      <c r="I371" s="527" t="s">
        <v>1278</v>
      </c>
      <c r="J371" s="389" t="s">
        <v>1279</v>
      </c>
      <c r="K371" s="389">
        <v>430103701</v>
      </c>
      <c r="L371" s="429" t="s">
        <v>1280</v>
      </c>
      <c r="M371" s="298" t="s">
        <v>98</v>
      </c>
      <c r="N371" s="298">
        <v>12</v>
      </c>
      <c r="O371" s="298">
        <v>12</v>
      </c>
      <c r="P371" s="298">
        <v>0</v>
      </c>
      <c r="Q371" s="524"/>
      <c r="R371" s="525"/>
      <c r="S371" s="525"/>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56">
        <v>77772574</v>
      </c>
      <c r="AY371" s="56">
        <v>0</v>
      </c>
      <c r="AZ371" s="56">
        <v>0</v>
      </c>
      <c r="BA371" s="320">
        <v>253758086</v>
      </c>
      <c r="BB371" s="320">
        <v>0</v>
      </c>
      <c r="BC371" s="320">
        <v>0</v>
      </c>
      <c r="BD371" s="252"/>
      <c r="BE371" s="252"/>
      <c r="BF371" s="252"/>
      <c r="BG371" s="296">
        <f t="shared" si="386"/>
        <v>331530660</v>
      </c>
      <c r="BH371" s="173">
        <f t="shared" si="386"/>
        <v>0</v>
      </c>
      <c r="BI371" s="173">
        <f t="shared" si="386"/>
        <v>0</v>
      </c>
    </row>
    <row r="372" spans="1:67" ht="124.5" customHeight="1" x14ac:dyDescent="0.2">
      <c r="A372" s="438"/>
      <c r="B372" s="441"/>
      <c r="C372" s="373"/>
      <c r="D372" s="373"/>
      <c r="E372" s="354">
        <v>4301</v>
      </c>
      <c r="F372" s="434" t="s">
        <v>1518</v>
      </c>
      <c r="G372" s="526"/>
      <c r="H372" s="526">
        <v>4301037</v>
      </c>
      <c r="I372" s="527" t="s">
        <v>1278</v>
      </c>
      <c r="J372" s="389" t="s">
        <v>1281</v>
      </c>
      <c r="K372" s="389" t="s">
        <v>1282</v>
      </c>
      <c r="L372" s="429" t="s">
        <v>1283</v>
      </c>
      <c r="M372" s="298" t="s">
        <v>98</v>
      </c>
      <c r="N372" s="298">
        <v>12</v>
      </c>
      <c r="O372" s="298">
        <v>12</v>
      </c>
      <c r="P372" s="298">
        <v>9</v>
      </c>
      <c r="Q372" s="524"/>
      <c r="R372" s="525"/>
      <c r="S372" s="525"/>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56">
        <v>83167718.420000002</v>
      </c>
      <c r="AY372" s="56">
        <v>7527628</v>
      </c>
      <c r="AZ372" s="56">
        <v>481000</v>
      </c>
      <c r="BA372" s="435">
        <v>862904793.36000001</v>
      </c>
      <c r="BB372" s="435">
        <v>261619286</v>
      </c>
      <c r="BC372" s="435">
        <v>11556667</v>
      </c>
      <c r="BD372" s="252"/>
      <c r="BE372" s="252"/>
      <c r="BF372" s="252"/>
      <c r="BG372" s="296">
        <f t="shared" si="386"/>
        <v>946072511.77999997</v>
      </c>
      <c r="BH372" s="173">
        <f t="shared" si="386"/>
        <v>269146914</v>
      </c>
      <c r="BI372" s="173">
        <f t="shared" si="386"/>
        <v>12037667</v>
      </c>
    </row>
    <row r="373" spans="1:67" ht="122.25" customHeight="1" x14ac:dyDescent="0.2">
      <c r="A373" s="438"/>
      <c r="B373" s="441"/>
      <c r="C373" s="373"/>
      <c r="D373" s="373"/>
      <c r="E373" s="354">
        <v>4301</v>
      </c>
      <c r="F373" s="429" t="s">
        <v>1518</v>
      </c>
      <c r="G373" s="389" t="s">
        <v>1288</v>
      </c>
      <c r="H373" s="389" t="s">
        <v>92</v>
      </c>
      <c r="I373" s="429" t="s">
        <v>1289</v>
      </c>
      <c r="J373" s="389" t="s">
        <v>1290</v>
      </c>
      <c r="K373" s="389" t="s">
        <v>92</v>
      </c>
      <c r="L373" s="429" t="s">
        <v>1520</v>
      </c>
      <c r="M373" s="364" t="s">
        <v>98</v>
      </c>
      <c r="N373" s="364">
        <v>1</v>
      </c>
      <c r="O373" s="354">
        <v>1</v>
      </c>
      <c r="P373" s="354">
        <v>0.75</v>
      </c>
      <c r="Q373" s="524"/>
      <c r="R373" s="525"/>
      <c r="S373" s="525"/>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181"/>
      <c r="AY373" s="181"/>
      <c r="AZ373" s="181"/>
      <c r="BA373" s="320">
        <v>55500000</v>
      </c>
      <c r="BB373" s="320">
        <v>7000000</v>
      </c>
      <c r="BC373" s="320">
        <v>0</v>
      </c>
      <c r="BD373" s="252"/>
      <c r="BE373" s="252"/>
      <c r="BF373" s="252"/>
      <c r="BG373" s="296">
        <f t="shared" si="386"/>
        <v>55500000</v>
      </c>
      <c r="BH373" s="173">
        <f t="shared" si="386"/>
        <v>7000000</v>
      </c>
      <c r="BI373" s="173">
        <f t="shared" si="386"/>
        <v>0</v>
      </c>
    </row>
    <row r="374" spans="1:67" ht="25.5" customHeight="1" x14ac:dyDescent="0.2">
      <c r="A374" s="438"/>
      <c r="B374" s="441"/>
      <c r="C374" s="195">
        <v>40</v>
      </c>
      <c r="D374" s="195">
        <v>4302</v>
      </c>
      <c r="E374" s="357" t="s">
        <v>225</v>
      </c>
      <c r="F374" s="166"/>
      <c r="G374" s="166"/>
      <c r="H374" s="168"/>
      <c r="I374" s="166"/>
      <c r="J374" s="167"/>
      <c r="K374" s="167"/>
      <c r="L374" s="166"/>
      <c r="M374" s="169"/>
      <c r="N374" s="169"/>
      <c r="O374" s="167"/>
      <c r="P374" s="167"/>
      <c r="Q374" s="424"/>
      <c r="R374" s="167"/>
      <c r="S374" s="166"/>
      <c r="T374" s="171">
        <f>+T375+T377</f>
        <v>0</v>
      </c>
      <c r="U374" s="171"/>
      <c r="V374" s="171"/>
      <c r="W374" s="171">
        <f t="shared" ref="W374:AU374" si="387">+W375+W377</f>
        <v>0</v>
      </c>
      <c r="X374" s="171"/>
      <c r="Y374" s="171"/>
      <c r="Z374" s="171">
        <f t="shared" si="387"/>
        <v>0</v>
      </c>
      <c r="AA374" s="171"/>
      <c r="AB374" s="171"/>
      <c r="AC374" s="171">
        <f t="shared" si="387"/>
        <v>0</v>
      </c>
      <c r="AD374" s="171"/>
      <c r="AE374" s="171"/>
      <c r="AF374" s="171">
        <f t="shared" si="387"/>
        <v>0</v>
      </c>
      <c r="AG374" s="171"/>
      <c r="AH374" s="171"/>
      <c r="AI374" s="171">
        <f t="shared" si="387"/>
        <v>0</v>
      </c>
      <c r="AJ374" s="171"/>
      <c r="AK374" s="171"/>
      <c r="AL374" s="171">
        <f t="shared" si="387"/>
        <v>0</v>
      </c>
      <c r="AM374" s="171"/>
      <c r="AN374" s="171"/>
      <c r="AO374" s="171">
        <f t="shared" si="387"/>
        <v>0</v>
      </c>
      <c r="AP374" s="171"/>
      <c r="AQ374" s="171"/>
      <c r="AR374" s="171">
        <f t="shared" si="387"/>
        <v>0</v>
      </c>
      <c r="AS374" s="171"/>
      <c r="AT374" s="171"/>
      <c r="AU374" s="171">
        <f t="shared" si="387"/>
        <v>0</v>
      </c>
      <c r="AV374" s="171"/>
      <c r="AW374" s="171"/>
      <c r="AX374" s="171">
        <f>+AX375+AX377+AX376</f>
        <v>573825727</v>
      </c>
      <c r="AY374" s="171">
        <f t="shared" ref="AY374:AZ374" si="388">+AY375+AY377+AY376</f>
        <v>180917366</v>
      </c>
      <c r="AZ374" s="171">
        <f t="shared" si="388"/>
        <v>163667366</v>
      </c>
      <c r="BA374" s="171">
        <f t="shared" ref="BA374:BI374" si="389">+BA375+BA377+BA376</f>
        <v>691162875</v>
      </c>
      <c r="BB374" s="171">
        <f t="shared" si="389"/>
        <v>195515591</v>
      </c>
      <c r="BC374" s="171">
        <f t="shared" si="389"/>
        <v>100100000</v>
      </c>
      <c r="BD374" s="171">
        <f t="shared" si="389"/>
        <v>0</v>
      </c>
      <c r="BE374" s="171"/>
      <c r="BF374" s="171"/>
      <c r="BG374" s="171">
        <f t="shared" si="389"/>
        <v>1264988602</v>
      </c>
      <c r="BH374" s="171">
        <f t="shared" si="389"/>
        <v>376432957</v>
      </c>
      <c r="BI374" s="171">
        <f t="shared" si="389"/>
        <v>263767366</v>
      </c>
    </row>
    <row r="375" spans="1:67" ht="91.5" customHeight="1" x14ac:dyDescent="0.2">
      <c r="A375" s="438"/>
      <c r="B375" s="441"/>
      <c r="C375" s="373"/>
      <c r="D375" s="373"/>
      <c r="E375" s="5">
        <v>4302</v>
      </c>
      <c r="F375" s="355" t="s">
        <v>1404</v>
      </c>
      <c r="G375" s="301" t="s">
        <v>1295</v>
      </c>
      <c r="H375" s="311">
        <v>4302075</v>
      </c>
      <c r="I375" s="355" t="s">
        <v>1296</v>
      </c>
      <c r="J375" s="301" t="s">
        <v>1297</v>
      </c>
      <c r="K375" s="298">
        <v>430207500</v>
      </c>
      <c r="L375" s="304" t="s">
        <v>1298</v>
      </c>
      <c r="M375" s="364" t="s">
        <v>98</v>
      </c>
      <c r="N375" s="364">
        <v>25</v>
      </c>
      <c r="O375" s="354">
        <v>25</v>
      </c>
      <c r="P375" s="354">
        <v>19</v>
      </c>
      <c r="Q375" s="423" t="s">
        <v>224</v>
      </c>
      <c r="R375" s="354" t="s">
        <v>1299</v>
      </c>
      <c r="S375" s="407" t="s">
        <v>1300</v>
      </c>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6">
        <v>110883174</v>
      </c>
      <c r="AY375" s="436">
        <v>110883174</v>
      </c>
      <c r="AZ375" s="436">
        <v>105883174</v>
      </c>
      <c r="BA375" s="436">
        <v>102415591</v>
      </c>
      <c r="BB375" s="436">
        <v>102415591</v>
      </c>
      <c r="BC375" s="436">
        <v>91050000</v>
      </c>
      <c r="BD375" s="344"/>
      <c r="BE375" s="43"/>
      <c r="BF375" s="43"/>
      <c r="BG375" s="173">
        <f>+T375+W375+Z375+AC375+AF375+AI375+AL375+AO375+AR375+AU375+AX375+BA375+BD375</f>
        <v>213298765</v>
      </c>
      <c r="BH375" s="173">
        <f t="shared" ref="BH375:BI377" si="390">+U375+X375+AA375+AD375+AG375+AJ375+AM375+AP375+AS375+AV375+AY375+BB375+BE375</f>
        <v>213298765</v>
      </c>
      <c r="BI375" s="173">
        <f t="shared" si="390"/>
        <v>196933174</v>
      </c>
    </row>
    <row r="376" spans="1:67" ht="91.5" customHeight="1" x14ac:dyDescent="0.2">
      <c r="A376" s="438"/>
      <c r="B376" s="441"/>
      <c r="C376" s="373"/>
      <c r="D376" s="373"/>
      <c r="E376" s="5">
        <v>4302</v>
      </c>
      <c r="F376" s="421" t="s">
        <v>1404</v>
      </c>
      <c r="G376" s="301" t="s">
        <v>1295</v>
      </c>
      <c r="H376" s="311">
        <v>4302075</v>
      </c>
      <c r="I376" s="355" t="s">
        <v>1296</v>
      </c>
      <c r="J376" s="301" t="s">
        <v>1297</v>
      </c>
      <c r="K376" s="298">
        <v>430207500</v>
      </c>
      <c r="L376" s="304" t="s">
        <v>1298</v>
      </c>
      <c r="M376" s="364" t="s">
        <v>98</v>
      </c>
      <c r="N376" s="364">
        <v>25</v>
      </c>
      <c r="O376" s="354">
        <v>25</v>
      </c>
      <c r="P376" s="354">
        <v>19</v>
      </c>
      <c r="Q376" s="423" t="s">
        <v>224</v>
      </c>
      <c r="R376" s="354" t="s">
        <v>1373</v>
      </c>
      <c r="S376" s="408" t="s">
        <v>1519</v>
      </c>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173">
        <v>432942553</v>
      </c>
      <c r="AY376" s="173">
        <v>57784192</v>
      </c>
      <c r="AZ376" s="173">
        <v>57784192</v>
      </c>
      <c r="BA376" s="436">
        <f>148924918+58059026+381763340</f>
        <v>588747284</v>
      </c>
      <c r="BB376" s="436">
        <v>93100000</v>
      </c>
      <c r="BC376" s="436">
        <v>9050000</v>
      </c>
      <c r="BD376" s="344"/>
      <c r="BE376" s="43"/>
      <c r="BF376" s="43"/>
      <c r="BG376" s="173">
        <f>+T376+W376+Z376+AC376+AF376+AI376+AL376+AO376+AR376+AU376+AX376+BA376+BD376</f>
        <v>1021689837</v>
      </c>
      <c r="BH376" s="173">
        <f t="shared" si="390"/>
        <v>150884192</v>
      </c>
      <c r="BI376" s="173">
        <f t="shared" si="390"/>
        <v>66834192</v>
      </c>
    </row>
    <row r="377" spans="1:67" ht="97.5" customHeight="1" x14ac:dyDescent="0.2">
      <c r="A377" s="439"/>
      <c r="B377" s="442"/>
      <c r="C377" s="373"/>
      <c r="D377" s="373"/>
      <c r="E377" s="5">
        <v>4302</v>
      </c>
      <c r="F377" s="421" t="s">
        <v>1404</v>
      </c>
      <c r="G377" s="301" t="s">
        <v>1295</v>
      </c>
      <c r="H377" s="311">
        <v>4302075</v>
      </c>
      <c r="I377" s="355" t="s">
        <v>1296</v>
      </c>
      <c r="J377" s="301" t="s">
        <v>1301</v>
      </c>
      <c r="K377" s="305" t="s">
        <v>92</v>
      </c>
      <c r="L377" s="304" t="s">
        <v>1302</v>
      </c>
      <c r="M377" s="364" t="s">
        <v>98</v>
      </c>
      <c r="N377" s="364">
        <v>1</v>
      </c>
      <c r="O377" s="354">
        <v>1</v>
      </c>
      <c r="P377" s="354">
        <v>0.6</v>
      </c>
      <c r="Q377" s="423" t="s">
        <v>224</v>
      </c>
      <c r="R377" s="354" t="s">
        <v>1405</v>
      </c>
      <c r="S377" s="355" t="s">
        <v>1304</v>
      </c>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173">
        <v>30000000</v>
      </c>
      <c r="AY377" s="173">
        <v>12250000</v>
      </c>
      <c r="AZ377" s="173">
        <v>0</v>
      </c>
      <c r="BA377" s="409"/>
      <c r="BB377" s="409"/>
      <c r="BC377" s="409"/>
      <c r="BD377" s="43"/>
      <c r="BE377" s="43"/>
      <c r="BF377" s="43"/>
      <c r="BG377" s="173">
        <f>+T377+W377+Z377+AC377+AF377+AI377+AL377+AO377+AR377+AU377+AX377+BA377+BD377</f>
        <v>30000000</v>
      </c>
      <c r="BH377" s="173">
        <f t="shared" si="390"/>
        <v>12250000</v>
      </c>
      <c r="BI377" s="173">
        <f t="shared" si="390"/>
        <v>0</v>
      </c>
    </row>
    <row r="378" spans="1:67" s="242" customFormat="1" ht="15.75" x14ac:dyDescent="0.2">
      <c r="A378" s="443"/>
      <c r="B378" s="444"/>
      <c r="C378" s="444"/>
      <c r="D378" s="445"/>
      <c r="E378" s="446"/>
      <c r="F378" s="446"/>
      <c r="G378" s="447"/>
      <c r="H378" s="447"/>
      <c r="I378" s="448"/>
      <c r="J378" s="449"/>
      <c r="K378" s="449"/>
      <c r="L378" s="448"/>
      <c r="M378" s="447"/>
      <c r="N378" s="447"/>
      <c r="O378" s="449"/>
      <c r="P378" s="449"/>
      <c r="Q378" s="447"/>
      <c r="R378" s="447"/>
      <c r="S378" s="448"/>
      <c r="T378" s="450"/>
      <c r="U378" s="450"/>
      <c r="V378" s="450"/>
      <c r="W378" s="450"/>
      <c r="X378" s="450"/>
      <c r="Y378" s="450"/>
      <c r="Z378" s="450"/>
      <c r="AA378" s="450"/>
      <c r="AB378" s="450"/>
      <c r="AC378" s="450"/>
      <c r="AD378" s="450"/>
      <c r="AE378" s="450"/>
      <c r="AF378" s="450"/>
      <c r="AG378" s="450"/>
      <c r="AH378" s="450"/>
      <c r="AI378" s="450"/>
      <c r="AJ378" s="450"/>
      <c r="AK378" s="450"/>
      <c r="AL378" s="450"/>
      <c r="AM378" s="450"/>
      <c r="AN378" s="450"/>
      <c r="AO378" s="450"/>
      <c r="AP378" s="450"/>
      <c r="AQ378" s="450"/>
      <c r="AR378" s="450"/>
      <c r="AS378" s="450"/>
      <c r="AT378" s="450"/>
      <c r="AU378" s="450"/>
      <c r="AV378" s="450"/>
      <c r="AW378" s="450"/>
      <c r="AX378" s="451"/>
      <c r="AY378" s="451"/>
      <c r="AZ378" s="451"/>
      <c r="BA378" s="450"/>
      <c r="BB378" s="450"/>
      <c r="BC378" s="450"/>
      <c r="BD378" s="450"/>
      <c r="BE378" s="450"/>
      <c r="BF378" s="450"/>
      <c r="BG378" s="451"/>
      <c r="BH378" s="451"/>
      <c r="BI378" s="451"/>
    </row>
    <row r="379" spans="1:67" s="179" customFormat="1" ht="24.75" customHeight="1" x14ac:dyDescent="0.2">
      <c r="A379" s="211" t="s">
        <v>1305</v>
      </c>
      <c r="B379" s="211"/>
      <c r="C379" s="211"/>
      <c r="D379" s="212"/>
      <c r="E379" s="212"/>
      <c r="F379" s="213"/>
      <c r="G379" s="214"/>
      <c r="H379" s="156"/>
      <c r="I379" s="213"/>
      <c r="J379" s="214"/>
      <c r="K379" s="214"/>
      <c r="L379" s="213"/>
      <c r="M379" s="156"/>
      <c r="N379" s="156"/>
      <c r="O379" s="214"/>
      <c r="P379" s="214"/>
      <c r="Q379" s="425"/>
      <c r="R379" s="214"/>
      <c r="S379" s="213"/>
      <c r="T379" s="188">
        <f>T380+T385+T393</f>
        <v>1117710104</v>
      </c>
      <c r="U379" s="188">
        <f t="shared" ref="U379:V379" si="391">U380+U385+U393</f>
        <v>659287999.99000001</v>
      </c>
      <c r="V379" s="188">
        <f t="shared" si="391"/>
        <v>556509000.00999999</v>
      </c>
      <c r="W379" s="188">
        <f t="shared" ref="W379:BD379" si="392">W380+W385+W393</f>
        <v>0</v>
      </c>
      <c r="X379" s="188"/>
      <c r="Y379" s="188"/>
      <c r="Z379" s="188">
        <f t="shared" si="392"/>
        <v>0</v>
      </c>
      <c r="AA379" s="188"/>
      <c r="AB379" s="188"/>
      <c r="AC379" s="188">
        <f t="shared" si="392"/>
        <v>0</v>
      </c>
      <c r="AD379" s="188"/>
      <c r="AE379" s="188"/>
      <c r="AF379" s="188">
        <f t="shared" si="392"/>
        <v>0</v>
      </c>
      <c r="AG379" s="188"/>
      <c r="AH379" s="188"/>
      <c r="AI379" s="188">
        <f t="shared" si="392"/>
        <v>0</v>
      </c>
      <c r="AJ379" s="188"/>
      <c r="AK379" s="188"/>
      <c r="AL379" s="188">
        <f t="shared" si="392"/>
        <v>0</v>
      </c>
      <c r="AM379" s="188"/>
      <c r="AN379" s="188"/>
      <c r="AO379" s="188">
        <f t="shared" si="392"/>
        <v>0</v>
      </c>
      <c r="AP379" s="188"/>
      <c r="AQ379" s="188"/>
      <c r="AR379" s="188">
        <f t="shared" si="392"/>
        <v>0</v>
      </c>
      <c r="AS379" s="188"/>
      <c r="AT379" s="188"/>
      <c r="AU379" s="188">
        <f t="shared" si="392"/>
        <v>0</v>
      </c>
      <c r="AV379" s="188"/>
      <c r="AW379" s="188"/>
      <c r="AX379" s="188">
        <f t="shared" si="392"/>
        <v>0</v>
      </c>
      <c r="AY379" s="188"/>
      <c r="AZ379" s="188"/>
      <c r="BA379" s="188">
        <f t="shared" si="392"/>
        <v>785808000</v>
      </c>
      <c r="BB379" s="188">
        <f t="shared" ref="BB379:BC379" si="393">BB380+BB385+BB393</f>
        <v>459377529</v>
      </c>
      <c r="BC379" s="188">
        <f t="shared" si="393"/>
        <v>304003826.02999997</v>
      </c>
      <c r="BD379" s="188">
        <f t="shared" si="392"/>
        <v>0</v>
      </c>
      <c r="BE379" s="188"/>
      <c r="BF379" s="188"/>
      <c r="BG379" s="188">
        <f>BG380+BG385+BG393</f>
        <v>1903518104</v>
      </c>
      <c r="BH379" s="188">
        <f t="shared" ref="BH379:BI379" si="394">BH380+BH385+BH393</f>
        <v>1118665528.99</v>
      </c>
      <c r="BI379" s="188">
        <f t="shared" si="394"/>
        <v>860512826.03999996</v>
      </c>
      <c r="BJ379" s="487"/>
      <c r="BK379" s="487"/>
      <c r="BL379" s="487"/>
      <c r="BM379" s="487"/>
      <c r="BN379" s="487"/>
      <c r="BO379" s="487"/>
    </row>
    <row r="380" spans="1:67" s="179" customFormat="1" ht="15.75" customHeight="1" x14ac:dyDescent="0.2">
      <c r="A380" s="469"/>
      <c r="B380" s="259">
        <v>1</v>
      </c>
      <c r="C380" s="159" t="s">
        <v>1</v>
      </c>
      <c r="D380" s="159"/>
      <c r="E380" s="159"/>
      <c r="F380" s="159"/>
      <c r="G380" s="160"/>
      <c r="H380" s="410"/>
      <c r="I380" s="161"/>
      <c r="J380" s="162"/>
      <c r="K380" s="162"/>
      <c r="L380" s="161"/>
      <c r="M380" s="411"/>
      <c r="N380" s="411"/>
      <c r="O380" s="162"/>
      <c r="P380" s="162"/>
      <c r="Q380" s="161"/>
      <c r="R380" s="162"/>
      <c r="S380" s="161"/>
      <c r="T380" s="253">
        <f>T382+T384</f>
        <v>745140660</v>
      </c>
      <c r="U380" s="253">
        <f t="shared" ref="U380:V380" si="395">U382+U384</f>
        <v>492858666.65999997</v>
      </c>
      <c r="V380" s="253">
        <f t="shared" si="395"/>
        <v>404339333.33999997</v>
      </c>
      <c r="W380" s="253">
        <f t="shared" ref="W380:BD380" si="396">W382+W384</f>
        <v>0</v>
      </c>
      <c r="X380" s="253"/>
      <c r="Y380" s="253"/>
      <c r="Z380" s="253">
        <f t="shared" si="396"/>
        <v>0</v>
      </c>
      <c r="AA380" s="253"/>
      <c r="AB380" s="253"/>
      <c r="AC380" s="253">
        <f t="shared" si="396"/>
        <v>0</v>
      </c>
      <c r="AD380" s="253"/>
      <c r="AE380" s="253"/>
      <c r="AF380" s="253">
        <f t="shared" si="396"/>
        <v>0</v>
      </c>
      <c r="AG380" s="253"/>
      <c r="AH380" s="253"/>
      <c r="AI380" s="253">
        <f t="shared" si="396"/>
        <v>0</v>
      </c>
      <c r="AJ380" s="253"/>
      <c r="AK380" s="253"/>
      <c r="AL380" s="253">
        <f t="shared" si="396"/>
        <v>0</v>
      </c>
      <c r="AM380" s="253"/>
      <c r="AN380" s="253"/>
      <c r="AO380" s="253">
        <f t="shared" si="396"/>
        <v>0</v>
      </c>
      <c r="AP380" s="253"/>
      <c r="AQ380" s="253"/>
      <c r="AR380" s="253">
        <f t="shared" si="396"/>
        <v>0</v>
      </c>
      <c r="AS380" s="253"/>
      <c r="AT380" s="253"/>
      <c r="AU380" s="253">
        <f t="shared" si="396"/>
        <v>0</v>
      </c>
      <c r="AV380" s="253"/>
      <c r="AW380" s="253"/>
      <c r="AX380" s="253">
        <f t="shared" si="396"/>
        <v>0</v>
      </c>
      <c r="AY380" s="253"/>
      <c r="AZ380" s="253"/>
      <c r="BA380" s="253">
        <f t="shared" si="396"/>
        <v>189176000</v>
      </c>
      <c r="BB380" s="253">
        <f t="shared" ref="BB380:BC380" si="397">BB382+BB384</f>
        <v>54951375</v>
      </c>
      <c r="BC380" s="253">
        <f t="shared" si="397"/>
        <v>42722700</v>
      </c>
      <c r="BD380" s="253">
        <f t="shared" si="396"/>
        <v>0</v>
      </c>
      <c r="BE380" s="253"/>
      <c r="BF380" s="253"/>
      <c r="BG380" s="253">
        <f>BG382+BG384</f>
        <v>934316660</v>
      </c>
      <c r="BH380" s="253">
        <f t="shared" ref="BH380:BI380" si="398">BH382+BH384</f>
        <v>547810041.65999997</v>
      </c>
      <c r="BI380" s="253">
        <f t="shared" si="398"/>
        <v>447062033.33999991</v>
      </c>
    </row>
    <row r="381" spans="1:67" s="179" customFormat="1" ht="15.75" x14ac:dyDescent="0.2">
      <c r="A381" s="453"/>
      <c r="B381" s="519"/>
      <c r="C381" s="195">
        <v>39</v>
      </c>
      <c r="D381" s="195">
        <v>4301</v>
      </c>
      <c r="E381" s="357" t="s">
        <v>218</v>
      </c>
      <c r="F381" s="166"/>
      <c r="G381" s="167"/>
      <c r="H381" s="220"/>
      <c r="I381" s="205"/>
      <c r="J381" s="254"/>
      <c r="K381" s="254"/>
      <c r="L381" s="205"/>
      <c r="M381" s="255"/>
      <c r="N381" s="256"/>
      <c r="O381" s="167"/>
      <c r="P381" s="167"/>
      <c r="Q381" s="205"/>
      <c r="R381" s="254"/>
      <c r="S381" s="205"/>
      <c r="T381" s="257">
        <f t="shared" ref="T381:BD381" si="399">T382</f>
        <v>372570330</v>
      </c>
      <c r="U381" s="257">
        <f t="shared" si="399"/>
        <v>186429333.33000001</v>
      </c>
      <c r="V381" s="257">
        <f t="shared" si="399"/>
        <v>152169666.66999999</v>
      </c>
      <c r="W381" s="257">
        <f t="shared" si="399"/>
        <v>0</v>
      </c>
      <c r="X381" s="257"/>
      <c r="Y381" s="257"/>
      <c r="Z381" s="257">
        <f t="shared" si="399"/>
        <v>0</v>
      </c>
      <c r="AA381" s="257"/>
      <c r="AB381" s="257"/>
      <c r="AC381" s="257">
        <f t="shared" si="399"/>
        <v>0</v>
      </c>
      <c r="AD381" s="257"/>
      <c r="AE381" s="257"/>
      <c r="AF381" s="257">
        <f t="shared" si="399"/>
        <v>0</v>
      </c>
      <c r="AG381" s="257"/>
      <c r="AH381" s="257"/>
      <c r="AI381" s="257">
        <f t="shared" si="399"/>
        <v>0</v>
      </c>
      <c r="AJ381" s="257"/>
      <c r="AK381" s="257"/>
      <c r="AL381" s="257">
        <f t="shared" si="399"/>
        <v>0</v>
      </c>
      <c r="AM381" s="257"/>
      <c r="AN381" s="257"/>
      <c r="AO381" s="257">
        <f t="shared" si="399"/>
        <v>0</v>
      </c>
      <c r="AP381" s="257"/>
      <c r="AQ381" s="257"/>
      <c r="AR381" s="257">
        <f t="shared" si="399"/>
        <v>0</v>
      </c>
      <c r="AS381" s="257"/>
      <c r="AT381" s="257"/>
      <c r="AU381" s="257">
        <f t="shared" si="399"/>
        <v>0</v>
      </c>
      <c r="AV381" s="257"/>
      <c r="AW381" s="257"/>
      <c r="AX381" s="257">
        <f t="shared" si="399"/>
        <v>0</v>
      </c>
      <c r="AY381" s="257"/>
      <c r="AZ381" s="257"/>
      <c r="BA381" s="257">
        <f t="shared" si="399"/>
        <v>0</v>
      </c>
      <c r="BB381" s="257">
        <f t="shared" si="399"/>
        <v>0</v>
      </c>
      <c r="BC381" s="257">
        <f t="shared" si="399"/>
        <v>0</v>
      </c>
      <c r="BD381" s="257">
        <f t="shared" si="399"/>
        <v>0</v>
      </c>
      <c r="BE381" s="257"/>
      <c r="BF381" s="257"/>
      <c r="BG381" s="257">
        <f>BG382</f>
        <v>372570330</v>
      </c>
      <c r="BH381" s="257">
        <f t="shared" ref="BH381:BI381" si="400">BH382</f>
        <v>186429333.33000001</v>
      </c>
      <c r="BI381" s="257">
        <f t="shared" si="400"/>
        <v>152169666.66999999</v>
      </c>
    </row>
    <row r="382" spans="1:67" s="179" customFormat="1" ht="197.25" customHeight="1" x14ac:dyDescent="0.2">
      <c r="A382" s="453"/>
      <c r="B382" s="520"/>
      <c r="C382" s="373"/>
      <c r="D382" s="374"/>
      <c r="E382" s="364">
        <v>4301</v>
      </c>
      <c r="F382" s="193" t="s">
        <v>219</v>
      </c>
      <c r="G382" s="418" t="s">
        <v>220</v>
      </c>
      <c r="H382" s="354" t="s">
        <v>92</v>
      </c>
      <c r="I382" s="47" t="s">
        <v>221</v>
      </c>
      <c r="J382" s="199" t="s">
        <v>222</v>
      </c>
      <c r="K382" s="199" t="s">
        <v>92</v>
      </c>
      <c r="L382" s="47" t="s">
        <v>1501</v>
      </c>
      <c r="M382" s="354" t="s">
        <v>188</v>
      </c>
      <c r="N382" s="354">
        <v>12</v>
      </c>
      <c r="O382" s="199">
        <v>3</v>
      </c>
      <c r="P382" s="199">
        <v>0</v>
      </c>
      <c r="Q382" s="421" t="s">
        <v>224</v>
      </c>
      <c r="R382" s="354" t="s">
        <v>1306</v>
      </c>
      <c r="S382" s="412" t="s">
        <v>1470</v>
      </c>
      <c r="T382" s="198">
        <f>413967000-41396670</f>
        <v>372570330</v>
      </c>
      <c r="U382" s="198">
        <v>186429333.33000001</v>
      </c>
      <c r="V382" s="198">
        <v>152169666.66999999</v>
      </c>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61"/>
      <c r="AY382" s="61"/>
      <c r="AZ382" s="61"/>
      <c r="BA382" s="413"/>
      <c r="BB382" s="413"/>
      <c r="BC382" s="413"/>
      <c r="BD382" s="43"/>
      <c r="BE382" s="43"/>
      <c r="BF382" s="43"/>
      <c r="BG382" s="173">
        <f>+T382+W382+Z382+AC382+AF382+AI382+AL382+AO382+AR382+AU382+AX382+BA382+BD382</f>
        <v>372570330</v>
      </c>
      <c r="BH382" s="173">
        <f t="shared" ref="BH382:BI382" si="401">+U382+X382+AA382+AD382+AG382+AJ382+AM382+AP382+AS382+AV382+AY382+BB382+BE382</f>
        <v>186429333.33000001</v>
      </c>
      <c r="BI382" s="173">
        <f t="shared" si="401"/>
        <v>152169666.66999999</v>
      </c>
    </row>
    <row r="383" spans="1:67" s="179" customFormat="1" ht="15.75" customHeight="1" x14ac:dyDescent="0.2">
      <c r="A383" s="453"/>
      <c r="B383" s="474"/>
      <c r="C383" s="195">
        <v>15</v>
      </c>
      <c r="D383" s="195">
        <v>2201</v>
      </c>
      <c r="E383" s="357" t="s">
        <v>200</v>
      </c>
      <c r="F383" s="357"/>
      <c r="G383" s="170"/>
      <c r="H383" s="220"/>
      <c r="I383" s="166"/>
      <c r="J383" s="167"/>
      <c r="K383" s="167"/>
      <c r="L383" s="166"/>
      <c r="M383" s="256"/>
      <c r="N383" s="256"/>
      <c r="O383" s="167"/>
      <c r="P383" s="167"/>
      <c r="Q383" s="166"/>
      <c r="R383" s="167"/>
      <c r="S383" s="166"/>
      <c r="T383" s="257">
        <f t="shared" ref="T383:BD383" si="402">T384</f>
        <v>372570330</v>
      </c>
      <c r="U383" s="257">
        <f t="shared" si="402"/>
        <v>306429333.32999998</v>
      </c>
      <c r="V383" s="257">
        <f t="shared" si="402"/>
        <v>252169666.66999999</v>
      </c>
      <c r="W383" s="257">
        <f t="shared" si="402"/>
        <v>0</v>
      </c>
      <c r="X383" s="257"/>
      <c r="Y383" s="257"/>
      <c r="Z383" s="257">
        <f t="shared" si="402"/>
        <v>0</v>
      </c>
      <c r="AA383" s="257"/>
      <c r="AB383" s="257"/>
      <c r="AC383" s="257">
        <f t="shared" si="402"/>
        <v>0</v>
      </c>
      <c r="AD383" s="257"/>
      <c r="AE383" s="257"/>
      <c r="AF383" s="257">
        <f t="shared" si="402"/>
        <v>0</v>
      </c>
      <c r="AG383" s="257"/>
      <c r="AH383" s="257"/>
      <c r="AI383" s="257">
        <f t="shared" si="402"/>
        <v>0</v>
      </c>
      <c r="AJ383" s="257"/>
      <c r="AK383" s="257"/>
      <c r="AL383" s="257">
        <f t="shared" si="402"/>
        <v>0</v>
      </c>
      <c r="AM383" s="257"/>
      <c r="AN383" s="257"/>
      <c r="AO383" s="257">
        <f t="shared" si="402"/>
        <v>0</v>
      </c>
      <c r="AP383" s="257"/>
      <c r="AQ383" s="257"/>
      <c r="AR383" s="257">
        <f t="shared" si="402"/>
        <v>0</v>
      </c>
      <c r="AS383" s="257"/>
      <c r="AT383" s="257"/>
      <c r="AU383" s="257">
        <f t="shared" si="402"/>
        <v>0</v>
      </c>
      <c r="AV383" s="257"/>
      <c r="AW383" s="257"/>
      <c r="AX383" s="257">
        <f t="shared" si="402"/>
        <v>0</v>
      </c>
      <c r="AY383" s="257"/>
      <c r="AZ383" s="257"/>
      <c r="BA383" s="257">
        <f t="shared" si="402"/>
        <v>189176000</v>
      </c>
      <c r="BB383" s="257">
        <f t="shared" si="402"/>
        <v>54951375</v>
      </c>
      <c r="BC383" s="257">
        <f t="shared" si="402"/>
        <v>42722700</v>
      </c>
      <c r="BD383" s="257">
        <f t="shared" si="402"/>
        <v>0</v>
      </c>
      <c r="BE383" s="257"/>
      <c r="BF383" s="257"/>
      <c r="BG383" s="257">
        <f>BG384</f>
        <v>561746330</v>
      </c>
      <c r="BH383" s="257">
        <f t="shared" ref="BH383:BI383" si="403">BH384</f>
        <v>361380708.32999998</v>
      </c>
      <c r="BI383" s="257">
        <f t="shared" si="403"/>
        <v>294892366.66999996</v>
      </c>
    </row>
    <row r="384" spans="1:67" s="179" customFormat="1" ht="99.75" customHeight="1" x14ac:dyDescent="0.2">
      <c r="A384" s="453"/>
      <c r="B384" s="442"/>
      <c r="C384" s="373"/>
      <c r="D384" s="374"/>
      <c r="E384" s="364">
        <v>2201</v>
      </c>
      <c r="F384" s="356" t="s">
        <v>202</v>
      </c>
      <c r="G384" s="336" t="s">
        <v>203</v>
      </c>
      <c r="H384" s="199" t="s">
        <v>92</v>
      </c>
      <c r="I384" s="355" t="s">
        <v>204</v>
      </c>
      <c r="J384" s="354" t="s">
        <v>205</v>
      </c>
      <c r="K384" s="354" t="s">
        <v>92</v>
      </c>
      <c r="L384" s="355" t="s">
        <v>206</v>
      </c>
      <c r="M384" s="354" t="s">
        <v>188</v>
      </c>
      <c r="N384" s="354">
        <v>54</v>
      </c>
      <c r="O384" s="354">
        <v>9</v>
      </c>
      <c r="P384" s="354">
        <v>1</v>
      </c>
      <c r="Q384" s="427" t="s">
        <v>207</v>
      </c>
      <c r="R384" s="354" t="s">
        <v>1306</v>
      </c>
      <c r="S384" s="412" t="s">
        <v>1470</v>
      </c>
      <c r="T384" s="198">
        <f>413967000-41396670</f>
        <v>372570330</v>
      </c>
      <c r="U384" s="198">
        <v>306429333.32999998</v>
      </c>
      <c r="V384" s="198">
        <v>252169666.66999999</v>
      </c>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61"/>
      <c r="AY384" s="61"/>
      <c r="AZ384" s="61"/>
      <c r="BA384" s="43">
        <f>218280000-29104000</f>
        <v>189176000</v>
      </c>
      <c r="BB384" s="43">
        <v>54951375</v>
      </c>
      <c r="BC384" s="43">
        <v>42722700</v>
      </c>
      <c r="BD384" s="46"/>
      <c r="BE384" s="46"/>
      <c r="BF384" s="46"/>
      <c r="BG384" s="173">
        <f>+T384+W384+Z384+AC384+AF384+AI384+AL384+AO384+AR384+AU384+AX384+BA384+BD384</f>
        <v>561746330</v>
      </c>
      <c r="BH384" s="173">
        <f t="shared" ref="BH384:BI384" si="404">+U384+X384+AA384+AD384+AG384+AJ384+AM384+AP384+AS384+AV384+AY384+BB384+BE384</f>
        <v>361380708.32999998</v>
      </c>
      <c r="BI384" s="173">
        <f t="shared" si="404"/>
        <v>294892366.66999996</v>
      </c>
    </row>
    <row r="385" spans="1:67" s="179" customFormat="1" ht="15.75" customHeight="1" x14ac:dyDescent="0.2">
      <c r="A385" s="453"/>
      <c r="B385" s="259">
        <v>3</v>
      </c>
      <c r="C385" s="159" t="s">
        <v>3</v>
      </c>
      <c r="D385" s="159"/>
      <c r="E385" s="159"/>
      <c r="F385" s="159"/>
      <c r="G385" s="160"/>
      <c r="H385" s="410"/>
      <c r="I385" s="161"/>
      <c r="J385" s="162"/>
      <c r="K385" s="162"/>
      <c r="L385" s="161"/>
      <c r="M385" s="411"/>
      <c r="N385" s="411"/>
      <c r="O385" s="162"/>
      <c r="P385" s="162"/>
      <c r="Q385" s="161"/>
      <c r="R385" s="162"/>
      <c r="S385" s="161"/>
      <c r="T385" s="253">
        <f t="shared" ref="T385:BI385" si="405">T386+T388</f>
        <v>372569444</v>
      </c>
      <c r="U385" s="253">
        <f t="shared" ref="U385:V385" si="406">U386+U388</f>
        <v>166429333.33000001</v>
      </c>
      <c r="V385" s="253">
        <f t="shared" si="406"/>
        <v>152169666.66999999</v>
      </c>
      <c r="W385" s="253">
        <f t="shared" si="405"/>
        <v>0</v>
      </c>
      <c r="X385" s="253"/>
      <c r="Y385" s="253"/>
      <c r="Z385" s="253">
        <f t="shared" si="405"/>
        <v>0</v>
      </c>
      <c r="AA385" s="253"/>
      <c r="AB385" s="253"/>
      <c r="AC385" s="253">
        <f t="shared" si="405"/>
        <v>0</v>
      </c>
      <c r="AD385" s="253"/>
      <c r="AE385" s="253"/>
      <c r="AF385" s="253">
        <f t="shared" si="405"/>
        <v>0</v>
      </c>
      <c r="AG385" s="253"/>
      <c r="AH385" s="253"/>
      <c r="AI385" s="253">
        <f t="shared" si="405"/>
        <v>0</v>
      </c>
      <c r="AJ385" s="253"/>
      <c r="AK385" s="253"/>
      <c r="AL385" s="253">
        <f t="shared" si="405"/>
        <v>0</v>
      </c>
      <c r="AM385" s="253"/>
      <c r="AN385" s="253"/>
      <c r="AO385" s="253">
        <f t="shared" si="405"/>
        <v>0</v>
      </c>
      <c r="AP385" s="253"/>
      <c r="AQ385" s="253"/>
      <c r="AR385" s="253">
        <f t="shared" si="405"/>
        <v>0</v>
      </c>
      <c r="AS385" s="253"/>
      <c r="AT385" s="253"/>
      <c r="AU385" s="253">
        <f t="shared" si="405"/>
        <v>0</v>
      </c>
      <c r="AV385" s="253"/>
      <c r="AW385" s="253"/>
      <c r="AX385" s="253">
        <f t="shared" si="405"/>
        <v>0</v>
      </c>
      <c r="AY385" s="253"/>
      <c r="AZ385" s="253"/>
      <c r="BA385" s="253">
        <f t="shared" si="405"/>
        <v>407456000</v>
      </c>
      <c r="BB385" s="253">
        <f t="shared" ref="BB385:BC385" si="407">BB386+BB388</f>
        <v>289474779</v>
      </c>
      <c r="BC385" s="253">
        <f t="shared" si="407"/>
        <v>158558426.03</v>
      </c>
      <c r="BD385" s="253">
        <f t="shared" si="405"/>
        <v>0</v>
      </c>
      <c r="BE385" s="253"/>
      <c r="BF385" s="253"/>
      <c r="BG385" s="253">
        <f t="shared" si="405"/>
        <v>780025444</v>
      </c>
      <c r="BH385" s="253">
        <f t="shared" si="405"/>
        <v>455904112.33000004</v>
      </c>
      <c r="BI385" s="253">
        <f t="shared" si="405"/>
        <v>310728092.69999999</v>
      </c>
    </row>
    <row r="386" spans="1:67" s="179" customFormat="1" ht="15.75" customHeight="1" x14ac:dyDescent="0.2">
      <c r="A386" s="453"/>
      <c r="B386" s="519"/>
      <c r="C386" s="195">
        <v>18</v>
      </c>
      <c r="D386" s="195">
        <v>2402</v>
      </c>
      <c r="E386" s="357" t="s">
        <v>242</v>
      </c>
      <c r="F386" s="357"/>
      <c r="G386" s="170"/>
      <c r="H386" s="220"/>
      <c r="I386" s="166"/>
      <c r="J386" s="167"/>
      <c r="K386" s="167"/>
      <c r="L386" s="166"/>
      <c r="M386" s="256"/>
      <c r="N386" s="256"/>
      <c r="O386" s="167"/>
      <c r="P386" s="167"/>
      <c r="Q386" s="166"/>
      <c r="R386" s="167"/>
      <c r="S386" s="166"/>
      <c r="T386" s="257">
        <f>T387</f>
        <v>0</v>
      </c>
      <c r="U386" s="257">
        <f t="shared" ref="U386:V386" si="408">U387</f>
        <v>0</v>
      </c>
      <c r="V386" s="257">
        <f t="shared" si="408"/>
        <v>0</v>
      </c>
      <c r="W386" s="257">
        <f t="shared" ref="W386:BI386" si="409">W387</f>
        <v>0</v>
      </c>
      <c r="X386" s="257"/>
      <c r="Y386" s="257"/>
      <c r="Z386" s="257">
        <f t="shared" si="409"/>
        <v>0</v>
      </c>
      <c r="AA386" s="257"/>
      <c r="AB386" s="257"/>
      <c r="AC386" s="257">
        <f t="shared" si="409"/>
        <v>0</v>
      </c>
      <c r="AD386" s="257"/>
      <c r="AE386" s="257"/>
      <c r="AF386" s="257">
        <f t="shared" si="409"/>
        <v>0</v>
      </c>
      <c r="AG386" s="257"/>
      <c r="AH386" s="257"/>
      <c r="AI386" s="257">
        <f t="shared" si="409"/>
        <v>0</v>
      </c>
      <c r="AJ386" s="257"/>
      <c r="AK386" s="257"/>
      <c r="AL386" s="257">
        <f t="shared" si="409"/>
        <v>0</v>
      </c>
      <c r="AM386" s="257"/>
      <c r="AN386" s="257"/>
      <c r="AO386" s="257">
        <f t="shared" si="409"/>
        <v>0</v>
      </c>
      <c r="AP386" s="257"/>
      <c r="AQ386" s="257"/>
      <c r="AR386" s="257">
        <f t="shared" si="409"/>
        <v>0</v>
      </c>
      <c r="AS386" s="257"/>
      <c r="AT386" s="257"/>
      <c r="AU386" s="257">
        <f t="shared" si="409"/>
        <v>0</v>
      </c>
      <c r="AV386" s="257"/>
      <c r="AW386" s="257"/>
      <c r="AX386" s="257">
        <f t="shared" si="409"/>
        <v>0</v>
      </c>
      <c r="AY386" s="257"/>
      <c r="AZ386" s="257"/>
      <c r="BA386" s="257">
        <f t="shared" si="409"/>
        <v>218280000</v>
      </c>
      <c r="BB386" s="257">
        <f t="shared" si="409"/>
        <v>218280000</v>
      </c>
      <c r="BC386" s="257">
        <f t="shared" si="409"/>
        <v>102692322.03</v>
      </c>
      <c r="BD386" s="257">
        <f t="shared" si="409"/>
        <v>0</v>
      </c>
      <c r="BE386" s="257"/>
      <c r="BF386" s="257"/>
      <c r="BG386" s="257">
        <f t="shared" si="409"/>
        <v>218280000</v>
      </c>
      <c r="BH386" s="257">
        <f t="shared" si="409"/>
        <v>218280000</v>
      </c>
      <c r="BI386" s="257">
        <f t="shared" si="409"/>
        <v>102692322.03</v>
      </c>
    </row>
    <row r="387" spans="1:67" s="179" customFormat="1" ht="82.5" customHeight="1" x14ac:dyDescent="0.2">
      <c r="A387" s="453"/>
      <c r="B387" s="520"/>
      <c r="C387" s="373"/>
      <c r="D387" s="374"/>
      <c r="E387" s="364">
        <v>2402</v>
      </c>
      <c r="F387" s="47" t="s">
        <v>1471</v>
      </c>
      <c r="G387" s="226" t="s">
        <v>243</v>
      </c>
      <c r="H387" s="199" t="s">
        <v>92</v>
      </c>
      <c r="I387" s="355" t="s">
        <v>244</v>
      </c>
      <c r="J387" s="354" t="s">
        <v>245</v>
      </c>
      <c r="K387" s="354" t="s">
        <v>92</v>
      </c>
      <c r="L387" s="355" t="s">
        <v>1500</v>
      </c>
      <c r="M387" s="354" t="s">
        <v>98</v>
      </c>
      <c r="N387" s="354">
        <v>130</v>
      </c>
      <c r="O387" s="354">
        <v>130</v>
      </c>
      <c r="P387" s="354">
        <v>68</v>
      </c>
      <c r="Q387" s="421" t="s">
        <v>246</v>
      </c>
      <c r="R387" s="354" t="s">
        <v>1306</v>
      </c>
      <c r="S387" s="412" t="s">
        <v>1470</v>
      </c>
      <c r="T387" s="43"/>
      <c r="U387" s="43"/>
      <c r="V387" s="43"/>
      <c r="W387" s="43"/>
      <c r="X387" s="43"/>
      <c r="Y387" s="43"/>
      <c r="Z387" s="61"/>
      <c r="AA387" s="61"/>
      <c r="AB387" s="61"/>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61"/>
      <c r="AY387" s="61"/>
      <c r="AZ387" s="61"/>
      <c r="BA387" s="413">
        <v>218280000</v>
      </c>
      <c r="BB387" s="413">
        <v>218280000</v>
      </c>
      <c r="BC387" s="413">
        <v>102692322.03</v>
      </c>
      <c r="BD387" s="43"/>
      <c r="BE387" s="43"/>
      <c r="BF387" s="43"/>
      <c r="BG387" s="173">
        <f>+T387+W387+Z387+AC387+AF387+AI387+AL387+AO387+AR387+AU387+AX387+BA387+BD387</f>
        <v>218280000</v>
      </c>
      <c r="BH387" s="173">
        <f t="shared" ref="BH387:BI387" si="410">+U387+X387+AA387+AD387+AG387+AJ387+AM387+AP387+AS387+AV387+AY387+BB387+BE387</f>
        <v>218280000</v>
      </c>
      <c r="BI387" s="173">
        <f t="shared" si="410"/>
        <v>102692322.03</v>
      </c>
    </row>
    <row r="388" spans="1:67" s="179" customFormat="1" ht="15.75" customHeight="1" x14ac:dyDescent="0.2">
      <c r="A388" s="453"/>
      <c r="B388" s="474"/>
      <c r="C388" s="195">
        <v>33</v>
      </c>
      <c r="D388" s="195">
        <v>4001</v>
      </c>
      <c r="E388" s="357" t="s">
        <v>259</v>
      </c>
      <c r="F388" s="357"/>
      <c r="G388" s="170"/>
      <c r="H388" s="220"/>
      <c r="I388" s="166"/>
      <c r="J388" s="167"/>
      <c r="K388" s="167"/>
      <c r="L388" s="166"/>
      <c r="M388" s="256"/>
      <c r="N388" s="256"/>
      <c r="O388" s="167"/>
      <c r="P388" s="167"/>
      <c r="Q388" s="166"/>
      <c r="R388" s="167"/>
      <c r="S388" s="166"/>
      <c r="T388" s="257">
        <f t="shared" ref="T388:BD388" si="411">SUM(T389:T392)</f>
        <v>372569444</v>
      </c>
      <c r="U388" s="257">
        <f t="shared" si="411"/>
        <v>166429333.33000001</v>
      </c>
      <c r="V388" s="257">
        <f t="shared" si="411"/>
        <v>152169666.66999999</v>
      </c>
      <c r="W388" s="257">
        <f t="shared" si="411"/>
        <v>0</v>
      </c>
      <c r="X388" s="257"/>
      <c r="Y388" s="257"/>
      <c r="Z388" s="257">
        <f t="shared" si="411"/>
        <v>0</v>
      </c>
      <c r="AA388" s="257"/>
      <c r="AB388" s="257"/>
      <c r="AC388" s="257">
        <f t="shared" si="411"/>
        <v>0</v>
      </c>
      <c r="AD388" s="257"/>
      <c r="AE388" s="257"/>
      <c r="AF388" s="257">
        <f t="shared" si="411"/>
        <v>0</v>
      </c>
      <c r="AG388" s="257"/>
      <c r="AH388" s="257"/>
      <c r="AI388" s="257">
        <f t="shared" si="411"/>
        <v>0</v>
      </c>
      <c r="AJ388" s="257"/>
      <c r="AK388" s="257"/>
      <c r="AL388" s="257">
        <f t="shared" si="411"/>
        <v>0</v>
      </c>
      <c r="AM388" s="257"/>
      <c r="AN388" s="257"/>
      <c r="AO388" s="257">
        <f t="shared" si="411"/>
        <v>0</v>
      </c>
      <c r="AP388" s="257"/>
      <c r="AQ388" s="257"/>
      <c r="AR388" s="257">
        <f t="shared" si="411"/>
        <v>0</v>
      </c>
      <c r="AS388" s="257"/>
      <c r="AT388" s="257"/>
      <c r="AU388" s="257">
        <f t="shared" si="411"/>
        <v>0</v>
      </c>
      <c r="AV388" s="257"/>
      <c r="AW388" s="257"/>
      <c r="AX388" s="257">
        <f t="shared" si="411"/>
        <v>0</v>
      </c>
      <c r="AY388" s="257"/>
      <c r="AZ388" s="257"/>
      <c r="BA388" s="257">
        <f t="shared" si="411"/>
        <v>189176000</v>
      </c>
      <c r="BB388" s="257">
        <f t="shared" si="411"/>
        <v>71194779</v>
      </c>
      <c r="BC388" s="257">
        <f t="shared" si="411"/>
        <v>55866104</v>
      </c>
      <c r="BD388" s="257">
        <f t="shared" si="411"/>
        <v>0</v>
      </c>
      <c r="BE388" s="257"/>
      <c r="BF388" s="257"/>
      <c r="BG388" s="257">
        <f>SUM(BG389:BG392)</f>
        <v>561745444</v>
      </c>
      <c r="BH388" s="257">
        <f t="shared" ref="BH388:BI388" si="412">SUM(BH389:BH392)</f>
        <v>237624112.33000001</v>
      </c>
      <c r="BI388" s="257">
        <f t="shared" si="412"/>
        <v>208035770.66999999</v>
      </c>
    </row>
    <row r="389" spans="1:67" s="179" customFormat="1" ht="58.5" customHeight="1" x14ac:dyDescent="0.2">
      <c r="A389" s="453"/>
      <c r="B389" s="521"/>
      <c r="C389" s="523"/>
      <c r="D389" s="374"/>
      <c r="E389" s="364">
        <v>4001</v>
      </c>
      <c r="F389" s="355" t="s">
        <v>1432</v>
      </c>
      <c r="G389" s="332" t="s">
        <v>1308</v>
      </c>
      <c r="H389" s="258">
        <v>4001001</v>
      </c>
      <c r="I389" s="355" t="s">
        <v>1309</v>
      </c>
      <c r="J389" s="298" t="s">
        <v>1310</v>
      </c>
      <c r="K389" s="298" t="s">
        <v>1311</v>
      </c>
      <c r="L389" s="304" t="s">
        <v>1312</v>
      </c>
      <c r="M389" s="354" t="s">
        <v>1401</v>
      </c>
      <c r="N389" s="354">
        <v>12</v>
      </c>
      <c r="O389" s="361">
        <v>3</v>
      </c>
      <c r="P389" s="361">
        <v>2</v>
      </c>
      <c r="Q389" s="516" t="s">
        <v>1313</v>
      </c>
      <c r="R389" s="517" t="s">
        <v>1306</v>
      </c>
      <c r="S389" s="515" t="s">
        <v>1470</v>
      </c>
      <c r="T389" s="198"/>
      <c r="U389" s="198"/>
      <c r="V389" s="198"/>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61"/>
      <c r="AY389" s="61"/>
      <c r="AZ389" s="61"/>
      <c r="BA389" s="378">
        <v>89176000</v>
      </c>
      <c r="BB389" s="378">
        <v>50451375</v>
      </c>
      <c r="BC389" s="378">
        <v>38992625</v>
      </c>
      <c r="BD389" s="46"/>
      <c r="BE389" s="46"/>
      <c r="BF389" s="46"/>
      <c r="BG389" s="173">
        <f>+T389+W389+Z389+AC389+AF389+AI389+AL389+AO389+AR389+AU389+AX389+BA389+BD389</f>
        <v>89176000</v>
      </c>
      <c r="BH389" s="173">
        <f t="shared" ref="BH389:BI392" si="413">+U389+X389+AA389+AD389+AG389+AJ389+AM389+AP389+AS389+AV389+AY389+BB389+BE389</f>
        <v>50451375</v>
      </c>
      <c r="BI389" s="173">
        <f t="shared" si="413"/>
        <v>38992625</v>
      </c>
    </row>
    <row r="390" spans="1:67" s="179" customFormat="1" ht="58.5" customHeight="1" x14ac:dyDescent="0.2">
      <c r="A390" s="453"/>
      <c r="B390" s="521"/>
      <c r="C390" s="523"/>
      <c r="D390" s="374"/>
      <c r="E390" s="364">
        <v>4001</v>
      </c>
      <c r="F390" s="355" t="s">
        <v>1472</v>
      </c>
      <c r="G390" s="332" t="s">
        <v>1314</v>
      </c>
      <c r="H390" s="258">
        <v>4001017</v>
      </c>
      <c r="I390" s="355" t="s">
        <v>1473</v>
      </c>
      <c r="J390" s="298" t="s">
        <v>1315</v>
      </c>
      <c r="K390" s="298" t="s">
        <v>1316</v>
      </c>
      <c r="L390" s="304" t="s">
        <v>1317</v>
      </c>
      <c r="M390" s="354" t="s">
        <v>188</v>
      </c>
      <c r="N390" s="354">
        <v>100</v>
      </c>
      <c r="O390" s="361">
        <v>25</v>
      </c>
      <c r="P390" s="361">
        <v>0</v>
      </c>
      <c r="Q390" s="516"/>
      <c r="R390" s="517"/>
      <c r="S390" s="515"/>
      <c r="T390" s="198"/>
      <c r="U390" s="198"/>
      <c r="V390" s="198"/>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61"/>
      <c r="AY390" s="61"/>
      <c r="AZ390" s="61"/>
      <c r="BA390" s="378">
        <v>100000000</v>
      </c>
      <c r="BB390" s="378">
        <v>20743404</v>
      </c>
      <c r="BC390" s="378">
        <v>16873479</v>
      </c>
      <c r="BD390" s="46"/>
      <c r="BE390" s="46"/>
      <c r="BF390" s="46"/>
      <c r="BG390" s="173">
        <f>+T390+W390+Z390+AC390+AF390+AI390+AL390+AO390+AR390+AU390+AX390+BA390+BD390</f>
        <v>100000000</v>
      </c>
      <c r="BH390" s="173">
        <f t="shared" si="413"/>
        <v>20743404</v>
      </c>
      <c r="BI390" s="173">
        <f t="shared" si="413"/>
        <v>16873479</v>
      </c>
    </row>
    <row r="391" spans="1:67" s="179" customFormat="1" ht="58.5" customHeight="1" x14ac:dyDescent="0.2">
      <c r="A391" s="453"/>
      <c r="B391" s="521"/>
      <c r="C391" s="523"/>
      <c r="D391" s="374"/>
      <c r="E391" s="364">
        <v>4001</v>
      </c>
      <c r="F391" s="355" t="s">
        <v>1432</v>
      </c>
      <c r="G391" s="332" t="s">
        <v>1318</v>
      </c>
      <c r="H391" s="258">
        <v>4001018</v>
      </c>
      <c r="I391" s="355" t="s">
        <v>1319</v>
      </c>
      <c r="J391" s="298" t="s">
        <v>1320</v>
      </c>
      <c r="K391" s="298" t="s">
        <v>1321</v>
      </c>
      <c r="L391" s="304" t="s">
        <v>1322</v>
      </c>
      <c r="M391" s="354" t="s">
        <v>188</v>
      </c>
      <c r="N391" s="354">
        <v>300</v>
      </c>
      <c r="O391" s="361">
        <v>75</v>
      </c>
      <c r="P391" s="361">
        <v>32</v>
      </c>
      <c r="Q391" s="516"/>
      <c r="R391" s="517"/>
      <c r="S391" s="515"/>
      <c r="T391" s="198">
        <v>172569444</v>
      </c>
      <c r="U391" s="198">
        <v>166429333.33000001</v>
      </c>
      <c r="V391" s="198">
        <v>152169666.66999999</v>
      </c>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61"/>
      <c r="AY391" s="61"/>
      <c r="AZ391" s="61"/>
      <c r="BA391" s="378"/>
      <c r="BB391" s="378"/>
      <c r="BC391" s="378"/>
      <c r="BD391" s="46"/>
      <c r="BE391" s="46"/>
      <c r="BF391" s="46"/>
      <c r="BG391" s="173">
        <f>+T391+W391+Z391+AC391+AF391+AI391+AL391+AO391+AR391+AU391+AX391+BA391+BD391</f>
        <v>172569444</v>
      </c>
      <c r="BH391" s="173">
        <f t="shared" si="413"/>
        <v>166429333.33000001</v>
      </c>
      <c r="BI391" s="173">
        <f t="shared" si="413"/>
        <v>152169666.66999999</v>
      </c>
    </row>
    <row r="392" spans="1:67" s="179" customFormat="1" ht="43.5" customHeight="1" x14ac:dyDescent="0.2">
      <c r="A392" s="453"/>
      <c r="B392" s="522"/>
      <c r="C392" s="523"/>
      <c r="D392" s="374"/>
      <c r="E392" s="364">
        <v>4001</v>
      </c>
      <c r="F392" s="355" t="s">
        <v>1432</v>
      </c>
      <c r="G392" s="332" t="s">
        <v>1323</v>
      </c>
      <c r="H392" s="258">
        <v>4001030</v>
      </c>
      <c r="I392" s="355" t="s">
        <v>1324</v>
      </c>
      <c r="J392" s="298" t="s">
        <v>1325</v>
      </c>
      <c r="K392" s="298" t="s">
        <v>1326</v>
      </c>
      <c r="L392" s="304" t="s">
        <v>289</v>
      </c>
      <c r="M392" s="354" t="s">
        <v>1401</v>
      </c>
      <c r="N392" s="354">
        <v>12</v>
      </c>
      <c r="O392" s="361">
        <v>3</v>
      </c>
      <c r="P392" s="361">
        <v>0</v>
      </c>
      <c r="Q392" s="516"/>
      <c r="R392" s="517"/>
      <c r="S392" s="515"/>
      <c r="T392" s="198">
        <v>200000000</v>
      </c>
      <c r="U392" s="198">
        <v>0</v>
      </c>
      <c r="V392" s="198">
        <v>0</v>
      </c>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360"/>
      <c r="AY392" s="360"/>
      <c r="AZ392" s="360"/>
      <c r="BA392" s="378"/>
      <c r="BB392" s="378"/>
      <c r="BC392" s="378"/>
      <c r="BD392" s="46"/>
      <c r="BE392" s="46"/>
      <c r="BF392" s="46"/>
      <c r="BG392" s="173">
        <f>+T392+W392+Z392+AC392+AF392+AI392+AL392+AO392+AR392+AU392+AX392+BA392+BD392</f>
        <v>200000000</v>
      </c>
      <c r="BH392" s="173">
        <f t="shared" si="413"/>
        <v>0</v>
      </c>
      <c r="BI392" s="173">
        <f t="shared" si="413"/>
        <v>0</v>
      </c>
    </row>
    <row r="393" spans="1:67" s="179" customFormat="1" ht="15.75" customHeight="1" x14ac:dyDescent="0.2">
      <c r="A393" s="453"/>
      <c r="B393" s="259">
        <v>4</v>
      </c>
      <c r="C393" s="159" t="s">
        <v>117</v>
      </c>
      <c r="D393" s="159"/>
      <c r="E393" s="159"/>
      <c r="F393" s="159"/>
      <c r="G393" s="160"/>
      <c r="H393" s="410"/>
      <c r="I393" s="161"/>
      <c r="J393" s="162"/>
      <c r="K393" s="162"/>
      <c r="L393" s="161"/>
      <c r="M393" s="411"/>
      <c r="N393" s="411"/>
      <c r="O393" s="162"/>
      <c r="P393" s="162"/>
      <c r="Q393" s="161"/>
      <c r="R393" s="162"/>
      <c r="S393" s="161"/>
      <c r="T393" s="253">
        <f>T394</f>
        <v>0</v>
      </c>
      <c r="U393" s="253"/>
      <c r="V393" s="253"/>
      <c r="W393" s="253">
        <f t="shared" ref="W393:BI394" si="414">W394</f>
        <v>0</v>
      </c>
      <c r="X393" s="253"/>
      <c r="Y393" s="253"/>
      <c r="Z393" s="253">
        <f t="shared" si="414"/>
        <v>0</v>
      </c>
      <c r="AA393" s="253"/>
      <c r="AB393" s="253"/>
      <c r="AC393" s="253">
        <f t="shared" si="414"/>
        <v>0</v>
      </c>
      <c r="AD393" s="253"/>
      <c r="AE393" s="253"/>
      <c r="AF393" s="253">
        <f t="shared" si="414"/>
        <v>0</v>
      </c>
      <c r="AG393" s="253"/>
      <c r="AH393" s="253"/>
      <c r="AI393" s="253">
        <f t="shared" si="414"/>
        <v>0</v>
      </c>
      <c r="AJ393" s="253"/>
      <c r="AK393" s="253"/>
      <c r="AL393" s="253">
        <f t="shared" si="414"/>
        <v>0</v>
      </c>
      <c r="AM393" s="253"/>
      <c r="AN393" s="253"/>
      <c r="AO393" s="253">
        <f t="shared" si="414"/>
        <v>0</v>
      </c>
      <c r="AP393" s="253"/>
      <c r="AQ393" s="253"/>
      <c r="AR393" s="253">
        <f t="shared" si="414"/>
        <v>0</v>
      </c>
      <c r="AS393" s="253"/>
      <c r="AT393" s="253"/>
      <c r="AU393" s="253">
        <f t="shared" si="414"/>
        <v>0</v>
      </c>
      <c r="AV393" s="253"/>
      <c r="AW393" s="253"/>
      <c r="AX393" s="253">
        <f t="shared" si="414"/>
        <v>0</v>
      </c>
      <c r="AY393" s="253"/>
      <c r="AZ393" s="253"/>
      <c r="BA393" s="253">
        <f t="shared" si="414"/>
        <v>189176000</v>
      </c>
      <c r="BB393" s="253">
        <f t="shared" si="414"/>
        <v>114951375</v>
      </c>
      <c r="BC393" s="253">
        <f t="shared" si="414"/>
        <v>102722700</v>
      </c>
      <c r="BD393" s="253">
        <f t="shared" si="414"/>
        <v>0</v>
      </c>
      <c r="BE393" s="253"/>
      <c r="BF393" s="253"/>
      <c r="BG393" s="253">
        <f t="shared" si="414"/>
        <v>189176000</v>
      </c>
      <c r="BH393" s="253">
        <f t="shared" si="414"/>
        <v>114951375</v>
      </c>
      <c r="BI393" s="253">
        <f t="shared" si="414"/>
        <v>102722700</v>
      </c>
    </row>
    <row r="394" spans="1:67" s="179" customFormat="1" ht="15.75" customHeight="1" x14ac:dyDescent="0.2">
      <c r="A394" s="453"/>
      <c r="B394" s="475"/>
      <c r="C394" s="195">
        <v>45</v>
      </c>
      <c r="D394" s="167" t="s">
        <v>92</v>
      </c>
      <c r="E394" s="357" t="s">
        <v>93</v>
      </c>
      <c r="F394" s="357"/>
      <c r="G394" s="170"/>
      <c r="H394" s="220"/>
      <c r="I394" s="166"/>
      <c r="J394" s="167"/>
      <c r="K394" s="167"/>
      <c r="L394" s="166"/>
      <c r="M394" s="256"/>
      <c r="N394" s="256"/>
      <c r="O394" s="167"/>
      <c r="P394" s="167"/>
      <c r="Q394" s="166"/>
      <c r="R394" s="167"/>
      <c r="S394" s="166"/>
      <c r="T394" s="257">
        <f>T395</f>
        <v>0</v>
      </c>
      <c r="U394" s="257"/>
      <c r="V394" s="257"/>
      <c r="W394" s="257">
        <f t="shared" si="414"/>
        <v>0</v>
      </c>
      <c r="X394" s="257"/>
      <c r="Y394" s="257"/>
      <c r="Z394" s="257">
        <f t="shared" si="414"/>
        <v>0</v>
      </c>
      <c r="AA394" s="257"/>
      <c r="AB394" s="257"/>
      <c r="AC394" s="257">
        <f t="shared" si="414"/>
        <v>0</v>
      </c>
      <c r="AD394" s="257"/>
      <c r="AE394" s="257"/>
      <c r="AF394" s="257">
        <f t="shared" si="414"/>
        <v>0</v>
      </c>
      <c r="AG394" s="257"/>
      <c r="AH394" s="257"/>
      <c r="AI394" s="257">
        <f t="shared" si="414"/>
        <v>0</v>
      </c>
      <c r="AJ394" s="257"/>
      <c r="AK394" s="257"/>
      <c r="AL394" s="257">
        <f t="shared" si="414"/>
        <v>0</v>
      </c>
      <c r="AM394" s="257"/>
      <c r="AN394" s="257"/>
      <c r="AO394" s="257">
        <f t="shared" si="414"/>
        <v>0</v>
      </c>
      <c r="AP394" s="257"/>
      <c r="AQ394" s="257"/>
      <c r="AR394" s="257">
        <f t="shared" si="414"/>
        <v>0</v>
      </c>
      <c r="AS394" s="257"/>
      <c r="AT394" s="257"/>
      <c r="AU394" s="257">
        <f t="shared" si="414"/>
        <v>0</v>
      </c>
      <c r="AV394" s="257"/>
      <c r="AW394" s="257"/>
      <c r="AX394" s="257">
        <f t="shared" si="414"/>
        <v>0</v>
      </c>
      <c r="AY394" s="257"/>
      <c r="AZ394" s="257"/>
      <c r="BA394" s="257">
        <f t="shared" si="414"/>
        <v>189176000</v>
      </c>
      <c r="BB394" s="257">
        <f t="shared" si="414"/>
        <v>114951375</v>
      </c>
      <c r="BC394" s="257">
        <f t="shared" si="414"/>
        <v>102722700</v>
      </c>
      <c r="BD394" s="257">
        <f t="shared" si="414"/>
        <v>0</v>
      </c>
      <c r="BE394" s="257"/>
      <c r="BF394" s="257"/>
      <c r="BG394" s="257">
        <f t="shared" si="414"/>
        <v>189176000</v>
      </c>
      <c r="BH394" s="257">
        <f t="shared" si="414"/>
        <v>114951375</v>
      </c>
      <c r="BI394" s="257">
        <f t="shared" si="414"/>
        <v>102722700</v>
      </c>
    </row>
    <row r="395" spans="1:67" s="179" customFormat="1" ht="112.5" customHeight="1" x14ac:dyDescent="0.2">
      <c r="A395" s="471"/>
      <c r="B395" s="442"/>
      <c r="C395" s="373"/>
      <c r="D395" s="374"/>
      <c r="E395" s="364" t="s">
        <v>92</v>
      </c>
      <c r="F395" s="356" t="s">
        <v>94</v>
      </c>
      <c r="G395" s="419" t="s">
        <v>290</v>
      </c>
      <c r="H395" s="199" t="s">
        <v>92</v>
      </c>
      <c r="I395" s="50" t="s">
        <v>1474</v>
      </c>
      <c r="J395" s="383" t="s">
        <v>292</v>
      </c>
      <c r="K395" s="383" t="s">
        <v>92</v>
      </c>
      <c r="L395" s="50" t="s">
        <v>293</v>
      </c>
      <c r="M395" s="354" t="s">
        <v>98</v>
      </c>
      <c r="N395" s="354">
        <v>4</v>
      </c>
      <c r="O395" s="199">
        <v>4</v>
      </c>
      <c r="P395" s="199">
        <v>1</v>
      </c>
      <c r="Q395" s="423" t="s">
        <v>99</v>
      </c>
      <c r="R395" s="354" t="s">
        <v>1306</v>
      </c>
      <c r="S395" s="412" t="s">
        <v>1470</v>
      </c>
      <c r="T395" s="198"/>
      <c r="U395" s="198"/>
      <c r="V395" s="198"/>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61"/>
      <c r="AY395" s="61"/>
      <c r="AZ395" s="61"/>
      <c r="BA395" s="378">
        <f>218280000-29104000</f>
        <v>189176000</v>
      </c>
      <c r="BB395" s="378">
        <v>114951375</v>
      </c>
      <c r="BC395" s="378">
        <v>102722700</v>
      </c>
      <c r="BD395" s="46"/>
      <c r="BE395" s="46"/>
      <c r="BF395" s="46"/>
      <c r="BG395" s="173">
        <f>+T395+W395+Z395+AC395+AF395+AI395+AL395+AO395+AR395+AU395+AX395+BA395+BD395</f>
        <v>189176000</v>
      </c>
      <c r="BH395" s="173">
        <f t="shared" ref="BH395:BI395" si="415">+U395+X395+AA395+AD395+AG395+AJ395+AM395+AP395+AS395+AV395+AY395+BB395+BE395</f>
        <v>114951375</v>
      </c>
      <c r="BI395" s="173">
        <f t="shared" si="415"/>
        <v>102722700</v>
      </c>
    </row>
    <row r="396" spans="1:67" s="242" customFormat="1" ht="15.75" x14ac:dyDescent="0.2">
      <c r="A396" s="443"/>
      <c r="B396" s="444"/>
      <c r="C396" s="444"/>
      <c r="D396" s="445"/>
      <c r="E396" s="446"/>
      <c r="F396" s="446"/>
      <c r="G396" s="447"/>
      <c r="H396" s="447"/>
      <c r="I396" s="448"/>
      <c r="J396" s="449"/>
      <c r="K396" s="449"/>
      <c r="L396" s="448"/>
      <c r="M396" s="447"/>
      <c r="N396" s="447"/>
      <c r="O396" s="449"/>
      <c r="P396" s="449"/>
      <c r="Q396" s="447"/>
      <c r="R396" s="447"/>
      <c r="S396" s="448"/>
      <c r="T396" s="450"/>
      <c r="U396" s="450"/>
      <c r="V396" s="450"/>
      <c r="W396" s="450"/>
      <c r="X396" s="450"/>
      <c r="Y396" s="450"/>
      <c r="Z396" s="450"/>
      <c r="AA396" s="450"/>
      <c r="AB396" s="450"/>
      <c r="AC396" s="450"/>
      <c r="AD396" s="450"/>
      <c r="AE396" s="450"/>
      <c r="AF396" s="450"/>
      <c r="AG396" s="450"/>
      <c r="AH396" s="450"/>
      <c r="AI396" s="450"/>
      <c r="AJ396" s="450"/>
      <c r="AK396" s="450"/>
      <c r="AL396" s="450"/>
      <c r="AM396" s="450"/>
      <c r="AN396" s="450"/>
      <c r="AO396" s="450"/>
      <c r="AP396" s="450"/>
      <c r="AQ396" s="450"/>
      <c r="AR396" s="450"/>
      <c r="AS396" s="450"/>
      <c r="AT396" s="450"/>
      <c r="AU396" s="450"/>
      <c r="AV396" s="450"/>
      <c r="AW396" s="450"/>
      <c r="AX396" s="451"/>
      <c r="AY396" s="451"/>
      <c r="AZ396" s="451"/>
      <c r="BA396" s="450"/>
      <c r="BB396" s="450"/>
      <c r="BC396" s="450"/>
      <c r="BD396" s="450"/>
      <c r="BE396" s="450"/>
      <c r="BF396" s="450"/>
      <c r="BG396" s="451"/>
      <c r="BH396" s="451"/>
      <c r="BI396" s="451"/>
    </row>
    <row r="397" spans="1:67" ht="15.75" x14ac:dyDescent="0.2">
      <c r="A397" s="211" t="s">
        <v>1327</v>
      </c>
      <c r="B397" s="211"/>
      <c r="C397" s="211"/>
      <c r="D397" s="212"/>
      <c r="E397" s="212"/>
      <c r="F397" s="213"/>
      <c r="G397" s="214"/>
      <c r="H397" s="156"/>
      <c r="I397" s="213"/>
      <c r="J397" s="214"/>
      <c r="K397" s="214"/>
      <c r="L397" s="213"/>
      <c r="M397" s="156"/>
      <c r="N397" s="156"/>
      <c r="O397" s="214"/>
      <c r="P397" s="214"/>
      <c r="Q397" s="425"/>
      <c r="R397" s="214"/>
      <c r="S397" s="213"/>
      <c r="T397" s="188">
        <f t="shared" ref="T397:BD398" si="416">T398</f>
        <v>0</v>
      </c>
      <c r="U397" s="188"/>
      <c r="V397" s="188"/>
      <c r="W397" s="188">
        <f t="shared" si="416"/>
        <v>0</v>
      </c>
      <c r="X397" s="188"/>
      <c r="Y397" s="188"/>
      <c r="Z397" s="188">
        <f t="shared" si="416"/>
        <v>0</v>
      </c>
      <c r="AA397" s="188"/>
      <c r="AB397" s="188"/>
      <c r="AC397" s="188">
        <f t="shared" si="416"/>
        <v>0</v>
      </c>
      <c r="AD397" s="188"/>
      <c r="AE397" s="188"/>
      <c r="AF397" s="188">
        <f t="shared" si="416"/>
        <v>0</v>
      </c>
      <c r="AG397" s="188"/>
      <c r="AH397" s="188"/>
      <c r="AI397" s="188">
        <f t="shared" si="416"/>
        <v>0</v>
      </c>
      <c r="AJ397" s="188"/>
      <c r="AK397" s="188"/>
      <c r="AL397" s="188">
        <f t="shared" si="416"/>
        <v>0</v>
      </c>
      <c r="AM397" s="188"/>
      <c r="AN397" s="188"/>
      <c r="AO397" s="188">
        <f t="shared" si="416"/>
        <v>0</v>
      </c>
      <c r="AP397" s="188"/>
      <c r="AQ397" s="188"/>
      <c r="AR397" s="188">
        <f t="shared" si="416"/>
        <v>0</v>
      </c>
      <c r="AS397" s="188"/>
      <c r="AT397" s="188"/>
      <c r="AU397" s="188">
        <f t="shared" si="416"/>
        <v>0</v>
      </c>
      <c r="AV397" s="188"/>
      <c r="AW397" s="188"/>
      <c r="AX397" s="188">
        <f t="shared" si="416"/>
        <v>0</v>
      </c>
      <c r="AY397" s="188"/>
      <c r="AZ397" s="188"/>
      <c r="BA397" s="188">
        <f t="shared" si="416"/>
        <v>107000000</v>
      </c>
      <c r="BB397" s="188">
        <f t="shared" si="416"/>
        <v>50006000</v>
      </c>
      <c r="BC397" s="188">
        <f t="shared" si="416"/>
        <v>26112000</v>
      </c>
      <c r="BD397" s="188">
        <f t="shared" si="416"/>
        <v>0</v>
      </c>
      <c r="BE397" s="188"/>
      <c r="BF397" s="188"/>
      <c r="BG397" s="188">
        <f t="shared" ref="BG397:BI398" si="417">BG398</f>
        <v>107000000</v>
      </c>
      <c r="BH397" s="188">
        <f t="shared" si="417"/>
        <v>50006000</v>
      </c>
      <c r="BI397" s="188">
        <f t="shared" si="417"/>
        <v>26112000</v>
      </c>
      <c r="BJ397" s="487"/>
      <c r="BK397" s="487"/>
      <c r="BL397" s="487"/>
      <c r="BM397" s="487"/>
      <c r="BN397" s="487"/>
      <c r="BO397" s="487"/>
    </row>
    <row r="398" spans="1:67" ht="15.75" x14ac:dyDescent="0.2">
      <c r="A398" s="452"/>
      <c r="B398" s="259">
        <v>3</v>
      </c>
      <c r="C398" s="159" t="s">
        <v>1328</v>
      </c>
      <c r="D398" s="160"/>
      <c r="E398" s="160"/>
      <c r="F398" s="161"/>
      <c r="G398" s="162"/>
      <c r="H398" s="410"/>
      <c r="I398" s="161"/>
      <c r="J398" s="162"/>
      <c r="K398" s="162"/>
      <c r="L398" s="161"/>
      <c r="M398" s="411"/>
      <c r="N398" s="411"/>
      <c r="O398" s="162"/>
      <c r="P398" s="162"/>
      <c r="Q398" s="161"/>
      <c r="R398" s="162"/>
      <c r="S398" s="161"/>
      <c r="T398" s="253">
        <f t="shared" si="416"/>
        <v>0</v>
      </c>
      <c r="U398" s="253"/>
      <c r="V398" s="253"/>
      <c r="W398" s="253">
        <f t="shared" si="416"/>
        <v>0</v>
      </c>
      <c r="X398" s="253"/>
      <c r="Y398" s="253"/>
      <c r="Z398" s="253">
        <f t="shared" si="416"/>
        <v>0</v>
      </c>
      <c r="AA398" s="253"/>
      <c r="AB398" s="253"/>
      <c r="AC398" s="253">
        <f t="shared" si="416"/>
        <v>0</v>
      </c>
      <c r="AD398" s="253"/>
      <c r="AE398" s="253"/>
      <c r="AF398" s="253">
        <f t="shared" si="416"/>
        <v>0</v>
      </c>
      <c r="AG398" s="253"/>
      <c r="AH398" s="253"/>
      <c r="AI398" s="253">
        <f t="shared" si="416"/>
        <v>0</v>
      </c>
      <c r="AJ398" s="253"/>
      <c r="AK398" s="253"/>
      <c r="AL398" s="253">
        <f t="shared" si="416"/>
        <v>0</v>
      </c>
      <c r="AM398" s="253"/>
      <c r="AN398" s="253"/>
      <c r="AO398" s="253">
        <f t="shared" si="416"/>
        <v>0</v>
      </c>
      <c r="AP398" s="253"/>
      <c r="AQ398" s="253"/>
      <c r="AR398" s="253">
        <f t="shared" si="416"/>
        <v>0</v>
      </c>
      <c r="AS398" s="253"/>
      <c r="AT398" s="253"/>
      <c r="AU398" s="253">
        <f t="shared" si="416"/>
        <v>0</v>
      </c>
      <c r="AV398" s="253"/>
      <c r="AW398" s="253"/>
      <c r="AX398" s="253">
        <f t="shared" si="416"/>
        <v>0</v>
      </c>
      <c r="AY398" s="253"/>
      <c r="AZ398" s="253"/>
      <c r="BA398" s="253">
        <f t="shared" si="416"/>
        <v>107000000</v>
      </c>
      <c r="BB398" s="253">
        <f t="shared" si="416"/>
        <v>50006000</v>
      </c>
      <c r="BC398" s="253">
        <f t="shared" si="416"/>
        <v>26112000</v>
      </c>
      <c r="BD398" s="253">
        <f t="shared" si="416"/>
        <v>0</v>
      </c>
      <c r="BE398" s="253"/>
      <c r="BF398" s="253"/>
      <c r="BG398" s="253">
        <f t="shared" si="417"/>
        <v>107000000</v>
      </c>
      <c r="BH398" s="253">
        <f t="shared" si="417"/>
        <v>50006000</v>
      </c>
      <c r="BI398" s="253">
        <f t="shared" si="417"/>
        <v>26112000</v>
      </c>
    </row>
    <row r="399" spans="1:67" ht="15.75" x14ac:dyDescent="0.2">
      <c r="A399" s="438"/>
      <c r="B399" s="440"/>
      <c r="C399" s="195">
        <v>19</v>
      </c>
      <c r="D399" s="195">
        <v>2409</v>
      </c>
      <c r="E399" s="357" t="s">
        <v>1329</v>
      </c>
      <c r="F399" s="166"/>
      <c r="G399" s="167"/>
      <c r="H399" s="168"/>
      <c r="I399" s="166"/>
      <c r="J399" s="167"/>
      <c r="K399" s="167"/>
      <c r="L399" s="166"/>
      <c r="M399" s="256"/>
      <c r="N399" s="256"/>
      <c r="O399" s="167"/>
      <c r="P399" s="167"/>
      <c r="Q399" s="166"/>
      <c r="R399" s="167"/>
      <c r="S399" s="166"/>
      <c r="T399" s="257">
        <f t="shared" ref="T399:BD399" si="418">SUM(T400:T403)</f>
        <v>0</v>
      </c>
      <c r="U399" s="257"/>
      <c r="V399" s="257"/>
      <c r="W399" s="257">
        <f t="shared" si="418"/>
        <v>0</v>
      </c>
      <c r="X399" s="257"/>
      <c r="Y399" s="257"/>
      <c r="Z399" s="257">
        <f t="shared" si="418"/>
        <v>0</v>
      </c>
      <c r="AA399" s="257"/>
      <c r="AB399" s="257"/>
      <c r="AC399" s="257">
        <f t="shared" si="418"/>
        <v>0</v>
      </c>
      <c r="AD399" s="257"/>
      <c r="AE399" s="257"/>
      <c r="AF399" s="257">
        <f t="shared" si="418"/>
        <v>0</v>
      </c>
      <c r="AG399" s="257"/>
      <c r="AH399" s="257"/>
      <c r="AI399" s="257">
        <f t="shared" si="418"/>
        <v>0</v>
      </c>
      <c r="AJ399" s="257"/>
      <c r="AK399" s="257"/>
      <c r="AL399" s="257">
        <f t="shared" si="418"/>
        <v>0</v>
      </c>
      <c r="AM399" s="257"/>
      <c r="AN399" s="257"/>
      <c r="AO399" s="257">
        <f t="shared" si="418"/>
        <v>0</v>
      </c>
      <c r="AP399" s="257"/>
      <c r="AQ399" s="257"/>
      <c r="AR399" s="257">
        <f t="shared" si="418"/>
        <v>0</v>
      </c>
      <c r="AS399" s="257"/>
      <c r="AT399" s="257"/>
      <c r="AU399" s="257">
        <f t="shared" si="418"/>
        <v>0</v>
      </c>
      <c r="AV399" s="257"/>
      <c r="AW399" s="257"/>
      <c r="AX399" s="257">
        <f t="shared" si="418"/>
        <v>0</v>
      </c>
      <c r="AY399" s="257"/>
      <c r="AZ399" s="257"/>
      <c r="BA399" s="257">
        <f t="shared" si="418"/>
        <v>107000000</v>
      </c>
      <c r="BB399" s="257">
        <f t="shared" ref="BB399:BC399" si="419">SUM(BB400:BB403)</f>
        <v>50006000</v>
      </c>
      <c r="BC399" s="257">
        <f t="shared" si="419"/>
        <v>26112000</v>
      </c>
      <c r="BD399" s="257">
        <f t="shared" si="418"/>
        <v>0</v>
      </c>
      <c r="BE399" s="257"/>
      <c r="BF399" s="257"/>
      <c r="BG399" s="257">
        <f>SUM(BG400:BG403)</f>
        <v>107000000</v>
      </c>
      <c r="BH399" s="257">
        <f t="shared" ref="BH399:BI399" si="420">SUM(BH400:BH403)</f>
        <v>50006000</v>
      </c>
      <c r="BI399" s="257">
        <f t="shared" si="420"/>
        <v>26112000</v>
      </c>
    </row>
    <row r="400" spans="1:67" ht="111" customHeight="1" x14ac:dyDescent="0.2">
      <c r="A400" s="438"/>
      <c r="B400" s="441"/>
      <c r="C400" s="154"/>
      <c r="D400" s="392"/>
      <c r="E400" s="354">
        <v>2409</v>
      </c>
      <c r="F400" s="355" t="s">
        <v>1516</v>
      </c>
      <c r="G400" s="318" t="s">
        <v>1330</v>
      </c>
      <c r="H400" s="354" t="s">
        <v>92</v>
      </c>
      <c r="I400" s="356" t="s">
        <v>1331</v>
      </c>
      <c r="J400" s="318" t="s">
        <v>1332</v>
      </c>
      <c r="K400" s="298" t="s">
        <v>92</v>
      </c>
      <c r="L400" s="306" t="s">
        <v>1333</v>
      </c>
      <c r="M400" s="354" t="s">
        <v>98</v>
      </c>
      <c r="N400" s="354">
        <v>1</v>
      </c>
      <c r="O400" s="363">
        <v>1</v>
      </c>
      <c r="P400" s="363">
        <v>0.75</v>
      </c>
      <c r="Q400" s="516" t="s">
        <v>1334</v>
      </c>
      <c r="R400" s="517" t="s">
        <v>1335</v>
      </c>
      <c r="S400" s="518" t="s">
        <v>1336</v>
      </c>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61"/>
      <c r="AY400" s="61"/>
      <c r="AZ400" s="61"/>
      <c r="BA400" s="61">
        <v>26400000</v>
      </c>
      <c r="BB400" s="61">
        <v>25052000</v>
      </c>
      <c r="BC400" s="61">
        <v>11052000</v>
      </c>
      <c r="BD400" s="43"/>
      <c r="BE400" s="43"/>
      <c r="BF400" s="43"/>
      <c r="BG400" s="173">
        <f>+T400+W400+Z400+AC400+AF400+AI400+AL400+AO400+AR400+AU400+AX400+BA400+BD400</f>
        <v>26400000</v>
      </c>
      <c r="BH400" s="173">
        <f t="shared" ref="BH400:BI403" si="421">+U400+X400+AA400+AD400+AG400+AJ400+AM400+AP400+AS400+AV400+AY400+BB400+BE400</f>
        <v>25052000</v>
      </c>
      <c r="BI400" s="173">
        <f t="shared" si="421"/>
        <v>11052000</v>
      </c>
    </row>
    <row r="401" spans="1:61" ht="105" customHeight="1" x14ac:dyDescent="0.2">
      <c r="A401" s="438"/>
      <c r="B401" s="441"/>
      <c r="C401" s="154"/>
      <c r="D401" s="392"/>
      <c r="E401" s="354">
        <v>2409</v>
      </c>
      <c r="F401" s="355" t="s">
        <v>1516</v>
      </c>
      <c r="G401" s="318" t="s">
        <v>1337</v>
      </c>
      <c r="H401" s="354" t="s">
        <v>92</v>
      </c>
      <c r="I401" s="356" t="s">
        <v>1338</v>
      </c>
      <c r="J401" s="318" t="s">
        <v>1339</v>
      </c>
      <c r="K401" s="298" t="s">
        <v>92</v>
      </c>
      <c r="L401" s="306" t="s">
        <v>1340</v>
      </c>
      <c r="M401" s="354" t="s">
        <v>98</v>
      </c>
      <c r="N401" s="354">
        <v>1</v>
      </c>
      <c r="O401" s="363">
        <v>1</v>
      </c>
      <c r="P401" s="417">
        <v>0.1</v>
      </c>
      <c r="Q401" s="516"/>
      <c r="R401" s="517"/>
      <c r="S401" s="518"/>
      <c r="T401" s="43"/>
      <c r="U401" s="43"/>
      <c r="V401" s="43"/>
      <c r="W401" s="52"/>
      <c r="X401" s="52"/>
      <c r="Y401" s="52"/>
      <c r="Z401" s="52"/>
      <c r="AA401" s="52"/>
      <c r="AB401" s="52"/>
      <c r="AC401" s="52"/>
      <c r="AD401" s="52"/>
      <c r="AE401" s="52"/>
      <c r="AF401" s="52"/>
      <c r="AG401" s="52"/>
      <c r="AH401" s="52"/>
      <c r="AI401" s="52"/>
      <c r="AJ401" s="52"/>
      <c r="AK401" s="52"/>
      <c r="AL401" s="52"/>
      <c r="AM401" s="52"/>
      <c r="AN401" s="52"/>
      <c r="AO401" s="52"/>
      <c r="AP401" s="52"/>
      <c r="AQ401" s="52"/>
      <c r="AR401" s="52"/>
      <c r="AS401" s="52"/>
      <c r="AT401" s="52"/>
      <c r="AU401" s="52"/>
      <c r="AV401" s="52"/>
      <c r="AW401" s="52"/>
      <c r="AX401" s="414"/>
      <c r="AY401" s="414"/>
      <c r="AZ401" s="414"/>
      <c r="BA401" s="414">
        <v>8400000</v>
      </c>
      <c r="BB401" s="414">
        <v>4590000</v>
      </c>
      <c r="BC401" s="414">
        <v>1530000</v>
      </c>
      <c r="BD401" s="52"/>
      <c r="BE401" s="52"/>
      <c r="BF401" s="52"/>
      <c r="BG401" s="173">
        <f>+T401+W401+Z401+AC401+AF401+AI401+AL401+AO401+AR401+AU401+AX401+BA401+BD401</f>
        <v>8400000</v>
      </c>
      <c r="BH401" s="173">
        <f t="shared" si="421"/>
        <v>4590000</v>
      </c>
      <c r="BI401" s="173">
        <f t="shared" si="421"/>
        <v>1530000</v>
      </c>
    </row>
    <row r="402" spans="1:61" ht="60" x14ac:dyDescent="0.2">
      <c r="A402" s="438"/>
      <c r="B402" s="441"/>
      <c r="C402" s="154"/>
      <c r="D402" s="392"/>
      <c r="E402" s="354">
        <v>2409</v>
      </c>
      <c r="F402" s="355" t="s">
        <v>1516</v>
      </c>
      <c r="G402" s="318" t="s">
        <v>1341</v>
      </c>
      <c r="H402" s="354" t="s">
        <v>92</v>
      </c>
      <c r="I402" s="356" t="s">
        <v>1342</v>
      </c>
      <c r="J402" s="318" t="s">
        <v>1343</v>
      </c>
      <c r="K402" s="298" t="s">
        <v>92</v>
      </c>
      <c r="L402" s="306" t="s">
        <v>1344</v>
      </c>
      <c r="M402" s="354" t="s">
        <v>98</v>
      </c>
      <c r="N402" s="354">
        <v>1</v>
      </c>
      <c r="O402" s="363">
        <v>1</v>
      </c>
      <c r="P402" s="363">
        <v>0.75</v>
      </c>
      <c r="Q402" s="516"/>
      <c r="R402" s="517"/>
      <c r="S402" s="518"/>
      <c r="T402" s="43"/>
      <c r="U402" s="43"/>
      <c r="V402" s="43"/>
      <c r="W402" s="52"/>
      <c r="X402" s="52"/>
      <c r="Y402" s="52"/>
      <c r="Z402" s="52"/>
      <c r="AA402" s="52"/>
      <c r="AB402" s="52"/>
      <c r="AC402" s="52"/>
      <c r="AD402" s="52"/>
      <c r="AE402" s="52"/>
      <c r="AF402" s="52"/>
      <c r="AG402" s="52"/>
      <c r="AH402" s="52"/>
      <c r="AI402" s="52"/>
      <c r="AJ402" s="52"/>
      <c r="AK402" s="52"/>
      <c r="AL402" s="52"/>
      <c r="AM402" s="52"/>
      <c r="AN402" s="52"/>
      <c r="AO402" s="52"/>
      <c r="AP402" s="52"/>
      <c r="AQ402" s="52"/>
      <c r="AR402" s="52"/>
      <c r="AS402" s="52"/>
      <c r="AT402" s="52"/>
      <c r="AU402" s="52"/>
      <c r="AV402" s="52"/>
      <c r="AW402" s="52"/>
      <c r="AX402" s="414"/>
      <c r="AY402" s="414"/>
      <c r="AZ402" s="414"/>
      <c r="BA402" s="414">
        <v>25200000</v>
      </c>
      <c r="BB402" s="414">
        <v>12000000</v>
      </c>
      <c r="BC402" s="414">
        <v>12000000</v>
      </c>
      <c r="BD402" s="52"/>
      <c r="BE402" s="52"/>
      <c r="BF402" s="52"/>
      <c r="BG402" s="173">
        <f>+T402+W402+Z402+AC402+AF402+AI402+AL402+AO402+AR402+AU402+AX402+BA402+BD402</f>
        <v>25200000</v>
      </c>
      <c r="BH402" s="173">
        <f t="shared" si="421"/>
        <v>12000000</v>
      </c>
      <c r="BI402" s="173">
        <f t="shared" si="421"/>
        <v>12000000</v>
      </c>
    </row>
    <row r="403" spans="1:61" ht="84.75" customHeight="1" x14ac:dyDescent="0.2">
      <c r="A403" s="439"/>
      <c r="B403" s="442"/>
      <c r="C403" s="154"/>
      <c r="D403" s="392"/>
      <c r="E403" s="354">
        <v>2409</v>
      </c>
      <c r="F403" s="355" t="s">
        <v>1516</v>
      </c>
      <c r="G403" s="318" t="s">
        <v>1345</v>
      </c>
      <c r="H403" s="354" t="s">
        <v>92</v>
      </c>
      <c r="I403" s="356" t="s">
        <v>1346</v>
      </c>
      <c r="J403" s="318" t="s">
        <v>1347</v>
      </c>
      <c r="K403" s="298" t="s">
        <v>92</v>
      </c>
      <c r="L403" s="306" t="s">
        <v>1348</v>
      </c>
      <c r="M403" s="354" t="s">
        <v>98</v>
      </c>
      <c r="N403" s="354">
        <v>1</v>
      </c>
      <c r="O403" s="363">
        <v>1</v>
      </c>
      <c r="P403" s="417">
        <v>0.1</v>
      </c>
      <c r="Q403" s="516"/>
      <c r="R403" s="517"/>
      <c r="S403" s="518"/>
      <c r="T403" s="52"/>
      <c r="U403" s="52"/>
      <c r="V403" s="52"/>
      <c r="W403" s="52"/>
      <c r="X403" s="52"/>
      <c r="Y403" s="52"/>
      <c r="Z403" s="52"/>
      <c r="AA403" s="52"/>
      <c r="AB403" s="52"/>
      <c r="AC403" s="52"/>
      <c r="AD403" s="52"/>
      <c r="AE403" s="52"/>
      <c r="AF403" s="52"/>
      <c r="AG403" s="52"/>
      <c r="AH403" s="52"/>
      <c r="AI403" s="52"/>
      <c r="AJ403" s="52"/>
      <c r="AK403" s="52"/>
      <c r="AL403" s="52"/>
      <c r="AM403" s="52"/>
      <c r="AN403" s="52"/>
      <c r="AO403" s="52"/>
      <c r="AP403" s="52"/>
      <c r="AQ403" s="52"/>
      <c r="AR403" s="52"/>
      <c r="AS403" s="52"/>
      <c r="AT403" s="52"/>
      <c r="AU403" s="52"/>
      <c r="AV403" s="52"/>
      <c r="AW403" s="52"/>
      <c r="AX403" s="414"/>
      <c r="AY403" s="414"/>
      <c r="AZ403" s="414"/>
      <c r="BA403" s="414">
        <v>47000000</v>
      </c>
      <c r="BB403" s="414">
        <v>8364000</v>
      </c>
      <c r="BC403" s="414">
        <v>1530000</v>
      </c>
      <c r="BD403" s="52"/>
      <c r="BE403" s="52"/>
      <c r="BF403" s="52"/>
      <c r="BG403" s="173">
        <f>+T403+W403+Z403+AC403+AF403+AI403+AL403+AO403+AR403+AU403+AX403+BA403+BD403</f>
        <v>47000000</v>
      </c>
      <c r="BH403" s="173">
        <f t="shared" si="421"/>
        <v>8364000</v>
      </c>
      <c r="BI403" s="173">
        <f t="shared" si="421"/>
        <v>1530000</v>
      </c>
    </row>
    <row r="404" spans="1:61" s="481" customFormat="1" ht="15.75" x14ac:dyDescent="0.25">
      <c r="A404" s="476" t="s">
        <v>1349</v>
      </c>
      <c r="B404" s="476"/>
      <c r="C404" s="476"/>
      <c r="D404" s="477"/>
      <c r="E404" s="478"/>
      <c r="F404" s="479"/>
      <c r="G404" s="353"/>
      <c r="H404" s="478"/>
      <c r="I404" s="479"/>
      <c r="J404" s="353"/>
      <c r="K404" s="353"/>
      <c r="L404" s="479"/>
      <c r="M404" s="478"/>
      <c r="N404" s="478"/>
      <c r="O404" s="353"/>
      <c r="P404" s="353"/>
      <c r="Q404" s="478"/>
      <c r="R404" s="480"/>
      <c r="S404" s="479"/>
      <c r="T404" s="484">
        <f t="shared" ref="T404" si="422">+T397+T379+T359</f>
        <v>1117710104</v>
      </c>
      <c r="U404" s="484">
        <f t="shared" ref="U404:BI404" si="423">+U397+U379+U359</f>
        <v>659287999.99000001</v>
      </c>
      <c r="V404" s="484">
        <f t="shared" si="423"/>
        <v>556509000.00999999</v>
      </c>
      <c r="W404" s="484">
        <f t="shared" si="423"/>
        <v>0</v>
      </c>
      <c r="X404" s="484">
        <f t="shared" si="423"/>
        <v>0</v>
      </c>
      <c r="Y404" s="484">
        <f t="shared" si="423"/>
        <v>0</v>
      </c>
      <c r="Z404" s="484">
        <f t="shared" si="423"/>
        <v>0</v>
      </c>
      <c r="AA404" s="484">
        <f t="shared" si="423"/>
        <v>0</v>
      </c>
      <c r="AB404" s="484">
        <f t="shared" si="423"/>
        <v>0</v>
      </c>
      <c r="AC404" s="484">
        <f t="shared" si="423"/>
        <v>0</v>
      </c>
      <c r="AD404" s="484">
        <f t="shared" si="423"/>
        <v>0</v>
      </c>
      <c r="AE404" s="484">
        <f t="shared" si="423"/>
        <v>0</v>
      </c>
      <c r="AF404" s="484">
        <f t="shared" si="423"/>
        <v>0</v>
      </c>
      <c r="AG404" s="484">
        <f t="shared" si="423"/>
        <v>0</v>
      </c>
      <c r="AH404" s="484">
        <f t="shared" si="423"/>
        <v>0</v>
      </c>
      <c r="AI404" s="484">
        <f t="shared" si="423"/>
        <v>0</v>
      </c>
      <c r="AJ404" s="484">
        <f t="shared" si="423"/>
        <v>0</v>
      </c>
      <c r="AK404" s="484">
        <f t="shared" si="423"/>
        <v>0</v>
      </c>
      <c r="AL404" s="484">
        <f t="shared" si="423"/>
        <v>0</v>
      </c>
      <c r="AM404" s="484">
        <f t="shared" si="423"/>
        <v>0</v>
      </c>
      <c r="AN404" s="484">
        <f t="shared" si="423"/>
        <v>0</v>
      </c>
      <c r="AO404" s="484">
        <f t="shared" si="423"/>
        <v>0</v>
      </c>
      <c r="AP404" s="484">
        <f t="shared" si="423"/>
        <v>0</v>
      </c>
      <c r="AQ404" s="484">
        <f t="shared" si="423"/>
        <v>0</v>
      </c>
      <c r="AR404" s="484">
        <f t="shared" si="423"/>
        <v>0</v>
      </c>
      <c r="AS404" s="484">
        <f t="shared" si="423"/>
        <v>0</v>
      </c>
      <c r="AT404" s="484">
        <f t="shared" si="423"/>
        <v>0</v>
      </c>
      <c r="AU404" s="484">
        <f t="shared" si="423"/>
        <v>0</v>
      </c>
      <c r="AV404" s="484">
        <f t="shared" si="423"/>
        <v>0</v>
      </c>
      <c r="AW404" s="484">
        <f t="shared" si="423"/>
        <v>0</v>
      </c>
      <c r="AX404" s="484">
        <f t="shared" si="423"/>
        <v>759313093.42000008</v>
      </c>
      <c r="AY404" s="484">
        <f t="shared" si="423"/>
        <v>210404994</v>
      </c>
      <c r="AZ404" s="484">
        <f t="shared" si="423"/>
        <v>184748366</v>
      </c>
      <c r="BA404" s="484">
        <f t="shared" si="423"/>
        <v>4474984217.3600006</v>
      </c>
      <c r="BB404" s="484">
        <f t="shared" si="423"/>
        <v>1880564955.25</v>
      </c>
      <c r="BC404" s="484">
        <f t="shared" si="423"/>
        <v>1201861472.28</v>
      </c>
      <c r="BD404" s="484">
        <f t="shared" si="423"/>
        <v>0</v>
      </c>
      <c r="BE404" s="484">
        <f t="shared" si="423"/>
        <v>0</v>
      </c>
      <c r="BF404" s="484">
        <f t="shared" si="423"/>
        <v>0</v>
      </c>
      <c r="BG404" s="484">
        <f t="shared" si="423"/>
        <v>6352007414.7799997</v>
      </c>
      <c r="BH404" s="484">
        <f t="shared" si="423"/>
        <v>2750257949.2399998</v>
      </c>
      <c r="BI404" s="484">
        <f t="shared" si="423"/>
        <v>1943118838.29</v>
      </c>
    </row>
    <row r="405" spans="1:61" s="202" customFormat="1" ht="15.75" x14ac:dyDescent="0.25">
      <c r="A405" s="544" t="s">
        <v>1350</v>
      </c>
      <c r="B405" s="544"/>
      <c r="C405" s="544"/>
      <c r="D405" s="544"/>
      <c r="E405" s="544"/>
      <c r="F405" s="431"/>
      <c r="G405" s="432"/>
      <c r="H405" s="482"/>
      <c r="I405" s="431"/>
      <c r="J405" s="432"/>
      <c r="K405" s="432"/>
      <c r="L405" s="431"/>
      <c r="M405" s="482"/>
      <c r="N405" s="482"/>
      <c r="O405" s="432"/>
      <c r="P405" s="432"/>
      <c r="Q405" s="482"/>
      <c r="R405" s="483"/>
      <c r="S405" s="431"/>
      <c r="T405" s="485">
        <f t="shared" ref="T405" si="424">+T357+T404</f>
        <v>9491441231.0799999</v>
      </c>
      <c r="U405" s="485">
        <f t="shared" ref="U405:BI405" si="425">+U357+U404</f>
        <v>2452896905.9899998</v>
      </c>
      <c r="V405" s="485">
        <f t="shared" si="425"/>
        <v>1948513565.01</v>
      </c>
      <c r="W405" s="485">
        <f t="shared" si="425"/>
        <v>2192073558.0099998</v>
      </c>
      <c r="X405" s="485">
        <f t="shared" si="425"/>
        <v>118600000</v>
      </c>
      <c r="Y405" s="485">
        <f t="shared" si="425"/>
        <v>12400000</v>
      </c>
      <c r="Z405" s="485">
        <f t="shared" si="425"/>
        <v>184304077.94</v>
      </c>
      <c r="AA405" s="485">
        <f t="shared" si="425"/>
        <v>184278666</v>
      </c>
      <c r="AB405" s="485">
        <f t="shared" si="425"/>
        <v>90435017</v>
      </c>
      <c r="AC405" s="485">
        <f t="shared" si="425"/>
        <v>2849173512.6999998</v>
      </c>
      <c r="AD405" s="485">
        <f t="shared" si="425"/>
        <v>1346800605</v>
      </c>
      <c r="AE405" s="485">
        <f t="shared" si="425"/>
        <v>929384162</v>
      </c>
      <c r="AF405" s="485">
        <f t="shared" si="425"/>
        <v>6648246009.5</v>
      </c>
      <c r="AG405" s="485">
        <f t="shared" si="425"/>
        <v>2349741748</v>
      </c>
      <c r="AH405" s="485">
        <f t="shared" si="425"/>
        <v>1122931061</v>
      </c>
      <c r="AI405" s="485">
        <f t="shared" si="425"/>
        <v>27454768746.280003</v>
      </c>
      <c r="AJ405" s="485">
        <f t="shared" si="425"/>
        <v>21651168903</v>
      </c>
      <c r="AK405" s="485">
        <f t="shared" si="425"/>
        <v>11295390100.5</v>
      </c>
      <c r="AL405" s="485">
        <f t="shared" si="425"/>
        <v>134989913515.46001</v>
      </c>
      <c r="AM405" s="485">
        <f t="shared" si="425"/>
        <v>90736278326</v>
      </c>
      <c r="AN405" s="485">
        <f t="shared" si="425"/>
        <v>89715762271</v>
      </c>
      <c r="AO405" s="485">
        <f t="shared" si="425"/>
        <v>23500000000</v>
      </c>
      <c r="AP405" s="485">
        <f t="shared" si="425"/>
        <v>19060689144</v>
      </c>
      <c r="AQ405" s="485">
        <f t="shared" si="425"/>
        <v>19060689144</v>
      </c>
      <c r="AR405" s="485">
        <f t="shared" si="425"/>
        <v>13759826753.450001</v>
      </c>
      <c r="AS405" s="485">
        <f t="shared" si="425"/>
        <v>12938796308</v>
      </c>
      <c r="AT405" s="485">
        <f t="shared" si="425"/>
        <v>7834225057</v>
      </c>
      <c r="AU405" s="485">
        <f t="shared" si="425"/>
        <v>2686652877.1199999</v>
      </c>
      <c r="AV405" s="485">
        <f t="shared" si="425"/>
        <v>0</v>
      </c>
      <c r="AW405" s="485">
        <f t="shared" si="425"/>
        <v>0</v>
      </c>
      <c r="AX405" s="485">
        <f t="shared" si="425"/>
        <v>22264651692.770004</v>
      </c>
      <c r="AY405" s="485">
        <f t="shared" si="425"/>
        <v>11445522189.66</v>
      </c>
      <c r="AZ405" s="485">
        <f t="shared" si="425"/>
        <v>6129156019.3299999</v>
      </c>
      <c r="BA405" s="485">
        <f t="shared" si="425"/>
        <v>5395360353.4700003</v>
      </c>
      <c r="BB405" s="485">
        <f t="shared" si="425"/>
        <v>2487228286.25</v>
      </c>
      <c r="BC405" s="485">
        <f t="shared" si="425"/>
        <v>1665168138.28</v>
      </c>
      <c r="BD405" s="485">
        <f t="shared" si="425"/>
        <v>2397768825.3000002</v>
      </c>
      <c r="BE405" s="485">
        <f t="shared" si="425"/>
        <v>1825403877</v>
      </c>
      <c r="BF405" s="485">
        <f t="shared" si="425"/>
        <v>799524957</v>
      </c>
      <c r="BG405" s="485">
        <f t="shared" si="425"/>
        <v>253814181153.08002</v>
      </c>
      <c r="BH405" s="485">
        <f t="shared" si="425"/>
        <v>166597404958.89999</v>
      </c>
      <c r="BI405" s="485">
        <f t="shared" si="425"/>
        <v>140603579492.12003</v>
      </c>
    </row>
    <row r="407" spans="1:61" x14ac:dyDescent="0.2">
      <c r="BG407" s="260"/>
      <c r="BH407" s="260"/>
      <c r="BI407" s="260"/>
    </row>
    <row r="409" spans="1:61" x14ac:dyDescent="0.2">
      <c r="BG409" s="486"/>
      <c r="BH409" s="486"/>
      <c r="BI409" s="486"/>
    </row>
    <row r="411" spans="1:61" x14ac:dyDescent="0.2">
      <c r="BH411" s="486"/>
      <c r="BI411" s="486"/>
    </row>
  </sheetData>
  <sheetProtection algorithmName="SHA-512" hashValue="EJOOUDGwh/caceiJmZcJqNFWshh+IvSt5JLkC9Ccq7sgsLouV7WM19B9SNk8D0bwivucutR4RCzGQh6JPOwJWQ==" saltValue="EZ6ujUY3bJL2xcp1uZP/Uw==" spinCount="100000" sheet="1" objects="1" scenarios="1"/>
  <mergeCells count="221">
    <mergeCell ref="S106:S107"/>
    <mergeCell ref="Q111:Q112"/>
    <mergeCell ref="R111:R112"/>
    <mergeCell ref="S111:S112"/>
    <mergeCell ref="Q90:Q94"/>
    <mergeCell ref="R90:R94"/>
    <mergeCell ref="S90:S94"/>
    <mergeCell ref="Q103:Q104"/>
    <mergeCell ref="R103:R104"/>
    <mergeCell ref="S103:S104"/>
    <mergeCell ref="A405:E405"/>
    <mergeCell ref="J5:J6"/>
    <mergeCell ref="K5:K6"/>
    <mergeCell ref="L5:L6"/>
    <mergeCell ref="M5:M6"/>
    <mergeCell ref="N5:N6"/>
    <mergeCell ref="O5:P5"/>
    <mergeCell ref="Q5:Q6"/>
    <mergeCell ref="R5:R6"/>
    <mergeCell ref="Q106:Q107"/>
    <mergeCell ref="R106:R107"/>
    <mergeCell ref="Q122:Q123"/>
    <mergeCell ref="Q25:Q30"/>
    <mergeCell ref="R25:R30"/>
    <mergeCell ref="R122:R123"/>
    <mergeCell ref="Q157:Q159"/>
    <mergeCell ref="R157:R159"/>
    <mergeCell ref="Q184:Q185"/>
    <mergeCell ref="R184:R185"/>
    <mergeCell ref="F221:F222"/>
    <mergeCell ref="G221:G222"/>
    <mergeCell ref="H221:H222"/>
    <mergeCell ref="I221:I222"/>
    <mergeCell ref="R221:R222"/>
    <mergeCell ref="S25:S30"/>
    <mergeCell ref="Q68:Q72"/>
    <mergeCell ref="R68:R72"/>
    <mergeCell ref="S68:S72"/>
    <mergeCell ref="AL5:AN5"/>
    <mergeCell ref="AO5:AQ5"/>
    <mergeCell ref="AR5:AT5"/>
    <mergeCell ref="T5:V5"/>
    <mergeCell ref="W5:Y5"/>
    <mergeCell ref="Z5:AB5"/>
    <mergeCell ref="AC5:AE5"/>
    <mergeCell ref="AF5:AH5"/>
    <mergeCell ref="AI5:AK5"/>
    <mergeCell ref="S5:S6"/>
    <mergeCell ref="S122:S123"/>
    <mergeCell ref="Q127:Q128"/>
    <mergeCell ref="R127:R128"/>
    <mergeCell ref="S127:S128"/>
    <mergeCell ref="Q113:Q114"/>
    <mergeCell ref="R113:R114"/>
    <mergeCell ref="S113:S114"/>
    <mergeCell ref="Q120:Q121"/>
    <mergeCell ref="R120:R121"/>
    <mergeCell ref="S120:S121"/>
    <mergeCell ref="S137:S139"/>
    <mergeCell ref="C142:C145"/>
    <mergeCell ref="Q142:Q145"/>
    <mergeCell ref="R142:R145"/>
    <mergeCell ref="S142:S145"/>
    <mergeCell ref="Q150:Q151"/>
    <mergeCell ref="R150:R151"/>
    <mergeCell ref="S150:S151"/>
    <mergeCell ref="B132:B145"/>
    <mergeCell ref="Q133:Q134"/>
    <mergeCell ref="R133:R134"/>
    <mergeCell ref="S133:S134"/>
    <mergeCell ref="C135:C140"/>
    <mergeCell ref="Q135:Q136"/>
    <mergeCell ref="R135:R136"/>
    <mergeCell ref="S135:S136"/>
    <mergeCell ref="Q137:Q139"/>
    <mergeCell ref="R137:R139"/>
    <mergeCell ref="S157:S159"/>
    <mergeCell ref="Q164:Q165"/>
    <mergeCell ref="R164:R165"/>
    <mergeCell ref="S164:S165"/>
    <mergeCell ref="Q153:Q154"/>
    <mergeCell ref="R153:R154"/>
    <mergeCell ref="S153:S154"/>
    <mergeCell ref="Q155:Q156"/>
    <mergeCell ref="R155:R156"/>
    <mergeCell ref="S155:S156"/>
    <mergeCell ref="S184:S185"/>
    <mergeCell ref="E197:I197"/>
    <mergeCell ref="Q206:Q207"/>
    <mergeCell ref="R206:R207"/>
    <mergeCell ref="S206:S207"/>
    <mergeCell ref="Q174:Q175"/>
    <mergeCell ref="R174:R175"/>
    <mergeCell ref="S174:S175"/>
    <mergeCell ref="Q177:Q178"/>
    <mergeCell ref="R177:R178"/>
    <mergeCell ref="S177:S178"/>
    <mergeCell ref="S221:S222"/>
    <mergeCell ref="Q208:Q209"/>
    <mergeCell ref="R208:R209"/>
    <mergeCell ref="S208:S209"/>
    <mergeCell ref="Q212:Q217"/>
    <mergeCell ref="R212:R217"/>
    <mergeCell ref="S212:S217"/>
    <mergeCell ref="Q239:Q240"/>
    <mergeCell ref="R239:R240"/>
    <mergeCell ref="S239:S240"/>
    <mergeCell ref="Q252:Q253"/>
    <mergeCell ref="R252:R253"/>
    <mergeCell ref="S252:S253"/>
    <mergeCell ref="Q223:Q225"/>
    <mergeCell ref="R223:R225"/>
    <mergeCell ref="S223:S225"/>
    <mergeCell ref="Q234:Q235"/>
    <mergeCell ref="R234:R235"/>
    <mergeCell ref="S234:S235"/>
    <mergeCell ref="Q279:Q285"/>
    <mergeCell ref="R279:R285"/>
    <mergeCell ref="S279:S285"/>
    <mergeCell ref="Q286:Q287"/>
    <mergeCell ref="R286:R287"/>
    <mergeCell ref="S286:S287"/>
    <mergeCell ref="Q256:Q257"/>
    <mergeCell ref="R256:R257"/>
    <mergeCell ref="S256:S257"/>
    <mergeCell ref="Q261:Q263"/>
    <mergeCell ref="R261:R263"/>
    <mergeCell ref="S261:S263"/>
    <mergeCell ref="Q297:Q300"/>
    <mergeCell ref="R297:R300"/>
    <mergeCell ref="S297:S300"/>
    <mergeCell ref="Q302:Q303"/>
    <mergeCell ref="R302:R303"/>
    <mergeCell ref="S302:S303"/>
    <mergeCell ref="Q288:Q290"/>
    <mergeCell ref="R288:R290"/>
    <mergeCell ref="S288:S290"/>
    <mergeCell ref="Q293:Q296"/>
    <mergeCell ref="R293:R296"/>
    <mergeCell ref="S293:S296"/>
    <mergeCell ref="Q313:Q315"/>
    <mergeCell ref="R313:R315"/>
    <mergeCell ref="S313:S315"/>
    <mergeCell ref="Q316:Q317"/>
    <mergeCell ref="R316:R317"/>
    <mergeCell ref="S316:S317"/>
    <mergeCell ref="Q304:Q310"/>
    <mergeCell ref="R304:R310"/>
    <mergeCell ref="S304:S310"/>
    <mergeCell ref="Q311:Q312"/>
    <mergeCell ref="R311:R312"/>
    <mergeCell ref="S311:S312"/>
    <mergeCell ref="Q323:Q324"/>
    <mergeCell ref="R323:R324"/>
    <mergeCell ref="S323:S324"/>
    <mergeCell ref="R326:R327"/>
    <mergeCell ref="S326:S327"/>
    <mergeCell ref="Q333:Q334"/>
    <mergeCell ref="R333:R334"/>
    <mergeCell ref="S333:S334"/>
    <mergeCell ref="Q318:Q320"/>
    <mergeCell ref="R318:R320"/>
    <mergeCell ref="S318:S320"/>
    <mergeCell ref="Q321:Q322"/>
    <mergeCell ref="R321:R322"/>
    <mergeCell ref="S321:S322"/>
    <mergeCell ref="B355:B356"/>
    <mergeCell ref="C355:C356"/>
    <mergeCell ref="Q355:Q356"/>
    <mergeCell ref="R355:R356"/>
    <mergeCell ref="S355:S356"/>
    <mergeCell ref="S335:S338"/>
    <mergeCell ref="B343:B345"/>
    <mergeCell ref="C344:C345"/>
    <mergeCell ref="G335:G336"/>
    <mergeCell ref="H335:H336"/>
    <mergeCell ref="I335:I336"/>
    <mergeCell ref="Q335:Q338"/>
    <mergeCell ref="R335:R338"/>
    <mergeCell ref="Q344:Q345"/>
    <mergeCell ref="R344:R345"/>
    <mergeCell ref="S344:S345"/>
    <mergeCell ref="R367:R368"/>
    <mergeCell ref="S367:S368"/>
    <mergeCell ref="Q370:Q373"/>
    <mergeCell ref="R370:R373"/>
    <mergeCell ref="S370:S373"/>
    <mergeCell ref="G371:G372"/>
    <mergeCell ref="H371:H372"/>
    <mergeCell ref="I371:I372"/>
    <mergeCell ref="Q362:Q363"/>
    <mergeCell ref="R362:R363"/>
    <mergeCell ref="S362:S363"/>
    <mergeCell ref="Q365:Q366"/>
    <mergeCell ref="R365:R366"/>
    <mergeCell ref="S365:S366"/>
    <mergeCell ref="S389:S392"/>
    <mergeCell ref="Q400:Q403"/>
    <mergeCell ref="R400:R403"/>
    <mergeCell ref="S400:S403"/>
    <mergeCell ref="B381:B382"/>
    <mergeCell ref="B386:B387"/>
    <mergeCell ref="B389:B392"/>
    <mergeCell ref="C389:C392"/>
    <mergeCell ref="Q389:Q392"/>
    <mergeCell ref="R389:R392"/>
    <mergeCell ref="A1:BG4"/>
    <mergeCell ref="A5:A6"/>
    <mergeCell ref="B5:B6"/>
    <mergeCell ref="C5:C6"/>
    <mergeCell ref="D5:D6"/>
    <mergeCell ref="E5:E6"/>
    <mergeCell ref="F5:F6"/>
    <mergeCell ref="G5:G6"/>
    <mergeCell ref="H5:H6"/>
    <mergeCell ref="I5:I6"/>
    <mergeCell ref="BD5:BF5"/>
    <mergeCell ref="BG5:BI5"/>
    <mergeCell ref="AU5:AW5"/>
    <mergeCell ref="AX5:AZ5"/>
    <mergeCell ref="BA5:BC5"/>
  </mergeCells>
  <conditionalFormatting sqref="K279">
    <cfRule type="duplicateValues" dxfId="28" priority="33"/>
  </conditionalFormatting>
  <conditionalFormatting sqref="K279">
    <cfRule type="duplicateValues" dxfId="27" priority="34"/>
  </conditionalFormatting>
  <conditionalFormatting sqref="K286">
    <cfRule type="duplicateValues" dxfId="26" priority="31"/>
  </conditionalFormatting>
  <conditionalFormatting sqref="K286">
    <cfRule type="duplicateValues" dxfId="25" priority="32"/>
  </conditionalFormatting>
  <conditionalFormatting sqref="K294">
    <cfRule type="duplicateValues" dxfId="24" priority="29"/>
  </conditionalFormatting>
  <conditionalFormatting sqref="K294">
    <cfRule type="duplicateValues" dxfId="23" priority="30"/>
  </conditionalFormatting>
  <conditionalFormatting sqref="K123">
    <cfRule type="duplicateValues" dxfId="22" priority="27"/>
  </conditionalFormatting>
  <conditionalFormatting sqref="K124">
    <cfRule type="duplicateValues" dxfId="21" priority="28"/>
  </conditionalFormatting>
  <conditionalFormatting sqref="K151">
    <cfRule type="duplicateValues" dxfId="20" priority="26"/>
  </conditionalFormatting>
  <conditionalFormatting sqref="K157">
    <cfRule type="duplicateValues" dxfId="19" priority="22"/>
  </conditionalFormatting>
  <conditionalFormatting sqref="K158">
    <cfRule type="duplicateValues" dxfId="18" priority="21"/>
  </conditionalFormatting>
  <conditionalFormatting sqref="K159">
    <cfRule type="duplicateValues" dxfId="17" priority="18"/>
  </conditionalFormatting>
  <conditionalFormatting sqref="K159">
    <cfRule type="duplicateValues" dxfId="16" priority="19"/>
  </conditionalFormatting>
  <conditionalFormatting sqref="K159">
    <cfRule type="duplicateValues" dxfId="15" priority="20"/>
  </conditionalFormatting>
  <conditionalFormatting sqref="K156">
    <cfRule type="duplicateValues" dxfId="14" priority="16"/>
  </conditionalFormatting>
  <conditionalFormatting sqref="K156">
    <cfRule type="duplicateValues" dxfId="13" priority="17"/>
  </conditionalFormatting>
  <conditionalFormatting sqref="K160">
    <cfRule type="duplicateValues" dxfId="12" priority="14"/>
  </conditionalFormatting>
  <conditionalFormatting sqref="K160">
    <cfRule type="duplicateValues" dxfId="11" priority="15"/>
  </conditionalFormatting>
  <conditionalFormatting sqref="K152">
    <cfRule type="duplicateValues" dxfId="10" priority="13"/>
  </conditionalFormatting>
  <conditionalFormatting sqref="K162">
    <cfRule type="duplicateValues" dxfId="9" priority="11"/>
  </conditionalFormatting>
  <conditionalFormatting sqref="K162">
    <cfRule type="duplicateValues" dxfId="8" priority="12"/>
  </conditionalFormatting>
  <conditionalFormatting sqref="K171:K172">
    <cfRule type="duplicateValues" dxfId="7" priority="9"/>
  </conditionalFormatting>
  <conditionalFormatting sqref="K171:K172">
    <cfRule type="duplicateValues" dxfId="6" priority="10"/>
  </conditionalFormatting>
  <conditionalFormatting sqref="K174">
    <cfRule type="duplicateValues" dxfId="5" priority="7"/>
  </conditionalFormatting>
  <conditionalFormatting sqref="K174">
    <cfRule type="duplicateValues" dxfId="4" priority="8"/>
  </conditionalFormatting>
  <conditionalFormatting sqref="K175">
    <cfRule type="duplicateValues" dxfId="3" priority="5"/>
  </conditionalFormatting>
  <conditionalFormatting sqref="K175">
    <cfRule type="duplicateValues" dxfId="2" priority="6"/>
  </conditionalFormatting>
  <conditionalFormatting sqref="K295">
    <cfRule type="duplicateValues" dxfId="1" priority="3"/>
  </conditionalFormatting>
  <conditionalFormatting sqref="K295">
    <cfRule type="duplicateValues" dxfId="0" priority="4"/>
  </conditionalFormatting>
  <pageMargins left="0.7" right="0.7" top="0.75" bottom="0.75" header="0.3" footer="0.3"/>
  <pageSetup orientation="portrait" verticalDpi="0" r:id="rId1"/>
  <ignoredErrors>
    <ignoredError sqref="G316 G318 G320 G327:G328 G333:G335 G338:G339 G330:G331" numberStoredAsText="1"/>
    <ignoredError sqref="AX17:AY1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78"/>
  <sheetViews>
    <sheetView showGridLines="0" zoomScaleNormal="100" workbookViewId="0"/>
  </sheetViews>
  <sheetFormatPr baseColWidth="10" defaultColWidth="11.42578125" defaultRowHeight="11.25" x14ac:dyDescent="0.2"/>
  <cols>
    <col min="1" max="1" width="3.85546875" style="66" customWidth="1"/>
    <col min="2" max="2" width="15.28515625" style="100" customWidth="1"/>
    <col min="3" max="3" width="25.5703125" style="100" customWidth="1"/>
    <col min="4" max="4" width="16.140625" style="101" customWidth="1"/>
    <col min="5" max="5" width="39.5703125" style="100" customWidth="1"/>
    <col min="6" max="6" width="16.85546875" style="102" customWidth="1"/>
    <col min="7" max="8" width="17.7109375" style="66" customWidth="1"/>
    <col min="9" max="9" width="15.5703125" style="66" bestFit="1" customWidth="1"/>
    <col min="10" max="10" width="15.85546875" style="66" customWidth="1"/>
    <col min="11" max="11" width="15.42578125" style="66" customWidth="1"/>
    <col min="12" max="16384" width="11.42578125" style="66"/>
  </cols>
  <sheetData>
    <row r="1" spans="1:11" ht="11.25" customHeight="1" x14ac:dyDescent="0.2">
      <c r="A1" s="131"/>
      <c r="B1" s="555" t="s">
        <v>1381</v>
      </c>
      <c r="C1" s="556"/>
      <c r="D1" s="556"/>
      <c r="E1" s="556"/>
      <c r="F1" s="556"/>
      <c r="G1" s="556"/>
      <c r="H1" s="557"/>
    </row>
    <row r="2" spans="1:11" ht="9.75" customHeight="1" x14ac:dyDescent="0.2">
      <c r="A2" s="132"/>
      <c r="B2" s="558"/>
      <c r="C2" s="559"/>
      <c r="D2" s="559"/>
      <c r="E2" s="559"/>
      <c r="F2" s="559"/>
      <c r="G2" s="559"/>
      <c r="H2" s="560"/>
    </row>
    <row r="3" spans="1:11" ht="16.5" customHeight="1" thickBot="1" x14ac:dyDescent="0.25">
      <c r="A3" s="132"/>
      <c r="B3" s="558"/>
      <c r="C3" s="559"/>
      <c r="D3" s="559"/>
      <c r="E3" s="559"/>
      <c r="F3" s="559"/>
      <c r="G3" s="559"/>
      <c r="H3" s="560"/>
    </row>
    <row r="4" spans="1:11" ht="18.75" customHeight="1" thickBot="1" x14ac:dyDescent="0.25">
      <c r="A4" s="132"/>
      <c r="B4" s="561" t="s">
        <v>1408</v>
      </c>
      <c r="C4" s="562"/>
      <c r="D4" s="562"/>
      <c r="E4" s="562"/>
      <c r="F4" s="562"/>
      <c r="G4" s="562"/>
      <c r="H4" s="563"/>
    </row>
    <row r="5" spans="1:11" s="67" customFormat="1" ht="25.5" customHeight="1" thickBot="1" x14ac:dyDescent="0.3">
      <c r="A5" s="133"/>
      <c r="B5" s="272" t="s">
        <v>1383</v>
      </c>
      <c r="C5" s="294" t="s">
        <v>63</v>
      </c>
      <c r="D5" s="273" t="s">
        <v>1351</v>
      </c>
      <c r="E5" s="294" t="s">
        <v>1352</v>
      </c>
      <c r="F5" s="274" t="s">
        <v>1388</v>
      </c>
      <c r="G5" s="103" t="s">
        <v>17</v>
      </c>
      <c r="H5" s="103" t="s">
        <v>1382</v>
      </c>
    </row>
    <row r="6" spans="1:11" s="67" customFormat="1" ht="16.5" customHeight="1" thickBot="1" x14ac:dyDescent="0.3">
      <c r="A6" s="133"/>
      <c r="B6" s="281" t="s">
        <v>1353</v>
      </c>
      <c r="C6" s="86"/>
      <c r="D6" s="86"/>
      <c r="E6" s="86"/>
      <c r="F6" s="86"/>
      <c r="G6" s="86"/>
      <c r="H6" s="134"/>
    </row>
    <row r="7" spans="1:11" s="68" customFormat="1" ht="17.25" customHeight="1" thickBot="1" x14ac:dyDescent="0.3">
      <c r="A7" s="135"/>
      <c r="B7" s="548" t="s">
        <v>1354</v>
      </c>
      <c r="C7" s="549"/>
      <c r="D7" s="549"/>
      <c r="E7" s="549"/>
      <c r="F7" s="120">
        <f>SUM(F8:F10)</f>
        <v>75702140</v>
      </c>
      <c r="G7" s="117">
        <f t="shared" ref="G7:H7" si="0">SUM(G8:G10)</f>
        <v>19560000</v>
      </c>
      <c r="H7" s="117">
        <f t="shared" si="0"/>
        <v>0</v>
      </c>
      <c r="I7" s="261"/>
      <c r="J7" s="261"/>
      <c r="K7" s="261"/>
    </row>
    <row r="8" spans="1:11" ht="34.5" customHeight="1" x14ac:dyDescent="0.2">
      <c r="A8" s="136">
        <v>1</v>
      </c>
      <c r="B8" s="550" t="s">
        <v>91</v>
      </c>
      <c r="C8" s="553" t="s">
        <v>93</v>
      </c>
      <c r="D8" s="106" t="s">
        <v>100</v>
      </c>
      <c r="E8" s="116" t="s">
        <v>1355</v>
      </c>
      <c r="F8" s="107">
        <f>'SGTO POAI SEPT 30'!BG11</f>
        <v>30000000</v>
      </c>
      <c r="G8" s="107">
        <f>'SGTO POAI SEPT 30'!BH11</f>
        <v>11160000</v>
      </c>
      <c r="H8" s="113">
        <f>'SGTO POAI SEPT 30'!BI11</f>
        <v>0</v>
      </c>
    </row>
    <row r="9" spans="1:11" ht="34.5" customHeight="1" x14ac:dyDescent="0.2">
      <c r="A9" s="136">
        <v>2</v>
      </c>
      <c r="B9" s="551"/>
      <c r="C9" s="554"/>
      <c r="D9" s="69" t="s">
        <v>106</v>
      </c>
      <c r="E9" s="104" t="s">
        <v>107</v>
      </c>
      <c r="F9" s="74">
        <f>'SGTO POAI SEPT 30'!BG12</f>
        <v>15702140</v>
      </c>
      <c r="G9" s="74">
        <f>'SGTO POAI SEPT 30'!BH12</f>
        <v>8400000</v>
      </c>
      <c r="H9" s="70">
        <f>'SGTO POAI SEPT 30'!BI12</f>
        <v>0</v>
      </c>
    </row>
    <row r="10" spans="1:11" ht="45.75" thickBot="1" x14ac:dyDescent="0.25">
      <c r="A10" s="136">
        <v>3</v>
      </c>
      <c r="B10" s="552"/>
      <c r="C10" s="265" t="s">
        <v>108</v>
      </c>
      <c r="D10" s="75" t="s">
        <v>115</v>
      </c>
      <c r="E10" s="118" t="s">
        <v>0</v>
      </c>
      <c r="F10" s="76">
        <f>'SGTO POAI SEPT 30'!BG14</f>
        <v>30000000</v>
      </c>
      <c r="G10" s="76">
        <f>'SGTO POAI SEPT 30'!BH14</f>
        <v>0</v>
      </c>
      <c r="H10" s="119">
        <f>'SGTO POAI SEPT 30'!BI14</f>
        <v>0</v>
      </c>
    </row>
    <row r="11" spans="1:11" s="68" customFormat="1" ht="17.25" customHeight="1" thickBot="1" x14ac:dyDescent="0.3">
      <c r="A11" s="133"/>
      <c r="B11" s="548" t="s">
        <v>1356</v>
      </c>
      <c r="C11" s="549"/>
      <c r="D11" s="549"/>
      <c r="E11" s="549"/>
      <c r="F11" s="120">
        <f>SUM(F12:F18)</f>
        <v>677628511</v>
      </c>
      <c r="G11" s="117">
        <f t="shared" ref="G11:H11" si="1">SUM(G12:G18)</f>
        <v>434418332</v>
      </c>
      <c r="H11" s="117">
        <f t="shared" si="1"/>
        <v>250818332</v>
      </c>
      <c r="I11" s="71"/>
      <c r="J11" s="71"/>
      <c r="K11" s="71"/>
    </row>
    <row r="12" spans="1:11" ht="49.5" customHeight="1" x14ac:dyDescent="0.2">
      <c r="A12" s="136">
        <v>4</v>
      </c>
      <c r="B12" s="550" t="s">
        <v>117</v>
      </c>
      <c r="C12" s="263" t="s">
        <v>108</v>
      </c>
      <c r="D12" s="106" t="s">
        <v>123</v>
      </c>
      <c r="E12" s="116" t="s">
        <v>124</v>
      </c>
      <c r="F12" s="107">
        <f>'SGTO POAI SEPT 30'!BG19</f>
        <v>102285179</v>
      </c>
      <c r="G12" s="107">
        <f>'SGTO POAI SEPT 30'!BH19</f>
        <v>14825000</v>
      </c>
      <c r="H12" s="113">
        <f>'SGTO POAI SEPT 30'!BI19</f>
        <v>6425000</v>
      </c>
    </row>
    <row r="13" spans="1:11" ht="22.5" x14ac:dyDescent="0.2">
      <c r="A13" s="136">
        <v>5</v>
      </c>
      <c r="B13" s="551"/>
      <c r="C13" s="564" t="s">
        <v>125</v>
      </c>
      <c r="D13" s="69" t="s">
        <v>129</v>
      </c>
      <c r="E13" s="104" t="s">
        <v>130</v>
      </c>
      <c r="F13" s="74">
        <f>'SGTO POAI SEPT 30'!BG21</f>
        <v>153233333</v>
      </c>
      <c r="G13" s="74">
        <f>'SGTO POAI SEPT 30'!BH21</f>
        <v>153233333</v>
      </c>
      <c r="H13" s="70">
        <f>'SGTO POAI SEPT 30'!BI21</f>
        <v>113733333</v>
      </c>
    </row>
    <row r="14" spans="1:11" s="72" customFormat="1" ht="33.75" customHeight="1" x14ac:dyDescent="0.2">
      <c r="A14" s="136">
        <v>6</v>
      </c>
      <c r="B14" s="551"/>
      <c r="C14" s="553"/>
      <c r="D14" s="69" t="s">
        <v>132</v>
      </c>
      <c r="E14" s="104" t="s">
        <v>133</v>
      </c>
      <c r="F14" s="105">
        <f>'SGTO POAI SEPT 30'!BG22</f>
        <v>93916667</v>
      </c>
      <c r="G14" s="105">
        <f>'SGTO POAI SEPT 30'!BH22</f>
        <v>37766667</v>
      </c>
      <c r="H14" s="282">
        <f>'SGTO POAI SEPT 30'!BI22</f>
        <v>18866667</v>
      </c>
    </row>
    <row r="15" spans="1:11" ht="22.5" x14ac:dyDescent="0.2">
      <c r="A15" s="136">
        <v>7</v>
      </c>
      <c r="B15" s="551"/>
      <c r="C15" s="553"/>
      <c r="D15" s="69" t="s">
        <v>138</v>
      </c>
      <c r="E15" s="104" t="s">
        <v>139</v>
      </c>
      <c r="F15" s="74">
        <f>'SGTO POAI SEPT 30'!BG23</f>
        <v>24906666</v>
      </c>
      <c r="G15" s="74">
        <f>'SGTO POAI SEPT 30'!BH23</f>
        <v>24306666</v>
      </c>
      <c r="H15" s="70">
        <f>'SGTO POAI SEPT 30'!BI23</f>
        <v>6906666</v>
      </c>
    </row>
    <row r="16" spans="1:11" ht="33.75" x14ac:dyDescent="0.2">
      <c r="A16" s="136">
        <v>8</v>
      </c>
      <c r="B16" s="551"/>
      <c r="C16" s="553"/>
      <c r="D16" s="69" t="s">
        <v>144</v>
      </c>
      <c r="E16" s="104" t="s">
        <v>145</v>
      </c>
      <c r="F16" s="74">
        <f>'SGTO POAI SEPT 30'!BG24</f>
        <v>148786666</v>
      </c>
      <c r="G16" s="74">
        <f>'SGTO POAI SEPT 30'!BH24</f>
        <v>114586666</v>
      </c>
      <c r="H16" s="70">
        <f>'SGTO POAI SEPT 30'!BI24</f>
        <v>73586666</v>
      </c>
    </row>
    <row r="17" spans="1:11" ht="33.75" x14ac:dyDescent="0.2">
      <c r="A17" s="136">
        <v>9</v>
      </c>
      <c r="B17" s="551"/>
      <c r="C17" s="553"/>
      <c r="D17" s="69" t="s">
        <v>151</v>
      </c>
      <c r="E17" s="104" t="s">
        <v>152</v>
      </c>
      <c r="F17" s="74">
        <f>SUM('SGTO POAI SEPT 30'!BG25:BG30)</f>
        <v>118500000</v>
      </c>
      <c r="G17" s="74">
        <f>SUM('SGTO POAI SEPT 30'!BH25:BH30)</f>
        <v>71700000</v>
      </c>
      <c r="H17" s="70">
        <f>SUM('SGTO POAI SEPT 30'!BI25:BI30)</f>
        <v>31300000</v>
      </c>
    </row>
    <row r="18" spans="1:11" ht="36.75" customHeight="1" thickBot="1" x14ac:dyDescent="0.25">
      <c r="A18" s="136">
        <v>10</v>
      </c>
      <c r="B18" s="552"/>
      <c r="C18" s="553"/>
      <c r="D18" s="75" t="s">
        <v>169</v>
      </c>
      <c r="E18" s="118" t="s">
        <v>170</v>
      </c>
      <c r="F18" s="76">
        <f>'SGTO POAI SEPT 30'!BG31</f>
        <v>36000000</v>
      </c>
      <c r="G18" s="76">
        <f>'SGTO POAI SEPT 30'!BH31</f>
        <v>18000000</v>
      </c>
      <c r="H18" s="119">
        <f>'SGTO POAI SEPT 30'!BI31</f>
        <v>0</v>
      </c>
    </row>
    <row r="19" spans="1:11" ht="17.25" customHeight="1" thickBot="1" x14ac:dyDescent="0.25">
      <c r="A19" s="136"/>
      <c r="B19" s="548" t="s">
        <v>1357</v>
      </c>
      <c r="C19" s="549"/>
      <c r="D19" s="549"/>
      <c r="E19" s="565"/>
      <c r="F19" s="117">
        <f>SUM(F20:F21)</f>
        <v>2541134000</v>
      </c>
      <c r="G19" s="117">
        <f t="shared" ref="G19:H19" si="2">SUM(G20:G21)</f>
        <v>1132039199</v>
      </c>
      <c r="H19" s="117">
        <f t="shared" si="2"/>
        <v>645852584</v>
      </c>
      <c r="I19" s="73"/>
      <c r="J19" s="73"/>
      <c r="K19" s="73"/>
    </row>
    <row r="20" spans="1:11" ht="33.75" x14ac:dyDescent="0.2">
      <c r="A20" s="136">
        <v>11</v>
      </c>
      <c r="B20" s="566" t="s">
        <v>117</v>
      </c>
      <c r="C20" s="554" t="s">
        <v>93</v>
      </c>
      <c r="D20" s="106" t="s">
        <v>175</v>
      </c>
      <c r="E20" s="263" t="s">
        <v>1358</v>
      </c>
      <c r="F20" s="113">
        <f>'SGTO POAI SEPT 30'!BG36</f>
        <v>1970270000</v>
      </c>
      <c r="G20" s="113">
        <f>'SGTO POAI SEPT 30'!BH36</f>
        <v>930252535</v>
      </c>
      <c r="H20" s="113">
        <f>'SGTO POAI SEPT 30'!BI36</f>
        <v>487585920</v>
      </c>
    </row>
    <row r="21" spans="1:11" ht="45.75" thickBot="1" x14ac:dyDescent="0.25">
      <c r="A21" s="136">
        <v>12</v>
      </c>
      <c r="B21" s="567"/>
      <c r="C21" s="564"/>
      <c r="D21" s="75" t="s">
        <v>181</v>
      </c>
      <c r="E21" s="265" t="s">
        <v>1359</v>
      </c>
      <c r="F21" s="119">
        <f>'SGTO POAI SEPT 30'!BG37</f>
        <v>570864000</v>
      </c>
      <c r="G21" s="119">
        <f>'SGTO POAI SEPT 30'!BH37</f>
        <v>201786664</v>
      </c>
      <c r="H21" s="119">
        <f>'SGTO POAI SEPT 30'!BI37</f>
        <v>158266664</v>
      </c>
    </row>
    <row r="22" spans="1:11" ht="18" customHeight="1" thickBot="1" x14ac:dyDescent="0.25">
      <c r="A22" s="136"/>
      <c r="B22" s="548" t="s">
        <v>1360</v>
      </c>
      <c r="C22" s="549"/>
      <c r="D22" s="549"/>
      <c r="E22" s="565"/>
      <c r="F22" s="117">
        <f>SUM(F23:F37)</f>
        <v>5387573974.4699993</v>
      </c>
      <c r="G22" s="117">
        <f>SUM(G23:G37)</f>
        <v>906775998</v>
      </c>
      <c r="H22" s="117">
        <f>SUM(H23:H37)</f>
        <v>440188008</v>
      </c>
      <c r="I22" s="73"/>
      <c r="J22" s="73"/>
      <c r="K22" s="73"/>
    </row>
    <row r="23" spans="1:11" ht="33.75" x14ac:dyDescent="0.2">
      <c r="A23" s="136">
        <v>13</v>
      </c>
      <c r="B23" s="571" t="s">
        <v>1</v>
      </c>
      <c r="C23" s="263" t="s">
        <v>182</v>
      </c>
      <c r="D23" s="106" t="s">
        <v>189</v>
      </c>
      <c r="E23" s="263" t="s">
        <v>190</v>
      </c>
      <c r="F23" s="107">
        <f>'SGTO POAI SEPT 30'!BG42</f>
        <v>3000000</v>
      </c>
      <c r="G23" s="107">
        <f>'SGTO POAI SEPT 30'!BH42</f>
        <v>0</v>
      </c>
      <c r="H23" s="113">
        <f>'SGTO POAI SEPT 30'!BI42</f>
        <v>0</v>
      </c>
    </row>
    <row r="24" spans="1:11" ht="33.75" x14ac:dyDescent="0.2">
      <c r="A24" s="136">
        <v>14</v>
      </c>
      <c r="B24" s="571"/>
      <c r="C24" s="264" t="s">
        <v>191</v>
      </c>
      <c r="D24" s="69" t="s">
        <v>198</v>
      </c>
      <c r="E24" s="264" t="s">
        <v>199</v>
      </c>
      <c r="F24" s="74">
        <f>'SGTO POAI SEPT 30'!BG44</f>
        <v>2000000</v>
      </c>
      <c r="G24" s="74">
        <f>'SGTO POAI SEPT 30'!BH44</f>
        <v>0</v>
      </c>
      <c r="H24" s="70">
        <f>'SGTO POAI SEPT 30'!BI44</f>
        <v>0</v>
      </c>
    </row>
    <row r="25" spans="1:11" ht="56.25" customHeight="1" x14ac:dyDescent="0.2">
      <c r="A25" s="568">
        <v>15</v>
      </c>
      <c r="B25" s="571"/>
      <c r="C25" s="264" t="s">
        <v>200</v>
      </c>
      <c r="D25" s="69" t="s">
        <v>208</v>
      </c>
      <c r="E25" s="264" t="s">
        <v>209</v>
      </c>
      <c r="F25" s="74">
        <f>'SGTO POAI SEPT 30'!BG46</f>
        <v>628874337</v>
      </c>
      <c r="G25" s="74">
        <f>'SGTO POAI SEPT 30'!BH46</f>
        <v>265502333</v>
      </c>
      <c r="H25" s="70">
        <f>'SGTO POAI SEPT 30'!BI46</f>
        <v>191670325</v>
      </c>
    </row>
    <row r="26" spans="1:11" ht="33.75" customHeight="1" x14ac:dyDescent="0.2">
      <c r="A26" s="568"/>
      <c r="B26" s="571"/>
      <c r="C26" s="264" t="s">
        <v>210</v>
      </c>
      <c r="D26" s="69" t="s">
        <v>208</v>
      </c>
      <c r="E26" s="264" t="s">
        <v>209</v>
      </c>
      <c r="F26" s="74">
        <f>'SGTO POAI SEPT 30'!BG48</f>
        <v>50000000</v>
      </c>
      <c r="G26" s="74">
        <f>'SGTO POAI SEPT 30'!BH48</f>
        <v>14400000</v>
      </c>
      <c r="H26" s="70">
        <f>'SGTO POAI SEPT 30'!BI48</f>
        <v>0</v>
      </c>
    </row>
    <row r="27" spans="1:11" ht="33.75" x14ac:dyDescent="0.2">
      <c r="A27" s="568"/>
      <c r="B27" s="571"/>
      <c r="C27" s="264" t="s">
        <v>218</v>
      </c>
      <c r="D27" s="69" t="s">
        <v>208</v>
      </c>
      <c r="E27" s="264" t="s">
        <v>209</v>
      </c>
      <c r="F27" s="74">
        <f>'SGTO POAI SEPT 30'!BG50</f>
        <v>977810591.28999996</v>
      </c>
      <c r="G27" s="74">
        <f>'SGTO POAI SEPT 30'!BH50</f>
        <v>347804333</v>
      </c>
      <c r="H27" s="70">
        <f>'SGTO POAI SEPT 30'!BI50</f>
        <v>98892000</v>
      </c>
    </row>
    <row r="28" spans="1:11" s="68" customFormat="1" ht="36.75" customHeight="1" x14ac:dyDescent="0.25">
      <c r="A28" s="568"/>
      <c r="B28" s="571"/>
      <c r="C28" s="264" t="s">
        <v>225</v>
      </c>
      <c r="D28" s="69" t="s">
        <v>208</v>
      </c>
      <c r="E28" s="264" t="s">
        <v>209</v>
      </c>
      <c r="F28" s="74">
        <f>'SGTO POAI SEPT 30'!BG52</f>
        <v>64725314.580000043</v>
      </c>
      <c r="G28" s="74">
        <f>'SGTO POAI SEPT 30'!BH52</f>
        <v>0</v>
      </c>
      <c r="H28" s="70">
        <f>'SGTO POAI SEPT 30'!BI52</f>
        <v>0</v>
      </c>
    </row>
    <row r="29" spans="1:11" ht="39.75" customHeight="1" x14ac:dyDescent="0.2">
      <c r="A29" s="568">
        <v>16</v>
      </c>
      <c r="B29" s="551" t="s">
        <v>2</v>
      </c>
      <c r="C29" s="264" t="s">
        <v>229</v>
      </c>
      <c r="D29" s="69" t="s">
        <v>235</v>
      </c>
      <c r="E29" s="264" t="s">
        <v>236</v>
      </c>
      <c r="F29" s="74">
        <f>'SGTO POAI SEPT 30'!BG55</f>
        <v>2000000</v>
      </c>
      <c r="G29" s="74">
        <f>'SGTO POAI SEPT 30'!BH55</f>
        <v>0</v>
      </c>
      <c r="H29" s="70">
        <f>'SGTO POAI SEPT 30'!BI55</f>
        <v>0</v>
      </c>
    </row>
    <row r="30" spans="1:11" ht="39.75" customHeight="1" x14ac:dyDescent="0.2">
      <c r="A30" s="568"/>
      <c r="B30" s="551"/>
      <c r="C30" s="264" t="s">
        <v>237</v>
      </c>
      <c r="D30" s="69" t="s">
        <v>235</v>
      </c>
      <c r="E30" s="264" t="s">
        <v>241</v>
      </c>
      <c r="F30" s="77">
        <f>'SGTO POAI SEPT 30'!BG57</f>
        <v>1000000</v>
      </c>
      <c r="G30" s="77">
        <f>'SGTO POAI SEPT 30'!BH57</f>
        <v>0</v>
      </c>
      <c r="H30" s="283">
        <f>'SGTO POAI SEPT 30'!BI57</f>
        <v>0</v>
      </c>
    </row>
    <row r="31" spans="1:11" ht="39.75" customHeight="1" x14ac:dyDescent="0.2">
      <c r="A31" s="568">
        <v>17</v>
      </c>
      <c r="B31" s="551" t="s">
        <v>3</v>
      </c>
      <c r="C31" s="264" t="s">
        <v>242</v>
      </c>
      <c r="D31" s="69" t="s">
        <v>247</v>
      </c>
      <c r="E31" s="264" t="s">
        <v>248</v>
      </c>
      <c r="F31" s="74">
        <f>'SGTO POAI SEPT 30'!BG60</f>
        <v>469025413.94</v>
      </c>
      <c r="G31" s="74">
        <f>'SGTO POAI SEPT 30'!BH60</f>
        <v>270669332</v>
      </c>
      <c r="H31" s="70">
        <f>'SGTO POAI SEPT 30'!BI60</f>
        <v>149625683</v>
      </c>
    </row>
    <row r="32" spans="1:11" ht="39.75" customHeight="1" x14ac:dyDescent="0.2">
      <c r="A32" s="568"/>
      <c r="B32" s="551"/>
      <c r="C32" s="264" t="s">
        <v>250</v>
      </c>
      <c r="D32" s="69" t="s">
        <v>235</v>
      </c>
      <c r="E32" s="264" t="s">
        <v>236</v>
      </c>
      <c r="F32" s="74">
        <f>'SGTO POAI SEPT 30'!BG62</f>
        <v>1000000</v>
      </c>
      <c r="G32" s="74">
        <f>'SGTO POAI SEPT 30'!BH62</f>
        <v>0</v>
      </c>
      <c r="H32" s="70">
        <f>'SGTO POAI SEPT 30'!BI62</f>
        <v>0</v>
      </c>
    </row>
    <row r="33" spans="1:11" ht="39.75" customHeight="1" x14ac:dyDescent="0.2">
      <c r="A33" s="568"/>
      <c r="B33" s="551"/>
      <c r="C33" s="264" t="s">
        <v>255</v>
      </c>
      <c r="D33" s="69" t="s">
        <v>247</v>
      </c>
      <c r="E33" s="264" t="s">
        <v>248</v>
      </c>
      <c r="F33" s="74">
        <f>'SGTO POAI SEPT 30'!BG64</f>
        <v>170360668</v>
      </c>
      <c r="G33" s="74">
        <f>'SGTO POAI SEPT 30'!BH64</f>
        <v>0</v>
      </c>
      <c r="H33" s="70">
        <f>'SGTO POAI SEPT 30'!BI64</f>
        <v>0</v>
      </c>
    </row>
    <row r="34" spans="1:11" ht="39.75" customHeight="1" x14ac:dyDescent="0.2">
      <c r="A34" s="136"/>
      <c r="B34" s="551"/>
      <c r="C34" s="264" t="s">
        <v>259</v>
      </c>
      <c r="D34" s="69" t="s">
        <v>208</v>
      </c>
      <c r="E34" s="264" t="s">
        <v>209</v>
      </c>
      <c r="F34" s="74">
        <f>'SGTO POAI SEPT 30'!BG66</f>
        <v>129129296.87</v>
      </c>
      <c r="G34" s="74">
        <f>'SGTO POAI SEPT 30'!BH66</f>
        <v>0</v>
      </c>
      <c r="H34" s="70">
        <f>'SGTO POAI SEPT 30'!BI66</f>
        <v>0</v>
      </c>
    </row>
    <row r="35" spans="1:11" ht="45" customHeight="1" x14ac:dyDescent="0.2">
      <c r="A35" s="136">
        <v>18</v>
      </c>
      <c r="B35" s="551"/>
      <c r="C35" s="264" t="s">
        <v>265</v>
      </c>
      <c r="D35" s="69" t="s">
        <v>272</v>
      </c>
      <c r="E35" s="264" t="s">
        <v>273</v>
      </c>
      <c r="F35" s="74">
        <f>'SGTO POAI SEPT 30'!BG67</f>
        <v>2791946111.0500002</v>
      </c>
      <c r="G35" s="74">
        <f>'SGTO POAI SEPT 30'!BH67</f>
        <v>0</v>
      </c>
      <c r="H35" s="70">
        <f>'SGTO POAI SEPT 30'!BI67</f>
        <v>0</v>
      </c>
    </row>
    <row r="36" spans="1:11" ht="47.25" customHeight="1" x14ac:dyDescent="0.2">
      <c r="A36" s="136"/>
      <c r="B36" s="551" t="s">
        <v>117</v>
      </c>
      <c r="C36" s="264" t="s">
        <v>93</v>
      </c>
      <c r="D36" s="69" t="s">
        <v>208</v>
      </c>
      <c r="E36" s="264" t="s">
        <v>209</v>
      </c>
      <c r="F36" s="74">
        <f>'SGTO POAI SEPT 30'!BG75</f>
        <v>72674512.579999998</v>
      </c>
      <c r="G36" s="74">
        <f>'SGTO POAI SEPT 30'!BH75</f>
        <v>8400000</v>
      </c>
      <c r="H36" s="70">
        <f>'SGTO POAI SEPT 30'!BI75</f>
        <v>0</v>
      </c>
    </row>
    <row r="37" spans="1:11" ht="46.5" customHeight="1" thickBot="1" x14ac:dyDescent="0.25">
      <c r="A37" s="136"/>
      <c r="B37" s="552"/>
      <c r="C37" s="265" t="s">
        <v>108</v>
      </c>
      <c r="D37" s="75" t="s">
        <v>208</v>
      </c>
      <c r="E37" s="265" t="s">
        <v>209</v>
      </c>
      <c r="F37" s="76">
        <f>'SGTO POAI SEPT 30'!BG77</f>
        <v>24027729.16</v>
      </c>
      <c r="G37" s="76">
        <f>'SGTO POAI SEPT 30'!BH77</f>
        <v>0</v>
      </c>
      <c r="H37" s="119">
        <f>'SGTO POAI SEPT 30'!BI77</f>
        <v>0</v>
      </c>
    </row>
    <row r="38" spans="1:11" ht="18" customHeight="1" thickBot="1" x14ac:dyDescent="0.25">
      <c r="A38" s="136"/>
      <c r="B38" s="548" t="s">
        <v>1361</v>
      </c>
      <c r="C38" s="549"/>
      <c r="D38" s="549"/>
      <c r="E38" s="549"/>
      <c r="F38" s="114">
        <f>SUM(F39:F53)</f>
        <v>3830220594.3099999</v>
      </c>
      <c r="G38" s="114">
        <f t="shared" ref="G38:H38" si="3">SUM(G39:G53)</f>
        <v>634043541</v>
      </c>
      <c r="H38" s="115">
        <f t="shared" si="3"/>
        <v>227165658</v>
      </c>
      <c r="I38" s="73"/>
      <c r="J38" s="73"/>
      <c r="K38" s="73"/>
    </row>
    <row r="39" spans="1:11" ht="22.5" x14ac:dyDescent="0.2">
      <c r="A39" s="136">
        <v>19</v>
      </c>
      <c r="B39" s="550" t="s">
        <v>1</v>
      </c>
      <c r="C39" s="263" t="s">
        <v>182</v>
      </c>
      <c r="D39" s="106" t="s">
        <v>302</v>
      </c>
      <c r="E39" s="263" t="s">
        <v>303</v>
      </c>
      <c r="F39" s="107">
        <f>'SGTO POAI SEPT 30'!BG82</f>
        <v>112128400</v>
      </c>
      <c r="G39" s="107">
        <f>'SGTO POAI SEPT 30'!BH82</f>
        <v>36460000</v>
      </c>
      <c r="H39" s="113">
        <f>'SGTO POAI SEPT 30'!BI82</f>
        <v>14000000</v>
      </c>
    </row>
    <row r="40" spans="1:11" ht="33.75" x14ac:dyDescent="0.2">
      <c r="A40" s="568">
        <v>20</v>
      </c>
      <c r="B40" s="551"/>
      <c r="C40" s="264" t="s">
        <v>304</v>
      </c>
      <c r="D40" s="69" t="s">
        <v>309</v>
      </c>
      <c r="E40" s="264" t="s">
        <v>310</v>
      </c>
      <c r="F40" s="74">
        <f>'SGTO POAI SEPT 30'!BG84</f>
        <v>15000000</v>
      </c>
      <c r="G40" s="74">
        <f>'SGTO POAI SEPT 30'!BH84</f>
        <v>620000</v>
      </c>
      <c r="H40" s="70">
        <f>'SGTO POAI SEPT 30'!BI84</f>
        <v>620000</v>
      </c>
    </row>
    <row r="41" spans="1:11" ht="45" x14ac:dyDescent="0.2">
      <c r="A41" s="568"/>
      <c r="B41" s="551"/>
      <c r="C41" s="264" t="s">
        <v>311</v>
      </c>
      <c r="D41" s="69" t="s">
        <v>309</v>
      </c>
      <c r="E41" s="264" t="s">
        <v>310</v>
      </c>
      <c r="F41" s="74">
        <f>'SGTO POAI SEPT 30'!BG86</f>
        <v>15000000</v>
      </c>
      <c r="G41" s="74">
        <f>'SGTO POAI SEPT 30'!BH86</f>
        <v>620000</v>
      </c>
      <c r="H41" s="70">
        <f>'SGTO POAI SEPT 30'!BI86</f>
        <v>620000</v>
      </c>
    </row>
    <row r="42" spans="1:11" ht="43.5" customHeight="1" x14ac:dyDescent="0.2">
      <c r="A42" s="136">
        <v>21</v>
      </c>
      <c r="B42" s="551"/>
      <c r="C42" s="264" t="s">
        <v>200</v>
      </c>
      <c r="D42" s="69" t="s">
        <v>320</v>
      </c>
      <c r="E42" s="264" t="s">
        <v>321</v>
      </c>
      <c r="F42" s="74">
        <f>'SGTO POAI SEPT 30'!BG88</f>
        <v>201866667</v>
      </c>
      <c r="G42" s="74">
        <f>'SGTO POAI SEPT 30'!BH88</f>
        <v>13442666</v>
      </c>
      <c r="H42" s="70">
        <f>'SGTO POAI SEPT 30'!BI88</f>
        <v>2800000</v>
      </c>
    </row>
    <row r="43" spans="1:11" ht="39.75" customHeight="1" x14ac:dyDescent="0.2">
      <c r="A43" s="136">
        <v>22</v>
      </c>
      <c r="B43" s="551"/>
      <c r="C43" s="264" t="s">
        <v>322</v>
      </c>
      <c r="D43" s="69" t="s">
        <v>329</v>
      </c>
      <c r="E43" s="264" t="s">
        <v>330</v>
      </c>
      <c r="F43" s="74">
        <f>'SGTO POAI SEPT 30'!BG89</f>
        <v>522730761</v>
      </c>
      <c r="G43" s="74">
        <f>'SGTO POAI SEPT 30'!BH89</f>
        <v>115701436</v>
      </c>
      <c r="H43" s="70">
        <f>'SGTO POAI SEPT 30'!BI89</f>
        <v>45371460</v>
      </c>
    </row>
    <row r="44" spans="1:11" ht="51" customHeight="1" x14ac:dyDescent="0.2">
      <c r="A44" s="136">
        <v>23</v>
      </c>
      <c r="B44" s="551"/>
      <c r="C44" s="264" t="s">
        <v>349</v>
      </c>
      <c r="D44" s="69" t="s">
        <v>355</v>
      </c>
      <c r="E44" s="264" t="s">
        <v>356</v>
      </c>
      <c r="F44" s="74">
        <f>'SGTO POAI SEPT 30'!BG96</f>
        <v>15738667</v>
      </c>
      <c r="G44" s="74">
        <f>'SGTO POAI SEPT 30'!BH96</f>
        <v>1238667</v>
      </c>
      <c r="H44" s="70">
        <f>'SGTO POAI SEPT 30'!BI96</f>
        <v>0</v>
      </c>
    </row>
    <row r="45" spans="1:11" ht="38.25" customHeight="1" x14ac:dyDescent="0.2">
      <c r="A45" s="136"/>
      <c r="B45" s="551"/>
      <c r="C45" s="570" t="s">
        <v>357</v>
      </c>
      <c r="D45" s="69" t="s">
        <v>309</v>
      </c>
      <c r="E45" s="264" t="s">
        <v>310</v>
      </c>
      <c r="F45" s="74">
        <f>'SGTO POAI SEPT 30'!BG98</f>
        <v>2192073558.0099998</v>
      </c>
      <c r="G45" s="74">
        <f>'SGTO POAI SEPT 30'!BH98</f>
        <v>118600000</v>
      </c>
      <c r="H45" s="70">
        <f>'SGTO POAI SEPT 30'!BI98</f>
        <v>12400000</v>
      </c>
    </row>
    <row r="46" spans="1:11" ht="51" customHeight="1" x14ac:dyDescent="0.2">
      <c r="A46" s="136"/>
      <c r="B46" s="551"/>
      <c r="C46" s="570"/>
      <c r="D46" s="69" t="s">
        <v>355</v>
      </c>
      <c r="E46" s="264" t="s">
        <v>356</v>
      </c>
      <c r="F46" s="74">
        <f>'SGTO POAI SEPT 30'!BG99</f>
        <v>94000000</v>
      </c>
      <c r="G46" s="74">
        <f>'SGTO POAI SEPT 30'!BH99</f>
        <v>35472371</v>
      </c>
      <c r="H46" s="70">
        <f>'SGTO POAI SEPT 30'!BI99</f>
        <v>19392334</v>
      </c>
    </row>
    <row r="47" spans="1:11" ht="36.75" customHeight="1" x14ac:dyDescent="0.2">
      <c r="A47" s="136">
        <v>24</v>
      </c>
      <c r="B47" s="551"/>
      <c r="C47" s="570"/>
      <c r="D47" s="69" t="s">
        <v>370</v>
      </c>
      <c r="E47" s="264" t="s">
        <v>371</v>
      </c>
      <c r="F47" s="74">
        <f>'SGTO POAI SEPT 30'!BG100</f>
        <v>75000000</v>
      </c>
      <c r="G47" s="74">
        <f>'SGTO POAI SEPT 30'!BH100</f>
        <v>34630000</v>
      </c>
      <c r="H47" s="70">
        <f>'SGTO POAI SEPT 30'!BI100</f>
        <v>0</v>
      </c>
    </row>
    <row r="48" spans="1:11" ht="33.75" x14ac:dyDescent="0.2">
      <c r="A48" s="568">
        <v>25</v>
      </c>
      <c r="B48" s="569" t="s">
        <v>3</v>
      </c>
      <c r="C48" s="264" t="s">
        <v>255</v>
      </c>
      <c r="D48" s="69" t="s">
        <v>320</v>
      </c>
      <c r="E48" s="264" t="s">
        <v>321</v>
      </c>
      <c r="F48" s="74">
        <f>'SGTO POAI SEPT 30'!BG102</f>
        <v>37702666</v>
      </c>
      <c r="G48" s="74">
        <f>'SGTO POAI SEPT 30'!BH102</f>
        <v>20533333</v>
      </c>
      <c r="H48" s="70">
        <f>'SGTO POAI SEPT 30'!BI102</f>
        <v>0</v>
      </c>
    </row>
    <row r="49" spans="1:11" ht="33.75" x14ac:dyDescent="0.2">
      <c r="A49" s="568"/>
      <c r="B49" s="569"/>
      <c r="C49" s="570" t="s">
        <v>378</v>
      </c>
      <c r="D49" s="69" t="s">
        <v>320</v>
      </c>
      <c r="E49" s="264" t="s">
        <v>321</v>
      </c>
      <c r="F49" s="74">
        <f>SUM('SGTO POAI SEPT 30'!BG106:BG107)</f>
        <v>325579598</v>
      </c>
      <c r="G49" s="74">
        <f>SUM('SGTO POAI SEPT 30'!BH106:BH107)</f>
        <v>155937735</v>
      </c>
      <c r="H49" s="70">
        <f>SUM('SGTO POAI SEPT 30'!BI106:BI107)</f>
        <v>85591197</v>
      </c>
    </row>
    <row r="50" spans="1:11" ht="22.5" x14ac:dyDescent="0.2">
      <c r="A50" s="568"/>
      <c r="B50" s="569"/>
      <c r="C50" s="570"/>
      <c r="D50" s="69" t="s">
        <v>391</v>
      </c>
      <c r="E50" s="264" t="s">
        <v>392</v>
      </c>
      <c r="F50" s="74">
        <f>'SGTO POAI SEPT 30'!BG108</f>
        <v>73229610.299999997</v>
      </c>
      <c r="G50" s="74">
        <f>'SGTO POAI SEPT 30'!BH108</f>
        <v>11666666</v>
      </c>
      <c r="H50" s="70">
        <f>'SGTO POAI SEPT 30'!BI108</f>
        <v>5000000</v>
      </c>
    </row>
    <row r="51" spans="1:11" ht="32.25" customHeight="1" x14ac:dyDescent="0.2">
      <c r="A51" s="136"/>
      <c r="B51" s="569" t="s">
        <v>117</v>
      </c>
      <c r="C51" s="570" t="s">
        <v>108</v>
      </c>
      <c r="D51" s="69" t="s">
        <v>370</v>
      </c>
      <c r="E51" s="264" t="s">
        <v>371</v>
      </c>
      <c r="F51" s="74">
        <f>SUM('SGTO POAI SEPT 30'!BG111:BG112)</f>
        <v>98270667</v>
      </c>
      <c r="G51" s="74">
        <f>SUM('SGTO POAI SEPT 30'!BH111:BH112)</f>
        <v>51584001</v>
      </c>
      <c r="H51" s="70">
        <f>SUM('SGTO POAI SEPT 30'!BI111:BI112)</f>
        <v>26970667</v>
      </c>
    </row>
    <row r="52" spans="1:11" ht="35.25" customHeight="1" x14ac:dyDescent="0.2">
      <c r="A52" s="136">
        <v>26</v>
      </c>
      <c r="B52" s="569"/>
      <c r="C52" s="570"/>
      <c r="D52" s="69" t="s">
        <v>404</v>
      </c>
      <c r="E52" s="264" t="s">
        <v>405</v>
      </c>
      <c r="F52" s="74">
        <f>SUM('SGTO POAI SEPT 30'!BG113:BG114)</f>
        <v>29900000</v>
      </c>
      <c r="G52" s="74">
        <f>SUM('SGTO POAI SEPT 30'!BH113:BH114)</f>
        <v>23146666</v>
      </c>
      <c r="H52" s="70">
        <f>SUM('SGTO POAI SEPT 30'!BI113:BI114)</f>
        <v>10400000</v>
      </c>
    </row>
    <row r="53" spans="1:11" ht="33.75" customHeight="1" thickBot="1" x14ac:dyDescent="0.25">
      <c r="A53" s="136">
        <v>27</v>
      </c>
      <c r="B53" s="573"/>
      <c r="C53" s="564"/>
      <c r="D53" s="75" t="s">
        <v>410</v>
      </c>
      <c r="E53" s="265" t="s">
        <v>411</v>
      </c>
      <c r="F53" s="76">
        <f>'SGTO POAI SEPT 30'!BG115</f>
        <v>22000000</v>
      </c>
      <c r="G53" s="76">
        <f>'SGTO POAI SEPT 30'!BH115</f>
        <v>14390000</v>
      </c>
      <c r="H53" s="119">
        <f>'SGTO POAI SEPT 30'!BI115</f>
        <v>4000000</v>
      </c>
    </row>
    <row r="54" spans="1:11" ht="17.25" customHeight="1" thickBot="1" x14ac:dyDescent="0.25">
      <c r="A54" s="136"/>
      <c r="B54" s="548" t="s">
        <v>1362</v>
      </c>
      <c r="C54" s="549"/>
      <c r="D54" s="549"/>
      <c r="E54" s="565"/>
      <c r="F54" s="121">
        <f>SUM(F55:F59)</f>
        <v>3003874935.3200002</v>
      </c>
      <c r="G54" s="121">
        <f t="shared" ref="G54:H54" si="4">SUM(G55:G59)</f>
        <v>580820000</v>
      </c>
      <c r="H54" s="120">
        <f t="shared" si="4"/>
        <v>357720000</v>
      </c>
      <c r="I54" s="73"/>
      <c r="J54" s="73"/>
      <c r="K54" s="73"/>
    </row>
    <row r="55" spans="1:11" ht="22.5" x14ac:dyDescent="0.2">
      <c r="A55" s="136">
        <v>28</v>
      </c>
      <c r="B55" s="566" t="s">
        <v>1</v>
      </c>
      <c r="C55" s="554" t="s">
        <v>210</v>
      </c>
      <c r="D55" s="106" t="s">
        <v>416</v>
      </c>
      <c r="E55" s="263" t="s">
        <v>417</v>
      </c>
      <c r="F55" s="107">
        <f>SUM('SGTO POAI SEPT 30'!BG120:BG121)</f>
        <v>1378852821.0799999</v>
      </c>
      <c r="G55" s="107">
        <f>SUM('SGTO POAI SEPT 30'!BH120:BH121)</f>
        <v>204300000</v>
      </c>
      <c r="H55" s="113">
        <f>SUM('SGTO POAI SEPT 30'!BI120:BI121)</f>
        <v>115440000</v>
      </c>
    </row>
    <row r="56" spans="1:11" ht="33.75" x14ac:dyDescent="0.2">
      <c r="A56" s="136">
        <v>29</v>
      </c>
      <c r="B56" s="574"/>
      <c r="C56" s="570"/>
      <c r="D56" s="69" t="s">
        <v>427</v>
      </c>
      <c r="E56" s="264" t="s">
        <v>428</v>
      </c>
      <c r="F56" s="74">
        <f>SUM('SGTO POAI SEPT 30'!BG122:BG123)</f>
        <v>204814218.74000001</v>
      </c>
      <c r="G56" s="74">
        <f>SUM('SGTO POAI SEPT 30'!BH122:BH123)</f>
        <v>0</v>
      </c>
      <c r="H56" s="70">
        <f>SUM('SGTO POAI SEPT 30'!BI122:BI123)</f>
        <v>0</v>
      </c>
    </row>
    <row r="57" spans="1:11" ht="45" x14ac:dyDescent="0.2">
      <c r="A57" s="136">
        <v>30</v>
      </c>
      <c r="B57" s="574"/>
      <c r="C57" s="570"/>
      <c r="D57" s="69" t="s">
        <v>439</v>
      </c>
      <c r="E57" s="264" t="s">
        <v>440</v>
      </c>
      <c r="F57" s="74">
        <f>'SGTO POAI SEPT 30'!BG124</f>
        <v>18000000</v>
      </c>
      <c r="G57" s="74">
        <f>'SGTO POAI SEPT 30'!BH124</f>
        <v>0</v>
      </c>
      <c r="H57" s="70">
        <f>'SGTO POAI SEPT 30'!BI124</f>
        <v>0</v>
      </c>
    </row>
    <row r="58" spans="1:11" ht="22.5" x14ac:dyDescent="0.2">
      <c r="A58" s="136">
        <v>31</v>
      </c>
      <c r="B58" s="574"/>
      <c r="C58" s="570"/>
      <c r="D58" s="69" t="s">
        <v>446</v>
      </c>
      <c r="E58" s="264" t="s">
        <v>447</v>
      </c>
      <c r="F58" s="74">
        <f>'SGTO POAI SEPT 30'!BG125</f>
        <v>1025653462.2</v>
      </c>
      <c r="G58" s="74">
        <f>'SGTO POAI SEPT 30'!BH125</f>
        <v>0</v>
      </c>
      <c r="H58" s="70">
        <f>'SGTO POAI SEPT 30'!BI125</f>
        <v>0</v>
      </c>
    </row>
    <row r="59" spans="1:11" ht="45.75" thickBot="1" x14ac:dyDescent="0.25">
      <c r="A59" s="136">
        <v>32</v>
      </c>
      <c r="B59" s="567"/>
      <c r="C59" s="265" t="s">
        <v>448</v>
      </c>
      <c r="D59" s="75" t="s">
        <v>454</v>
      </c>
      <c r="E59" s="265" t="s">
        <v>455</v>
      </c>
      <c r="F59" s="76">
        <f>'SGTO POAI SEPT 30'!BG126</f>
        <v>376554433.30000001</v>
      </c>
      <c r="G59" s="76">
        <f>'SGTO POAI SEPT 30'!BH126</f>
        <v>376520000</v>
      </c>
      <c r="H59" s="119">
        <f>'SGTO POAI SEPT 30'!BI126</f>
        <v>242280000</v>
      </c>
    </row>
    <row r="60" spans="1:11" ht="18.75" customHeight="1" thickBot="1" x14ac:dyDescent="0.25">
      <c r="A60" s="136"/>
      <c r="B60" s="548" t="s">
        <v>1363</v>
      </c>
      <c r="C60" s="549"/>
      <c r="D60" s="549"/>
      <c r="E60" s="549"/>
      <c r="F60" s="120">
        <f>SUM(F61:F65)</f>
        <v>2722170340.8499999</v>
      </c>
      <c r="G60" s="120">
        <f t="shared" ref="G60:H60" si="5">SUM(G61:G65)</f>
        <v>1621949989</v>
      </c>
      <c r="H60" s="117">
        <f t="shared" si="5"/>
        <v>420679998</v>
      </c>
      <c r="I60" s="73"/>
      <c r="J60" s="73"/>
      <c r="K60" s="73"/>
    </row>
    <row r="61" spans="1:11" ht="32.25" customHeight="1" x14ac:dyDescent="0.2">
      <c r="A61" s="136">
        <v>33</v>
      </c>
      <c r="B61" s="572" t="s">
        <v>2</v>
      </c>
      <c r="C61" s="554" t="s">
        <v>237</v>
      </c>
      <c r="D61" s="106" t="s">
        <v>466</v>
      </c>
      <c r="E61" s="263" t="s">
        <v>467</v>
      </c>
      <c r="F61" s="107">
        <f>SUM('SGTO POAI SEPT 30'!BG133:BG134)</f>
        <v>75000000</v>
      </c>
      <c r="G61" s="107">
        <f>SUM('SGTO POAI SEPT 30'!BH133:BH134)</f>
        <v>18666666</v>
      </c>
      <c r="H61" s="113">
        <f>SUM('SGTO POAI SEPT 30'!BI133:BI134)</f>
        <v>0</v>
      </c>
    </row>
    <row r="62" spans="1:11" ht="31.5" customHeight="1" x14ac:dyDescent="0.2">
      <c r="A62" s="136">
        <v>34</v>
      </c>
      <c r="B62" s="572"/>
      <c r="C62" s="570"/>
      <c r="D62" s="69" t="s">
        <v>477</v>
      </c>
      <c r="E62" s="264" t="s">
        <v>478</v>
      </c>
      <c r="F62" s="74">
        <f>SUM('SGTO POAI SEPT 30'!BG135:BG136)</f>
        <v>209600000</v>
      </c>
      <c r="G62" s="74">
        <f>SUM('SGTO POAI SEPT 30'!BH135:BH136)</f>
        <v>76179999</v>
      </c>
      <c r="H62" s="70">
        <f>SUM('SGTO POAI SEPT 30'!BI135:BI136)</f>
        <v>52013333</v>
      </c>
    </row>
    <row r="63" spans="1:11" ht="35.25" customHeight="1" x14ac:dyDescent="0.2">
      <c r="A63" s="136">
        <v>35</v>
      </c>
      <c r="B63" s="572"/>
      <c r="C63" s="570"/>
      <c r="D63" s="69" t="s">
        <v>488</v>
      </c>
      <c r="E63" s="264" t="s">
        <v>489</v>
      </c>
      <c r="F63" s="74">
        <f>SUM('SGTO POAI SEPT 30'!BG137:BG139)</f>
        <v>325007436</v>
      </c>
      <c r="G63" s="74">
        <f>SUM('SGTO POAI SEPT 30'!BH137:BH139)</f>
        <v>196133328</v>
      </c>
      <c r="H63" s="70">
        <f>SUM('SGTO POAI SEPT 30'!BI137:BI139)</f>
        <v>99439999</v>
      </c>
    </row>
    <row r="64" spans="1:11" ht="29.25" customHeight="1" x14ac:dyDescent="0.2">
      <c r="A64" s="136">
        <v>36</v>
      </c>
      <c r="B64" s="572"/>
      <c r="C64" s="570"/>
      <c r="D64" s="69" t="s">
        <v>498</v>
      </c>
      <c r="E64" s="264" t="s">
        <v>499</v>
      </c>
      <c r="F64" s="74">
        <f>'SGTO POAI SEPT 30'!BG140</f>
        <v>876877904.85000002</v>
      </c>
      <c r="G64" s="74">
        <f>'SGTO POAI SEPT 30'!BH140</f>
        <v>263943331</v>
      </c>
      <c r="H64" s="70">
        <f>'SGTO POAI SEPT 30'!BI140</f>
        <v>234826666</v>
      </c>
    </row>
    <row r="65" spans="1:11" ht="54" customHeight="1" thickBot="1" x14ac:dyDescent="0.25">
      <c r="A65" s="136">
        <v>37</v>
      </c>
      <c r="B65" s="575"/>
      <c r="C65" s="109" t="s">
        <v>500</v>
      </c>
      <c r="D65" s="110" t="s">
        <v>505</v>
      </c>
      <c r="E65" s="109" t="s">
        <v>506</v>
      </c>
      <c r="F65" s="111">
        <f>SUM('SGTO POAI SEPT 30'!BG141)</f>
        <v>1235685000</v>
      </c>
      <c r="G65" s="111">
        <f>SUM('SGTO POAI SEPT 30'!BH141)</f>
        <v>1067026665</v>
      </c>
      <c r="H65" s="112">
        <f>SUM('SGTO POAI SEPT 30'!BI141)</f>
        <v>34400000</v>
      </c>
    </row>
    <row r="66" spans="1:11" ht="20.25" customHeight="1" thickBot="1" x14ac:dyDescent="0.25">
      <c r="A66" s="136"/>
      <c r="B66" s="548" t="s">
        <v>1364</v>
      </c>
      <c r="C66" s="549"/>
      <c r="D66" s="549"/>
      <c r="E66" s="565"/>
      <c r="F66" s="108">
        <f>SUM(F67:F87)</f>
        <v>1618563166</v>
      </c>
      <c r="G66" s="108">
        <f t="shared" ref="G66:H66" si="6">SUM(G67:G87)</f>
        <v>687857654</v>
      </c>
      <c r="H66" s="108">
        <f t="shared" si="6"/>
        <v>352216664</v>
      </c>
      <c r="I66" s="73"/>
      <c r="J66" s="73"/>
      <c r="K66" s="73"/>
    </row>
    <row r="67" spans="1:11" ht="33" customHeight="1" x14ac:dyDescent="0.2">
      <c r="A67" s="136">
        <v>38</v>
      </c>
      <c r="B67" s="572" t="s">
        <v>2</v>
      </c>
      <c r="C67" s="553" t="s">
        <v>520</v>
      </c>
      <c r="D67" s="106" t="s">
        <v>526</v>
      </c>
      <c r="E67" s="263" t="s">
        <v>527</v>
      </c>
      <c r="F67" s="107">
        <f>SUM('SGTO POAI SEPT 30'!BG150:BG151)</f>
        <v>303794030</v>
      </c>
      <c r="G67" s="107">
        <f>SUM('SGTO POAI SEPT 30'!BH150:BH151)</f>
        <v>160049999</v>
      </c>
      <c r="H67" s="107">
        <f>SUM('SGTO POAI SEPT 30'!BI150:BI151)</f>
        <v>160049999</v>
      </c>
    </row>
    <row r="68" spans="1:11" ht="45.75" customHeight="1" x14ac:dyDescent="0.2">
      <c r="A68" s="136">
        <v>39</v>
      </c>
      <c r="B68" s="572"/>
      <c r="C68" s="553"/>
      <c r="D68" s="69" t="s">
        <v>539</v>
      </c>
      <c r="E68" s="264" t="s">
        <v>540</v>
      </c>
      <c r="F68" s="74">
        <f>'SGTO POAI SEPT 30'!BG152</f>
        <v>110000000</v>
      </c>
      <c r="G68" s="74">
        <f>'SGTO POAI SEPT 30'!BH152</f>
        <v>58633332</v>
      </c>
      <c r="H68" s="74">
        <f>'SGTO POAI SEPT 30'!BI152</f>
        <v>51466666</v>
      </c>
    </row>
    <row r="69" spans="1:11" ht="40.5" customHeight="1" x14ac:dyDescent="0.2">
      <c r="A69" s="136">
        <v>40</v>
      </c>
      <c r="B69" s="572"/>
      <c r="C69" s="553"/>
      <c r="D69" s="69" t="s">
        <v>546</v>
      </c>
      <c r="E69" s="264" t="s">
        <v>547</v>
      </c>
      <c r="F69" s="74">
        <f>SUM('SGTO POAI SEPT 30'!BG153:BG154)</f>
        <v>61400000</v>
      </c>
      <c r="G69" s="74">
        <f>SUM('SGTO POAI SEPT 30'!BH153:BH154)</f>
        <v>39000000</v>
      </c>
      <c r="H69" s="74">
        <f>SUM('SGTO POAI SEPT 30'!BI153:BI154)</f>
        <v>26400000</v>
      </c>
    </row>
    <row r="70" spans="1:11" ht="39" customHeight="1" x14ac:dyDescent="0.2">
      <c r="A70" s="136">
        <v>41</v>
      </c>
      <c r="B70" s="572"/>
      <c r="C70" s="553"/>
      <c r="D70" s="69" t="s">
        <v>1406</v>
      </c>
      <c r="E70" s="264" t="s">
        <v>555</v>
      </c>
      <c r="F70" s="74">
        <f>SUM('SGTO POAI SEPT 30'!BG155:BG156)</f>
        <v>50000000</v>
      </c>
      <c r="G70" s="74">
        <f>SUM('SGTO POAI SEPT 30'!BH155:BH156)</f>
        <v>33600000</v>
      </c>
      <c r="H70" s="74">
        <f>SUM('SGTO POAI SEPT 30'!BI155:BI156)</f>
        <v>0</v>
      </c>
    </row>
    <row r="71" spans="1:11" ht="41.25" customHeight="1" x14ac:dyDescent="0.2">
      <c r="A71" s="136">
        <v>42</v>
      </c>
      <c r="B71" s="572"/>
      <c r="C71" s="553"/>
      <c r="D71" s="69" t="s">
        <v>566</v>
      </c>
      <c r="E71" s="264" t="s">
        <v>567</v>
      </c>
      <c r="F71" s="74">
        <f>SUM('SGTO POAI SEPT 30'!BG157:BG159)</f>
        <v>39000000</v>
      </c>
      <c r="G71" s="74">
        <f>SUM('SGTO POAI SEPT 30'!BH157:BH159)</f>
        <v>0</v>
      </c>
      <c r="H71" s="74">
        <f>SUM('SGTO POAI SEPT 30'!BI157:BI159)</f>
        <v>0</v>
      </c>
    </row>
    <row r="72" spans="1:11" ht="38.25" customHeight="1" x14ac:dyDescent="0.2">
      <c r="A72" s="136">
        <v>43</v>
      </c>
      <c r="B72" s="572"/>
      <c r="C72" s="554"/>
      <c r="D72" s="69" t="s">
        <v>579</v>
      </c>
      <c r="E72" s="264" t="s">
        <v>580</v>
      </c>
      <c r="F72" s="74">
        <f>SUM('SGTO POAI SEPT 30'!BG160)</f>
        <v>30000000</v>
      </c>
      <c r="G72" s="74">
        <f>SUM('SGTO POAI SEPT 30'!BH160)</f>
        <v>24541665</v>
      </c>
      <c r="H72" s="74">
        <f>SUM('SGTO POAI SEPT 30'!BI160)</f>
        <v>0</v>
      </c>
    </row>
    <row r="73" spans="1:11" ht="56.25" customHeight="1" x14ac:dyDescent="0.2">
      <c r="A73" s="136"/>
      <c r="B73" s="572"/>
      <c r="C73" s="264" t="s">
        <v>581</v>
      </c>
      <c r="D73" s="69" t="s">
        <v>566</v>
      </c>
      <c r="E73" s="264" t="s">
        <v>4</v>
      </c>
      <c r="F73" s="74">
        <f>'SGTO POAI SEPT 30'!BG162</f>
        <v>40000000</v>
      </c>
      <c r="G73" s="74">
        <f>'SGTO POAI SEPT 30'!BH162</f>
        <v>15424999</v>
      </c>
      <c r="H73" s="74">
        <f>'SGTO POAI SEPT 30'!BI162</f>
        <v>0</v>
      </c>
    </row>
    <row r="74" spans="1:11" ht="48" customHeight="1" x14ac:dyDescent="0.2">
      <c r="A74" s="136">
        <v>44</v>
      </c>
      <c r="B74" s="572"/>
      <c r="C74" s="264" t="s">
        <v>587</v>
      </c>
      <c r="D74" s="69" t="s">
        <v>593</v>
      </c>
      <c r="E74" s="264" t="s">
        <v>594</v>
      </c>
      <c r="F74" s="74">
        <f>SUM('SGTO POAI SEPT 30'!BG164:BG165)</f>
        <v>40000000</v>
      </c>
      <c r="G74" s="74">
        <f>SUM('SGTO POAI SEPT 30'!BH164:BH165)</f>
        <v>24666666</v>
      </c>
      <c r="H74" s="74">
        <f>SUM('SGTO POAI SEPT 30'!BI164:BI165)</f>
        <v>0</v>
      </c>
    </row>
    <row r="75" spans="1:11" ht="45" customHeight="1" x14ac:dyDescent="0.2">
      <c r="A75" s="136"/>
      <c r="B75" s="572"/>
      <c r="C75" s="264" t="s">
        <v>600</v>
      </c>
      <c r="D75" s="69" t="s">
        <v>546</v>
      </c>
      <c r="E75" s="264" t="s">
        <v>547</v>
      </c>
      <c r="F75" s="74">
        <f>'SGTO POAI SEPT 30'!BG167</f>
        <v>12800000</v>
      </c>
      <c r="G75" s="74">
        <f>'SGTO POAI SEPT 30'!BH167</f>
        <v>5000000</v>
      </c>
      <c r="H75" s="74">
        <f>'SGTO POAI SEPT 30'!BI167</f>
        <v>5000000</v>
      </c>
    </row>
    <row r="76" spans="1:11" ht="42" customHeight="1" x14ac:dyDescent="0.2">
      <c r="A76" s="136"/>
      <c r="B76" s="572"/>
      <c r="C76" s="264" t="s">
        <v>606</v>
      </c>
      <c r="D76" s="69" t="s">
        <v>1406</v>
      </c>
      <c r="E76" s="264" t="s">
        <v>5</v>
      </c>
      <c r="F76" s="74">
        <f>'SGTO POAI SEPT 30'!BG169</f>
        <v>50000000</v>
      </c>
      <c r="G76" s="74">
        <f>'SGTO POAI SEPT 30'!BH169</f>
        <v>7933333</v>
      </c>
      <c r="H76" s="74">
        <f>'SGTO POAI SEPT 30'!BI169</f>
        <v>0</v>
      </c>
    </row>
    <row r="77" spans="1:11" ht="56.25" customHeight="1" x14ac:dyDescent="0.2">
      <c r="A77" s="136">
        <v>45</v>
      </c>
      <c r="B77" s="572"/>
      <c r="C77" s="264" t="s">
        <v>612</v>
      </c>
      <c r="D77" s="69" t="s">
        <v>617</v>
      </c>
      <c r="E77" s="264" t="s">
        <v>618</v>
      </c>
      <c r="F77" s="74">
        <f>'SGTO POAI SEPT 30'!BG171+'SGTO POAI SEPT 30'!BG172</f>
        <v>30519269</v>
      </c>
      <c r="G77" s="74">
        <f>'SGTO POAI SEPT 30'!BH171+'SGTO POAI SEPT 30'!BH172</f>
        <v>25366665</v>
      </c>
      <c r="H77" s="74">
        <f>'SGTO POAI SEPT 30'!BI171+'SGTO POAI SEPT 30'!BI172</f>
        <v>0</v>
      </c>
    </row>
    <row r="78" spans="1:11" ht="42.75" customHeight="1" x14ac:dyDescent="0.2">
      <c r="A78" s="136"/>
      <c r="B78" s="572"/>
      <c r="C78" s="264" t="s">
        <v>229</v>
      </c>
      <c r="D78" s="69" t="s">
        <v>579</v>
      </c>
      <c r="E78" s="264" t="s">
        <v>623</v>
      </c>
      <c r="F78" s="74">
        <f>SUM('SGTO POAI SEPT 30'!BG174:BG175)</f>
        <v>75000000</v>
      </c>
      <c r="G78" s="74">
        <f>SUM('SGTO POAI SEPT 30'!BH174:BH175)</f>
        <v>0</v>
      </c>
      <c r="H78" s="74">
        <f>SUM('SGTO POAI SEPT 30'!BI174:BI175)</f>
        <v>0</v>
      </c>
    </row>
    <row r="79" spans="1:11" ht="42" customHeight="1" x14ac:dyDescent="0.2">
      <c r="A79" s="136"/>
      <c r="B79" s="566"/>
      <c r="C79" s="264" t="s">
        <v>237</v>
      </c>
      <c r="D79" s="69" t="s">
        <v>546</v>
      </c>
      <c r="E79" s="264" t="s">
        <v>547</v>
      </c>
      <c r="F79" s="74">
        <f>SUM('SGTO POAI SEPT 30'!BG177:BG178)</f>
        <v>40000000</v>
      </c>
      <c r="G79" s="74">
        <f>SUM('SGTO POAI SEPT 30'!BH177:BH178)</f>
        <v>38933333</v>
      </c>
      <c r="H79" s="74">
        <f>SUM('SGTO POAI SEPT 30'!BI177:BI178)</f>
        <v>7800000</v>
      </c>
    </row>
    <row r="80" spans="1:11" ht="56.25" customHeight="1" x14ac:dyDescent="0.2">
      <c r="A80" s="136">
        <v>46</v>
      </c>
      <c r="B80" s="567" t="s">
        <v>3</v>
      </c>
      <c r="C80" s="264" t="s">
        <v>636</v>
      </c>
      <c r="D80" s="69" t="s">
        <v>642</v>
      </c>
      <c r="E80" s="264" t="s">
        <v>643</v>
      </c>
      <c r="F80" s="74">
        <f>SUM('SGTO POAI SEPT 30'!BG181)</f>
        <v>40000000</v>
      </c>
      <c r="G80" s="74">
        <f>SUM('SGTO POAI SEPT 30'!BH181)</f>
        <v>0</v>
      </c>
      <c r="H80" s="74">
        <f>SUM('SGTO POAI SEPT 30'!BI181)</f>
        <v>0</v>
      </c>
    </row>
    <row r="81" spans="1:11" ht="33" customHeight="1" x14ac:dyDescent="0.2">
      <c r="A81" s="136">
        <v>47</v>
      </c>
      <c r="B81" s="572"/>
      <c r="C81" s="570" t="s">
        <v>250</v>
      </c>
      <c r="D81" s="69" t="s">
        <v>648</v>
      </c>
      <c r="E81" s="264" t="s">
        <v>649</v>
      </c>
      <c r="F81" s="74">
        <f>SUM('SGTO POAI SEPT 30'!BG183)</f>
        <v>80000000</v>
      </c>
      <c r="G81" s="74">
        <f>SUM('SGTO POAI SEPT 30'!BH183)</f>
        <v>49132666</v>
      </c>
      <c r="H81" s="74">
        <f>SUM('SGTO POAI SEPT 30'!BI183)</f>
        <v>29533333</v>
      </c>
    </row>
    <row r="82" spans="1:11" ht="39" customHeight="1" x14ac:dyDescent="0.2">
      <c r="A82" s="136">
        <v>48</v>
      </c>
      <c r="B82" s="572"/>
      <c r="C82" s="570"/>
      <c r="D82" s="69" t="s">
        <v>655</v>
      </c>
      <c r="E82" s="264" t="s">
        <v>656</v>
      </c>
      <c r="F82" s="74">
        <f>SUM('SGTO POAI SEPT 30'!BG184:BG185)</f>
        <v>450049867</v>
      </c>
      <c r="G82" s="74">
        <f>SUM('SGTO POAI SEPT 30'!BH184:BH185)</f>
        <v>152666664</v>
      </c>
      <c r="H82" s="74">
        <f>SUM('SGTO POAI SEPT 30'!BI184:BI185)</f>
        <v>51466666</v>
      </c>
    </row>
    <row r="83" spans="1:11" ht="38.25" customHeight="1" x14ac:dyDescent="0.2">
      <c r="A83" s="136">
        <v>49</v>
      </c>
      <c r="B83" s="572"/>
      <c r="C83" s="570"/>
      <c r="D83" s="69" t="s">
        <v>664</v>
      </c>
      <c r="E83" s="264" t="s">
        <v>665</v>
      </c>
      <c r="F83" s="74">
        <f>SUM('SGTO POAI SEPT 30'!BG186)</f>
        <v>30000000</v>
      </c>
      <c r="G83" s="74">
        <f>SUM('SGTO POAI SEPT 30'!BH186)</f>
        <v>11874999</v>
      </c>
      <c r="H83" s="74">
        <f>SUM('SGTO POAI SEPT 30'!BI186)</f>
        <v>0</v>
      </c>
    </row>
    <row r="84" spans="1:11" ht="22.5" x14ac:dyDescent="0.2">
      <c r="A84" s="136">
        <v>50</v>
      </c>
      <c r="B84" s="572"/>
      <c r="C84" s="570"/>
      <c r="D84" s="69" t="s">
        <v>670</v>
      </c>
      <c r="E84" s="264" t="s">
        <v>671</v>
      </c>
      <c r="F84" s="74">
        <f>SUM('SGTO POAI SEPT 30'!BG187)</f>
        <v>40000000</v>
      </c>
      <c r="G84" s="74">
        <f>SUM('SGTO POAI SEPT 30'!BH187)</f>
        <v>16700000</v>
      </c>
      <c r="H84" s="74">
        <f>SUM('SGTO POAI SEPT 30'!BI187)</f>
        <v>5500000</v>
      </c>
    </row>
    <row r="85" spans="1:11" ht="42.75" customHeight="1" x14ac:dyDescent="0.2">
      <c r="A85" s="136">
        <v>51</v>
      </c>
      <c r="B85" s="572"/>
      <c r="C85" s="264" t="s">
        <v>673</v>
      </c>
      <c r="D85" s="69" t="s">
        <v>679</v>
      </c>
      <c r="E85" s="264" t="s">
        <v>680</v>
      </c>
      <c r="F85" s="74">
        <f>SUM('SGTO POAI SEPT 30'!BG189)</f>
        <v>26000000</v>
      </c>
      <c r="G85" s="74">
        <f>SUM('SGTO POAI SEPT 30'!BH189)</f>
        <v>9333333</v>
      </c>
      <c r="H85" s="74">
        <f>SUM('SGTO POAI SEPT 30'!BI189)</f>
        <v>0</v>
      </c>
    </row>
    <row r="86" spans="1:11" ht="41.25" customHeight="1" x14ac:dyDescent="0.2">
      <c r="A86" s="136"/>
      <c r="B86" s="572"/>
      <c r="C86" s="264" t="s">
        <v>255</v>
      </c>
      <c r="D86" s="69" t="s">
        <v>670</v>
      </c>
      <c r="E86" s="264" t="s">
        <v>671</v>
      </c>
      <c r="F86" s="74">
        <f>'SGTO POAI SEPT 30'!BG191</f>
        <v>50000000</v>
      </c>
      <c r="G86" s="74">
        <f>'SGTO POAI SEPT 30'!BH191</f>
        <v>15000000</v>
      </c>
      <c r="H86" s="74">
        <f>'SGTO POAI SEPT 30'!BI191</f>
        <v>15000000</v>
      </c>
    </row>
    <row r="87" spans="1:11" ht="56.25" customHeight="1" thickBot="1" x14ac:dyDescent="0.25">
      <c r="A87" s="136">
        <v>52</v>
      </c>
      <c r="B87" s="572"/>
      <c r="C87" s="265" t="s">
        <v>686</v>
      </c>
      <c r="D87" s="75" t="s">
        <v>692</v>
      </c>
      <c r="E87" s="265" t="s">
        <v>6</v>
      </c>
      <c r="F87" s="76">
        <f>'SGTO POAI SEPT 30'!BG193</f>
        <v>20000000</v>
      </c>
      <c r="G87" s="76">
        <f>'SGTO POAI SEPT 30'!BH193</f>
        <v>0</v>
      </c>
      <c r="H87" s="76">
        <f>'SGTO POAI SEPT 30'!BI193</f>
        <v>0</v>
      </c>
    </row>
    <row r="88" spans="1:11" ht="15.75" customHeight="1" thickBot="1" x14ac:dyDescent="0.25">
      <c r="A88" s="136"/>
      <c r="B88" s="548" t="s">
        <v>1365</v>
      </c>
      <c r="C88" s="549"/>
      <c r="D88" s="549"/>
      <c r="E88" s="565"/>
      <c r="F88" s="117">
        <v>1291267429</v>
      </c>
      <c r="G88" s="117">
        <v>488543665.32999998</v>
      </c>
      <c r="H88" s="117">
        <v>302730666.32999998</v>
      </c>
      <c r="I88" s="73"/>
      <c r="J88" s="73"/>
      <c r="K88" s="73"/>
    </row>
    <row r="89" spans="1:11" ht="33.75" customHeight="1" x14ac:dyDescent="0.2">
      <c r="A89" s="136">
        <v>53</v>
      </c>
      <c r="B89" s="572" t="s">
        <v>91</v>
      </c>
      <c r="C89" s="553" t="s">
        <v>694</v>
      </c>
      <c r="D89" s="106" t="s">
        <v>698</v>
      </c>
      <c r="E89" s="263" t="s">
        <v>699</v>
      </c>
      <c r="F89" s="107">
        <f>'SGTO POAI SEPT 30'!BG198</f>
        <v>255021326</v>
      </c>
      <c r="G89" s="107">
        <f>'SGTO POAI SEPT 30'!BH198</f>
        <v>198380333.32999998</v>
      </c>
      <c r="H89" s="113">
        <f>'SGTO POAI SEPT 30'!BI198</f>
        <v>134665666.32999998</v>
      </c>
    </row>
    <row r="90" spans="1:11" ht="33.75" customHeight="1" x14ac:dyDescent="0.2">
      <c r="A90" s="136">
        <v>54</v>
      </c>
      <c r="B90" s="572"/>
      <c r="C90" s="554"/>
      <c r="D90" s="69" t="s">
        <v>704</v>
      </c>
      <c r="E90" s="264" t="s">
        <v>705</v>
      </c>
      <c r="F90" s="74">
        <f>'SGTO POAI SEPT 30'!BG199</f>
        <v>786246103</v>
      </c>
      <c r="G90" s="74">
        <f>'SGTO POAI SEPT 30'!BH199</f>
        <v>290163332</v>
      </c>
      <c r="H90" s="70">
        <f>'SGTO POAI SEPT 30'!BI199</f>
        <v>168065000</v>
      </c>
    </row>
    <row r="91" spans="1:11" ht="51.75" customHeight="1" thickBot="1" x14ac:dyDescent="0.25">
      <c r="A91" s="136">
        <v>55</v>
      </c>
      <c r="B91" s="572"/>
      <c r="C91" s="265" t="s">
        <v>108</v>
      </c>
      <c r="D91" s="75" t="s">
        <v>709</v>
      </c>
      <c r="E91" s="265" t="s">
        <v>710</v>
      </c>
      <c r="F91" s="76">
        <f>'SGTO POAI SEPT 30'!BG201</f>
        <v>250000000</v>
      </c>
      <c r="G91" s="76">
        <f>'SGTO POAI SEPT 30'!BH201</f>
        <v>0</v>
      </c>
      <c r="H91" s="119">
        <f>'SGTO POAI SEPT 30'!BI201</f>
        <v>0</v>
      </c>
      <c r="I91" s="276"/>
    </row>
    <row r="92" spans="1:11" s="93" customFormat="1" ht="18" customHeight="1" thickBot="1" x14ac:dyDescent="0.25">
      <c r="A92" s="137"/>
      <c r="B92" s="548" t="s">
        <v>1366</v>
      </c>
      <c r="C92" s="549"/>
      <c r="D92" s="549"/>
      <c r="E92" s="565"/>
      <c r="F92" s="108">
        <f>SUM(F93:F105)</f>
        <v>179058544424.88</v>
      </c>
      <c r="G92" s="108">
        <f t="shared" ref="G92:H92" si="7">SUM(G93:G105)</f>
        <v>127325536038</v>
      </c>
      <c r="H92" s="108">
        <f t="shared" si="7"/>
        <v>119626101892</v>
      </c>
      <c r="I92" s="262"/>
      <c r="J92" s="262"/>
      <c r="K92" s="262"/>
    </row>
    <row r="93" spans="1:11" s="81" customFormat="1" ht="45" x14ac:dyDescent="0.2">
      <c r="A93" s="280">
        <v>56</v>
      </c>
      <c r="B93" s="571" t="s">
        <v>1</v>
      </c>
      <c r="C93" s="576" t="s">
        <v>200</v>
      </c>
      <c r="D93" s="122" t="s">
        <v>717</v>
      </c>
      <c r="E93" s="269" t="s">
        <v>718</v>
      </c>
      <c r="F93" s="123">
        <f>SUM('SGTO POAI SEPT 30'!BG206:BG207)</f>
        <v>20161748384.630001</v>
      </c>
      <c r="G93" s="123">
        <f>SUM('SGTO POAI SEPT 30'!BH206:BH207)</f>
        <v>17582161779</v>
      </c>
      <c r="H93" s="284">
        <f>SUM('SGTO POAI SEPT 30'!BI206:BI207)</f>
        <v>10616769645</v>
      </c>
    </row>
    <row r="94" spans="1:11" s="81" customFormat="1" ht="33.75" x14ac:dyDescent="0.2">
      <c r="A94" s="280">
        <v>57</v>
      </c>
      <c r="B94" s="571"/>
      <c r="C94" s="576"/>
      <c r="D94" s="78" t="s">
        <v>729</v>
      </c>
      <c r="E94" s="79" t="s">
        <v>730</v>
      </c>
      <c r="F94" s="80">
        <f>SUM('SGTO POAI SEPT 30'!BG208:BG209)</f>
        <v>1632000000</v>
      </c>
      <c r="G94" s="80">
        <f>SUM('SGTO POAI SEPT 30'!BH208:BH209)</f>
        <v>1187277568</v>
      </c>
      <c r="H94" s="285">
        <f>SUM('SGTO POAI SEPT 30'!BI208:BI209)</f>
        <v>825138344</v>
      </c>
    </row>
    <row r="95" spans="1:11" s="81" customFormat="1" ht="22.5" x14ac:dyDescent="0.2">
      <c r="A95" s="280">
        <v>58</v>
      </c>
      <c r="B95" s="571"/>
      <c r="C95" s="576"/>
      <c r="D95" s="78" t="s">
        <v>741</v>
      </c>
      <c r="E95" s="79" t="s">
        <v>8</v>
      </c>
      <c r="F95" s="80">
        <f>SUM('SGTO POAI SEPT 30'!BG210)</f>
        <v>151921135464.94</v>
      </c>
      <c r="G95" s="80">
        <f>SUM('SGTO POAI SEPT 30'!BH210)</f>
        <v>106048503639</v>
      </c>
      <c r="H95" s="285">
        <f>SUM('SGTO POAI SEPT 30'!BI210)</f>
        <v>105801656230</v>
      </c>
    </row>
    <row r="96" spans="1:11" s="81" customFormat="1" ht="33.75" x14ac:dyDescent="0.2">
      <c r="A96" s="280">
        <v>59</v>
      </c>
      <c r="B96" s="571"/>
      <c r="C96" s="576"/>
      <c r="D96" s="78" t="s">
        <v>742</v>
      </c>
      <c r="E96" s="79" t="s">
        <v>743</v>
      </c>
      <c r="F96" s="80">
        <f>SUM('SGTO POAI SEPT 30'!BG211)</f>
        <v>3762000000</v>
      </c>
      <c r="G96" s="80">
        <f>SUM('SGTO POAI SEPT 30'!BH211)</f>
        <v>1617561925</v>
      </c>
      <c r="H96" s="285">
        <f>SUM('SGTO POAI SEPT 30'!BI211)</f>
        <v>1600383925</v>
      </c>
    </row>
    <row r="97" spans="1:11" s="81" customFormat="1" ht="45" x14ac:dyDescent="0.2">
      <c r="A97" s="280">
        <v>60</v>
      </c>
      <c r="B97" s="571"/>
      <c r="C97" s="576"/>
      <c r="D97" s="78" t="s">
        <v>749</v>
      </c>
      <c r="E97" s="79" t="s">
        <v>750</v>
      </c>
      <c r="F97" s="80">
        <f>SUM('SGTO POAI SEPT 30'!BG212:BG217)</f>
        <v>471822075.30999994</v>
      </c>
      <c r="G97" s="80">
        <f>SUM('SGTO POAI SEPT 30'!BH212:BH217)</f>
        <v>111009467</v>
      </c>
      <c r="H97" s="285">
        <f>SUM('SGTO POAI SEPT 30'!BI212:BI217)</f>
        <v>41760000</v>
      </c>
    </row>
    <row r="98" spans="1:11" s="81" customFormat="1" ht="45" x14ac:dyDescent="0.2">
      <c r="A98" s="280">
        <v>61</v>
      </c>
      <c r="B98" s="571"/>
      <c r="C98" s="576"/>
      <c r="D98" s="78" t="s">
        <v>759</v>
      </c>
      <c r="E98" s="79" t="s">
        <v>760</v>
      </c>
      <c r="F98" s="80">
        <f>SUM('SGTO POAI SEPT 30'!BG218)</f>
        <v>20000000</v>
      </c>
      <c r="G98" s="80">
        <f>SUM('SGTO POAI SEPT 30'!BH218)</f>
        <v>19200000</v>
      </c>
      <c r="H98" s="285">
        <f>SUM('SGTO POAI SEPT 30'!BI218)</f>
        <v>19200000</v>
      </c>
    </row>
    <row r="99" spans="1:11" s="81" customFormat="1" ht="33.75" x14ac:dyDescent="0.2">
      <c r="A99" s="280">
        <v>62</v>
      </c>
      <c r="B99" s="571"/>
      <c r="C99" s="576"/>
      <c r="D99" s="78" t="s">
        <v>761</v>
      </c>
      <c r="E99" s="79" t="s">
        <v>762</v>
      </c>
      <c r="F99" s="80">
        <f>SUM('SGTO POAI SEPT 30'!BG219)</f>
        <v>76000000</v>
      </c>
      <c r="G99" s="80">
        <f>SUM('SGTO POAI SEPT 30'!BH219)</f>
        <v>12513333</v>
      </c>
      <c r="H99" s="285">
        <f>SUM('SGTO POAI SEPT 30'!BI219)</f>
        <v>12513333</v>
      </c>
    </row>
    <row r="100" spans="1:11" s="81" customFormat="1" ht="22.5" x14ac:dyDescent="0.2">
      <c r="A100" s="280">
        <v>63</v>
      </c>
      <c r="B100" s="571"/>
      <c r="C100" s="576"/>
      <c r="D100" s="78" t="s">
        <v>768</v>
      </c>
      <c r="E100" s="79" t="s">
        <v>769</v>
      </c>
      <c r="F100" s="80">
        <f>SUM('SGTO POAI SEPT 30'!BG220)</f>
        <v>40000000</v>
      </c>
      <c r="G100" s="80">
        <f>SUM('SGTO POAI SEPT 30'!BH220)</f>
        <v>25013333</v>
      </c>
      <c r="H100" s="285">
        <f>SUM('SGTO POAI SEPT 30'!BI220)</f>
        <v>15680000</v>
      </c>
    </row>
    <row r="101" spans="1:11" ht="33.75" x14ac:dyDescent="0.2">
      <c r="A101" s="280">
        <v>64</v>
      </c>
      <c r="B101" s="571"/>
      <c r="C101" s="576"/>
      <c r="D101" s="78" t="s">
        <v>774</v>
      </c>
      <c r="E101" s="79" t="s">
        <v>775</v>
      </c>
      <c r="F101" s="80">
        <f>SUM('SGTO POAI SEPT 30'!BG221:BG222)</f>
        <v>700000000</v>
      </c>
      <c r="G101" s="80">
        <f>SUM('SGTO POAI SEPT 30'!BH221:BH222)</f>
        <v>549272916</v>
      </c>
      <c r="H101" s="285">
        <f>SUM('SGTO POAI SEPT 30'!BI221:BI222)</f>
        <v>549272916</v>
      </c>
    </row>
    <row r="102" spans="1:11" ht="45" x14ac:dyDescent="0.2">
      <c r="A102" s="280">
        <v>65</v>
      </c>
      <c r="B102" s="571"/>
      <c r="C102" s="576"/>
      <c r="D102" s="78" t="s">
        <v>782</v>
      </c>
      <c r="E102" s="79" t="s">
        <v>783</v>
      </c>
      <c r="F102" s="80">
        <f>SUM('SGTO POAI SEPT 30'!BG223:BG225)</f>
        <v>20000000</v>
      </c>
      <c r="G102" s="80">
        <f>SUM('SGTO POAI SEPT 30'!BH223:BH225)</f>
        <v>0</v>
      </c>
      <c r="H102" s="285">
        <f>SUM('SGTO POAI SEPT 30'!BI223:BI225)</f>
        <v>0</v>
      </c>
    </row>
    <row r="103" spans="1:11" ht="33.75" x14ac:dyDescent="0.2">
      <c r="A103" s="280">
        <v>66</v>
      </c>
      <c r="B103" s="571"/>
      <c r="C103" s="577"/>
      <c r="D103" s="78" t="s">
        <v>794</v>
      </c>
      <c r="E103" s="79" t="s">
        <v>7</v>
      </c>
      <c r="F103" s="80">
        <f>SUM('SGTO POAI SEPT 30'!BG226)</f>
        <v>10000000</v>
      </c>
      <c r="G103" s="80">
        <f>SUM('SGTO POAI SEPT 30'!BH226)</f>
        <v>0</v>
      </c>
      <c r="H103" s="285">
        <f>SUM('SGTO POAI SEPT 30'!BI226)</f>
        <v>0</v>
      </c>
    </row>
    <row r="104" spans="1:11" ht="33.75" x14ac:dyDescent="0.2">
      <c r="A104" s="280">
        <v>67</v>
      </c>
      <c r="B104" s="571"/>
      <c r="C104" s="578" t="s">
        <v>795</v>
      </c>
      <c r="D104" s="78" t="s">
        <v>761</v>
      </c>
      <c r="E104" s="79" t="s">
        <v>801</v>
      </c>
      <c r="F104" s="80">
        <f>SUM('SGTO POAI SEPT 30'!BG228)</f>
        <v>43838500</v>
      </c>
      <c r="G104" s="80">
        <f>SUM('SGTO POAI SEPT 30'!BH228)</f>
        <v>29294579</v>
      </c>
      <c r="H104" s="285">
        <f>SUM('SGTO POAI SEPT 30'!BI228)</f>
        <v>0</v>
      </c>
    </row>
    <row r="105" spans="1:11" ht="45.75" thickBot="1" x14ac:dyDescent="0.25">
      <c r="A105" s="280">
        <v>68</v>
      </c>
      <c r="B105" s="571"/>
      <c r="C105" s="576"/>
      <c r="D105" s="124" t="s">
        <v>802</v>
      </c>
      <c r="E105" s="270" t="s">
        <v>803</v>
      </c>
      <c r="F105" s="125">
        <f>SUM('SGTO POAI SEPT 30'!BG229)</f>
        <v>200000000</v>
      </c>
      <c r="G105" s="125">
        <f>SUM('SGTO POAI SEPT 30'!BH229)</f>
        <v>143727499</v>
      </c>
      <c r="H105" s="286">
        <f>SUM('SGTO POAI SEPT 30'!BI229)</f>
        <v>143727499</v>
      </c>
    </row>
    <row r="106" spans="1:11" ht="19.5" customHeight="1" thickBot="1" x14ac:dyDescent="0.25">
      <c r="A106" s="136"/>
      <c r="B106" s="548" t="s">
        <v>1367</v>
      </c>
      <c r="C106" s="549"/>
      <c r="D106" s="549"/>
      <c r="E106" s="549"/>
      <c r="F106" s="120">
        <f>SUM(F107:F131)</f>
        <v>5743774901.3899994</v>
      </c>
      <c r="G106" s="117">
        <f>SUM(G107:G131)</f>
        <v>1733575872</v>
      </c>
      <c r="H106" s="117">
        <f>SUM(H107:H131)</f>
        <v>1387887570</v>
      </c>
      <c r="I106" s="73"/>
      <c r="J106" s="73"/>
      <c r="K106" s="73"/>
    </row>
    <row r="107" spans="1:11" ht="45" x14ac:dyDescent="0.2">
      <c r="A107" s="136">
        <v>69</v>
      </c>
      <c r="B107" s="572" t="s">
        <v>805</v>
      </c>
      <c r="C107" s="263" t="s">
        <v>806</v>
      </c>
      <c r="D107" s="106" t="s">
        <v>812</v>
      </c>
      <c r="E107" s="263" t="s">
        <v>813</v>
      </c>
      <c r="F107" s="107">
        <f>'SGTO POAI SEPT 30'!BG233</f>
        <v>54477635</v>
      </c>
      <c r="G107" s="107">
        <f>'SGTO POAI SEPT 30'!BH233</f>
        <v>27640000</v>
      </c>
      <c r="H107" s="113">
        <f>'SGTO POAI SEPT 30'!BI233</f>
        <v>0</v>
      </c>
    </row>
    <row r="108" spans="1:11" ht="33.75" x14ac:dyDescent="0.2">
      <c r="A108" s="136">
        <v>70</v>
      </c>
      <c r="B108" s="572"/>
      <c r="C108" s="264" t="s">
        <v>210</v>
      </c>
      <c r="D108" s="69" t="s">
        <v>822</v>
      </c>
      <c r="E108" s="264" t="s">
        <v>823</v>
      </c>
      <c r="F108" s="74">
        <f>'SGTO POAI SEPT 30'!BG237</f>
        <v>47000000</v>
      </c>
      <c r="G108" s="74">
        <f>'SGTO POAI SEPT 30'!BH237</f>
        <v>32133333</v>
      </c>
      <c r="H108" s="70">
        <f>'SGTO POAI SEPT 30'!BI237</f>
        <v>0</v>
      </c>
    </row>
    <row r="109" spans="1:11" ht="33.75" x14ac:dyDescent="0.2">
      <c r="A109" s="136">
        <v>71</v>
      </c>
      <c r="B109" s="572"/>
      <c r="C109" s="570" t="s">
        <v>824</v>
      </c>
      <c r="D109" s="69" t="s">
        <v>829</v>
      </c>
      <c r="E109" s="264" t="s">
        <v>830</v>
      </c>
      <c r="F109" s="74">
        <f>SUM('SGTO POAI SEPT 30'!BG239:BG240)</f>
        <v>55000000</v>
      </c>
      <c r="G109" s="74">
        <f>SUM('SGTO POAI SEPT 30'!BH239:BH240)</f>
        <v>27199999</v>
      </c>
      <c r="H109" s="70">
        <f>SUM('SGTO POAI SEPT 30'!BI239:BI240)</f>
        <v>8533333</v>
      </c>
    </row>
    <row r="110" spans="1:11" ht="22.5" x14ac:dyDescent="0.2">
      <c r="A110" s="136">
        <v>72</v>
      </c>
      <c r="B110" s="572"/>
      <c r="C110" s="570"/>
      <c r="D110" s="69" t="s">
        <v>841</v>
      </c>
      <c r="E110" s="264" t="s">
        <v>842</v>
      </c>
      <c r="F110" s="74">
        <f>'SGTO POAI SEPT 30'!BG241</f>
        <v>79896166</v>
      </c>
      <c r="G110" s="74">
        <f>'SGTO POAI SEPT 30'!BH241</f>
        <v>60296166</v>
      </c>
      <c r="H110" s="70">
        <f>'SGTO POAI SEPT 30'!BI241</f>
        <v>32896166</v>
      </c>
    </row>
    <row r="111" spans="1:11" ht="33.75" x14ac:dyDescent="0.2">
      <c r="A111" s="136">
        <v>73</v>
      </c>
      <c r="B111" s="572"/>
      <c r="C111" s="570"/>
      <c r="D111" s="69" t="s">
        <v>848</v>
      </c>
      <c r="E111" s="264" t="s">
        <v>849</v>
      </c>
      <c r="F111" s="74">
        <f>'SGTO POAI SEPT 30'!BG242</f>
        <v>240000000</v>
      </c>
      <c r="G111" s="74">
        <f>'SGTO POAI SEPT 30'!BH242</f>
        <v>104135832</v>
      </c>
      <c r="H111" s="70">
        <f>'SGTO POAI SEPT 30'!BI242</f>
        <v>61402499</v>
      </c>
    </row>
    <row r="112" spans="1:11" ht="33.75" x14ac:dyDescent="0.2">
      <c r="A112" s="136"/>
      <c r="B112" s="572"/>
      <c r="C112" s="570"/>
      <c r="D112" s="69" t="s">
        <v>822</v>
      </c>
      <c r="E112" s="264" t="s">
        <v>823</v>
      </c>
      <c r="F112" s="74">
        <f>'SGTO POAI SEPT 30'!BG243</f>
        <v>40401666</v>
      </c>
      <c r="G112" s="74">
        <f>'SGTO POAI SEPT 30'!BH243</f>
        <v>40401666</v>
      </c>
      <c r="H112" s="70">
        <f>'SGTO POAI SEPT 30'!BI243</f>
        <v>40401666</v>
      </c>
    </row>
    <row r="113" spans="1:8" s="82" customFormat="1" ht="56.25" x14ac:dyDescent="0.25">
      <c r="A113" s="136">
        <v>74</v>
      </c>
      <c r="B113" s="572"/>
      <c r="C113" s="570"/>
      <c r="D113" s="69" t="s">
        <v>860</v>
      </c>
      <c r="E113" s="264" t="s">
        <v>861</v>
      </c>
      <c r="F113" s="74">
        <f>SUM('SGTO POAI SEPT 30'!BG244)</f>
        <v>13000000</v>
      </c>
      <c r="G113" s="74">
        <f>SUM('SGTO POAI SEPT 30'!BH244)</f>
        <v>0</v>
      </c>
      <c r="H113" s="70">
        <f>SUM('SGTO POAI SEPT 30'!BI244)</f>
        <v>0</v>
      </c>
    </row>
    <row r="114" spans="1:8" s="82" customFormat="1" ht="45" x14ac:dyDescent="0.25">
      <c r="A114" s="136">
        <v>75</v>
      </c>
      <c r="B114" s="572"/>
      <c r="C114" s="570"/>
      <c r="D114" s="83" t="s">
        <v>867</v>
      </c>
      <c r="E114" s="264" t="s">
        <v>868</v>
      </c>
      <c r="F114" s="74">
        <f>'SGTO POAI SEPT 30'!BG245</f>
        <v>55000000</v>
      </c>
      <c r="G114" s="74">
        <f>'SGTO POAI SEPT 30'!BH245</f>
        <v>0</v>
      </c>
      <c r="H114" s="70">
        <f>'SGTO POAI SEPT 30'!BI245</f>
        <v>0</v>
      </c>
    </row>
    <row r="115" spans="1:8" s="82" customFormat="1" ht="56.25" x14ac:dyDescent="0.25">
      <c r="A115" s="136">
        <v>76</v>
      </c>
      <c r="B115" s="572"/>
      <c r="C115" s="570"/>
      <c r="D115" s="69" t="s">
        <v>874</v>
      </c>
      <c r="E115" s="264" t="s">
        <v>875</v>
      </c>
      <c r="F115" s="74">
        <f>'SGTO POAI SEPT 30'!BG246</f>
        <v>14000000</v>
      </c>
      <c r="G115" s="74">
        <f>'SGTO POAI SEPT 30'!BH246</f>
        <v>0</v>
      </c>
      <c r="H115" s="70">
        <f>'SGTO POAI SEPT 30'!BI246</f>
        <v>0</v>
      </c>
    </row>
    <row r="116" spans="1:8" s="82" customFormat="1" ht="33.75" x14ac:dyDescent="0.25">
      <c r="A116" s="136"/>
      <c r="B116" s="572"/>
      <c r="C116" s="570" t="s">
        <v>349</v>
      </c>
      <c r="D116" s="69" t="s">
        <v>822</v>
      </c>
      <c r="E116" s="264" t="s">
        <v>823</v>
      </c>
      <c r="F116" s="74">
        <f>'SGTO POAI SEPT 30'!BG248</f>
        <v>27000000</v>
      </c>
      <c r="G116" s="74">
        <f>'SGTO POAI SEPT 30'!BH248</f>
        <v>6000000</v>
      </c>
      <c r="H116" s="70">
        <f>'SGTO POAI SEPT 30'!BI248</f>
        <v>0</v>
      </c>
    </row>
    <row r="117" spans="1:8" ht="33.75" x14ac:dyDescent="0.2">
      <c r="A117" s="136">
        <v>77</v>
      </c>
      <c r="B117" s="572"/>
      <c r="C117" s="570"/>
      <c r="D117" s="69" t="s">
        <v>883</v>
      </c>
      <c r="E117" s="84" t="s">
        <v>884</v>
      </c>
      <c r="F117" s="74">
        <f>'SGTO POAI SEPT 30'!BG249</f>
        <v>44520000</v>
      </c>
      <c r="G117" s="74">
        <f>'SGTO POAI SEPT 30'!BH249</f>
        <v>44520000</v>
      </c>
      <c r="H117" s="70">
        <f>'SGTO POAI SEPT 30'!BI249</f>
        <v>9520000</v>
      </c>
    </row>
    <row r="118" spans="1:8" ht="56.25" x14ac:dyDescent="0.2">
      <c r="A118" s="136"/>
      <c r="B118" s="572"/>
      <c r="C118" s="570"/>
      <c r="D118" s="69" t="s">
        <v>860</v>
      </c>
      <c r="E118" s="264" t="s">
        <v>861</v>
      </c>
      <c r="F118" s="74">
        <f>'SGTO POAI SEPT 30'!BG250</f>
        <v>25000000</v>
      </c>
      <c r="G118" s="74">
        <f>'SGTO POAI SEPT 30'!BH250</f>
        <v>24074999</v>
      </c>
      <c r="H118" s="70">
        <f>'SGTO POAI SEPT 30'!BI250</f>
        <v>0</v>
      </c>
    </row>
    <row r="119" spans="1:8" ht="33.75" x14ac:dyDescent="0.2">
      <c r="A119" s="136">
        <v>78</v>
      </c>
      <c r="B119" s="572"/>
      <c r="C119" s="570"/>
      <c r="D119" s="83" t="s">
        <v>894</v>
      </c>
      <c r="E119" s="264" t="s">
        <v>895</v>
      </c>
      <c r="F119" s="74">
        <f>'SGTO POAI SEPT 30'!BG251</f>
        <v>27000000</v>
      </c>
      <c r="G119" s="74">
        <f>'SGTO POAI SEPT 30'!BH251</f>
        <v>0</v>
      </c>
      <c r="H119" s="70">
        <f>'SGTO POAI SEPT 30'!BI251</f>
        <v>0</v>
      </c>
    </row>
    <row r="120" spans="1:8" ht="45" x14ac:dyDescent="0.2">
      <c r="A120" s="136">
        <v>79</v>
      </c>
      <c r="B120" s="572"/>
      <c r="C120" s="570"/>
      <c r="D120" s="83" t="s">
        <v>901</v>
      </c>
      <c r="E120" s="264" t="s">
        <v>902</v>
      </c>
      <c r="F120" s="74">
        <f>SUM('SGTO POAI SEPT 30'!BG252:BG253)</f>
        <v>79500000</v>
      </c>
      <c r="G120" s="74">
        <f>SUM('SGTO POAI SEPT 30'!BH252:BH253)</f>
        <v>0</v>
      </c>
      <c r="H120" s="70">
        <f>SUM('SGTO POAI SEPT 30'!BI252:BI253)</f>
        <v>0</v>
      </c>
    </row>
    <row r="121" spans="1:8" ht="33.75" x14ac:dyDescent="0.2">
      <c r="A121" s="136">
        <v>80</v>
      </c>
      <c r="B121" s="572"/>
      <c r="C121" s="570"/>
      <c r="D121" s="83" t="s">
        <v>911</v>
      </c>
      <c r="E121" s="264" t="s">
        <v>912</v>
      </c>
      <c r="F121" s="74">
        <f>'SGTO POAI SEPT 30'!BG254</f>
        <v>30000000</v>
      </c>
      <c r="G121" s="74">
        <f>'SGTO POAI SEPT 30'!BH254</f>
        <v>0</v>
      </c>
      <c r="H121" s="70">
        <f>'SGTO POAI SEPT 30'!BI254</f>
        <v>0</v>
      </c>
    </row>
    <row r="122" spans="1:8" ht="33.75" x14ac:dyDescent="0.2">
      <c r="A122" s="136"/>
      <c r="B122" s="572"/>
      <c r="C122" s="564" t="s">
        <v>913</v>
      </c>
      <c r="D122" s="83" t="s">
        <v>894</v>
      </c>
      <c r="E122" s="264" t="s">
        <v>895</v>
      </c>
      <c r="F122" s="74">
        <f>SUM('SGTO POAI SEPT 30'!BG256:BG257)</f>
        <v>39000000</v>
      </c>
      <c r="G122" s="74">
        <f>SUM('SGTO POAI SEPT 30'!BH256:BH257)</f>
        <v>13973304</v>
      </c>
      <c r="H122" s="70">
        <f>SUM('SGTO POAI SEPT 30'!BI256:BI257)</f>
        <v>0</v>
      </c>
    </row>
    <row r="123" spans="1:8" ht="33.75" x14ac:dyDescent="0.2">
      <c r="A123" s="136">
        <v>81</v>
      </c>
      <c r="B123" s="572"/>
      <c r="C123" s="553"/>
      <c r="D123" s="83" t="s">
        <v>927</v>
      </c>
      <c r="E123" s="264" t="s">
        <v>928</v>
      </c>
      <c r="F123" s="74">
        <f>'SGTO POAI SEPT 30'!BG258</f>
        <v>18000000</v>
      </c>
      <c r="G123" s="74">
        <f>'SGTO POAI SEPT 30'!BH258</f>
        <v>14666666</v>
      </c>
      <c r="H123" s="70">
        <f>'SGTO POAI SEPT 30'!BI258</f>
        <v>0</v>
      </c>
    </row>
    <row r="124" spans="1:8" ht="22.5" x14ac:dyDescent="0.2">
      <c r="A124" s="136">
        <v>82</v>
      </c>
      <c r="B124" s="572"/>
      <c r="C124" s="553"/>
      <c r="D124" s="83" t="s">
        <v>934</v>
      </c>
      <c r="E124" s="264" t="s">
        <v>935</v>
      </c>
      <c r="F124" s="74">
        <f>'SGTO POAI SEPT 30'!BG259</f>
        <v>83980000</v>
      </c>
      <c r="G124" s="74">
        <f>'SGTO POAI SEPT 30'!BH259</f>
        <v>59213333</v>
      </c>
      <c r="H124" s="70">
        <f>'SGTO POAI SEPT 30'!BI259</f>
        <v>42580000</v>
      </c>
    </row>
    <row r="125" spans="1:8" ht="22.5" x14ac:dyDescent="0.2">
      <c r="A125" s="136">
        <v>83</v>
      </c>
      <c r="B125" s="572"/>
      <c r="C125" s="553"/>
      <c r="D125" s="83" t="s">
        <v>941</v>
      </c>
      <c r="E125" s="264" t="s">
        <v>942</v>
      </c>
      <c r="F125" s="74">
        <f>'SGTO POAI SEPT 30'!BG260</f>
        <v>79725000</v>
      </c>
      <c r="G125" s="74">
        <f>'SGTO POAI SEPT 30'!BH260</f>
        <v>63825001</v>
      </c>
      <c r="H125" s="70">
        <f>'SGTO POAI SEPT 30'!BI260</f>
        <v>34725000</v>
      </c>
    </row>
    <row r="126" spans="1:8" ht="22.5" x14ac:dyDescent="0.2">
      <c r="A126" s="136">
        <v>84</v>
      </c>
      <c r="B126" s="572"/>
      <c r="C126" s="553"/>
      <c r="D126" s="83" t="s">
        <v>947</v>
      </c>
      <c r="E126" s="264" t="s">
        <v>948</v>
      </c>
      <c r="F126" s="74">
        <f>SUM('SGTO POAI SEPT 30'!BG261:BG263)</f>
        <v>4382727592.3899994</v>
      </c>
      <c r="G126" s="74">
        <f>SUM('SGTO POAI SEPT 30'!BH261:BH263)</f>
        <v>1167308906</v>
      </c>
      <c r="H126" s="70">
        <f>SUM('SGTO POAI SEPT 30'!BI261:BI263)</f>
        <v>1125775573</v>
      </c>
    </row>
    <row r="127" spans="1:8" ht="33.75" x14ac:dyDescent="0.2">
      <c r="A127" s="136">
        <v>85</v>
      </c>
      <c r="B127" s="572"/>
      <c r="C127" s="554"/>
      <c r="D127" s="83" t="s">
        <v>962</v>
      </c>
      <c r="E127" s="264" t="s">
        <v>963</v>
      </c>
      <c r="F127" s="74">
        <f>'SGTO POAI SEPT 30'!BG264</f>
        <v>188546842</v>
      </c>
      <c r="G127" s="74">
        <f>'SGTO POAI SEPT 30'!BH264</f>
        <v>48186667</v>
      </c>
      <c r="H127" s="70">
        <f>'SGTO POAI SEPT 30'!BI264</f>
        <v>32053333</v>
      </c>
    </row>
    <row r="128" spans="1:8" ht="67.5" x14ac:dyDescent="0.2">
      <c r="A128" s="136">
        <v>86</v>
      </c>
      <c r="B128" s="572"/>
      <c r="C128" s="564" t="s">
        <v>357</v>
      </c>
      <c r="D128" s="83" t="s">
        <v>967</v>
      </c>
      <c r="E128" s="264" t="s">
        <v>968</v>
      </c>
      <c r="F128" s="74">
        <f>'SGTO POAI SEPT 30'!BG266</f>
        <v>40000000</v>
      </c>
      <c r="G128" s="74">
        <f>'SGTO POAI SEPT 30'!BH266</f>
        <v>0</v>
      </c>
      <c r="H128" s="70">
        <f>'SGTO POAI SEPT 30'!BI266</f>
        <v>0</v>
      </c>
    </row>
    <row r="129" spans="1:11" ht="22.5" x14ac:dyDescent="0.2">
      <c r="A129" s="136">
        <v>87</v>
      </c>
      <c r="B129" s="572"/>
      <c r="C129" s="553"/>
      <c r="D129" s="85" t="s">
        <v>971</v>
      </c>
      <c r="E129" s="265" t="s">
        <v>972</v>
      </c>
      <c r="F129" s="76">
        <f>'SGTO POAI SEPT 30'!BG267</f>
        <v>40000000</v>
      </c>
      <c r="G129" s="76">
        <f>'SGTO POAI SEPT 30'!BH267</f>
        <v>0</v>
      </c>
      <c r="H129" s="119">
        <f>'SGTO POAI SEPT 30'!BI267</f>
        <v>0</v>
      </c>
    </row>
    <row r="130" spans="1:11" ht="45" x14ac:dyDescent="0.2">
      <c r="A130" s="136"/>
      <c r="B130" s="433" t="s">
        <v>2</v>
      </c>
      <c r="C130" s="264" t="s">
        <v>973</v>
      </c>
      <c r="D130" s="83" t="s">
        <v>867</v>
      </c>
      <c r="E130" s="264" t="s">
        <v>979</v>
      </c>
      <c r="F130" s="74">
        <f>'SGTO POAI SEPT 30'!BG270</f>
        <v>25000000</v>
      </c>
      <c r="G130" s="74">
        <f>'SGTO POAI SEPT 30'!BH270</f>
        <v>0</v>
      </c>
      <c r="H130" s="70">
        <f>'SGTO POAI SEPT 30'!BI270</f>
        <v>0</v>
      </c>
    </row>
    <row r="131" spans="1:11" ht="68.25" thickBot="1" x14ac:dyDescent="0.25">
      <c r="A131" s="136"/>
      <c r="B131" s="271" t="s">
        <v>117</v>
      </c>
      <c r="C131" s="265" t="s">
        <v>108</v>
      </c>
      <c r="D131" s="85" t="s">
        <v>967</v>
      </c>
      <c r="E131" s="265" t="s">
        <v>968</v>
      </c>
      <c r="F131" s="76">
        <f>'SGTO POAI SEPT 30'!BG273</f>
        <v>15000000</v>
      </c>
      <c r="G131" s="76">
        <f>'SGTO POAI SEPT 30'!BH273</f>
        <v>0</v>
      </c>
      <c r="H131" s="119">
        <f>'SGTO POAI SEPT 30'!BI273</f>
        <v>0</v>
      </c>
    </row>
    <row r="132" spans="1:11" ht="20.25" customHeight="1" thickBot="1" x14ac:dyDescent="0.25">
      <c r="A132" s="136"/>
      <c r="B132" s="120" t="s">
        <v>1368</v>
      </c>
      <c r="C132" s="293"/>
      <c r="D132" s="115"/>
      <c r="E132" s="115"/>
      <c r="F132" s="120">
        <f>SUM(F133:F157)</f>
        <v>40878834321.080002</v>
      </c>
      <c r="G132" s="120">
        <f t="shared" ref="G132:H132" si="8">SUM(G133:G157)</f>
        <v>28027173458.330002</v>
      </c>
      <c r="H132" s="120">
        <f t="shared" si="8"/>
        <v>14487638149.5</v>
      </c>
      <c r="I132" s="73"/>
      <c r="J132" s="73"/>
      <c r="K132" s="73"/>
    </row>
    <row r="133" spans="1:11" ht="22.5" x14ac:dyDescent="0.2">
      <c r="A133" s="136">
        <v>88</v>
      </c>
      <c r="B133" s="579" t="s">
        <v>984</v>
      </c>
      <c r="C133" s="553" t="s">
        <v>985</v>
      </c>
      <c r="D133" s="106" t="s">
        <v>990</v>
      </c>
      <c r="E133" s="263" t="s">
        <v>10</v>
      </c>
      <c r="F133" s="107">
        <f>'SGTO POAI SEPT 30'!BG278</f>
        <v>50000000</v>
      </c>
      <c r="G133" s="107">
        <f>'SGTO POAI SEPT 30'!BH278</f>
        <v>0</v>
      </c>
      <c r="H133" s="113">
        <f>'SGTO POAI SEPT 30'!BI278</f>
        <v>0</v>
      </c>
    </row>
    <row r="134" spans="1:11" ht="22.5" x14ac:dyDescent="0.2">
      <c r="A134" s="136">
        <v>89</v>
      </c>
      <c r="B134" s="579"/>
      <c r="C134" s="553"/>
      <c r="D134" s="69" t="s">
        <v>995</v>
      </c>
      <c r="E134" s="264" t="s">
        <v>996</v>
      </c>
      <c r="F134" s="74">
        <f>SUM('SGTO POAI SEPT 30'!BG279:BG285)</f>
        <v>1314628216.8600001</v>
      </c>
      <c r="G134" s="74">
        <f>SUM('SGTO POAI SEPT 30'!BH279:BH285)</f>
        <v>676044041</v>
      </c>
      <c r="H134" s="70">
        <f>SUM('SGTO POAI SEPT 30'!BI279:BI285)</f>
        <v>618881642</v>
      </c>
    </row>
    <row r="135" spans="1:11" ht="33.75" x14ac:dyDescent="0.2">
      <c r="A135" s="136">
        <v>90</v>
      </c>
      <c r="B135" s="579"/>
      <c r="C135" s="553"/>
      <c r="D135" s="69" t="s">
        <v>1025</v>
      </c>
      <c r="E135" s="264" t="s">
        <v>1026</v>
      </c>
      <c r="F135" s="74">
        <f>SUM('SGTO POAI SEPT 30'!BG286:BG287)</f>
        <v>315470000</v>
      </c>
      <c r="G135" s="74">
        <f>SUM('SGTO POAI SEPT 30'!BH286:BH287)</f>
        <v>135439998</v>
      </c>
      <c r="H135" s="70">
        <f>SUM('SGTO POAI SEPT 30'!BI286:BI287)</f>
        <v>57613333</v>
      </c>
    </row>
    <row r="136" spans="1:11" ht="33.75" x14ac:dyDescent="0.2">
      <c r="A136" s="136">
        <v>91</v>
      </c>
      <c r="B136" s="579"/>
      <c r="C136" s="553"/>
      <c r="D136" s="69" t="s">
        <v>1036</v>
      </c>
      <c r="E136" s="264" t="s">
        <v>1037</v>
      </c>
      <c r="F136" s="74">
        <f>SUM('SGTO POAI SEPT 30'!BG288:BG290)</f>
        <v>1079211718</v>
      </c>
      <c r="G136" s="74">
        <f>SUM('SGTO POAI SEPT 30'!BH288:BH290)</f>
        <v>288151033</v>
      </c>
      <c r="H136" s="70">
        <f>SUM('SGTO POAI SEPT 30'!BI288:BI290)</f>
        <v>132936679</v>
      </c>
    </row>
    <row r="137" spans="1:11" ht="22.5" x14ac:dyDescent="0.2">
      <c r="A137" s="136">
        <v>92</v>
      </c>
      <c r="B137" s="579"/>
      <c r="C137" s="553"/>
      <c r="D137" s="69" t="s">
        <v>1048</v>
      </c>
      <c r="E137" s="264" t="s">
        <v>1049</v>
      </c>
      <c r="F137" s="74">
        <f>SUM('SGTO POAI SEPT 30'!BG291)</f>
        <v>636000000</v>
      </c>
      <c r="G137" s="74">
        <f>SUM('SGTO POAI SEPT 30'!BH291)</f>
        <v>364211658</v>
      </c>
      <c r="H137" s="70">
        <f>SUM('SGTO POAI SEPT 30'!BI291)</f>
        <v>113333331</v>
      </c>
    </row>
    <row r="138" spans="1:11" ht="33.75" x14ac:dyDescent="0.2">
      <c r="A138" s="136">
        <v>93</v>
      </c>
      <c r="B138" s="579"/>
      <c r="C138" s="553"/>
      <c r="D138" s="69" t="s">
        <v>1053</v>
      </c>
      <c r="E138" s="264" t="s">
        <v>1054</v>
      </c>
      <c r="F138" s="74">
        <f>SUM('SGTO POAI SEPT 30'!BG292)</f>
        <v>96954000</v>
      </c>
      <c r="G138" s="74">
        <f>SUM('SGTO POAI SEPT 30'!BH292)</f>
        <v>54600000</v>
      </c>
      <c r="H138" s="70">
        <f>SUM('SGTO POAI SEPT 30'!BI292)</f>
        <v>28000000</v>
      </c>
    </row>
    <row r="139" spans="1:11" ht="33.75" x14ac:dyDescent="0.2">
      <c r="A139" s="136">
        <v>94</v>
      </c>
      <c r="B139" s="579"/>
      <c r="C139" s="553"/>
      <c r="D139" s="69" t="s">
        <v>1058</v>
      </c>
      <c r="E139" s="264" t="s">
        <v>1059</v>
      </c>
      <c r="F139" s="74">
        <f>SUM('SGTO POAI SEPT 30'!BG293:BG296)</f>
        <v>64636000</v>
      </c>
      <c r="G139" s="74">
        <f>SUM('SGTO POAI SEPT 30'!BH293:BH296)</f>
        <v>62760000</v>
      </c>
      <c r="H139" s="70">
        <f>SUM('SGTO POAI SEPT 30'!BI293:BI296)</f>
        <v>31114666</v>
      </c>
    </row>
    <row r="140" spans="1:11" ht="22.5" x14ac:dyDescent="0.2">
      <c r="A140" s="136">
        <v>95</v>
      </c>
      <c r="B140" s="579"/>
      <c r="C140" s="554"/>
      <c r="D140" s="69" t="s">
        <v>1071</v>
      </c>
      <c r="E140" s="264" t="s">
        <v>1072</v>
      </c>
      <c r="F140" s="74">
        <f>SUM('SGTO POAI SEPT 30'!BG297:BG300)</f>
        <v>150000000</v>
      </c>
      <c r="G140" s="74">
        <f>SUM('SGTO POAI SEPT 30'!BH297:BH300)</f>
        <v>37866667</v>
      </c>
      <c r="H140" s="70">
        <f>SUM('SGTO POAI SEPT 30'!BI297:BI300)</f>
        <v>37586667</v>
      </c>
    </row>
    <row r="141" spans="1:11" ht="22.5" x14ac:dyDescent="0.2">
      <c r="A141" s="136"/>
      <c r="B141" s="579"/>
      <c r="C141" s="564" t="s">
        <v>806</v>
      </c>
      <c r="D141" s="69" t="s">
        <v>990</v>
      </c>
      <c r="E141" s="264" t="s">
        <v>10</v>
      </c>
      <c r="F141" s="74">
        <f>SUM('SGTO POAI SEPT 30'!BG302:BG303)</f>
        <v>68000000</v>
      </c>
      <c r="G141" s="74">
        <f>SUM('SGTO POAI SEPT 30'!BH302:BH303)</f>
        <v>43473333</v>
      </c>
      <c r="H141" s="70">
        <f>SUM('SGTO POAI SEPT 30'!BI302:BI303)</f>
        <v>11866667</v>
      </c>
    </row>
    <row r="142" spans="1:11" ht="23.25" customHeight="1" x14ac:dyDescent="0.2">
      <c r="A142" s="136">
        <v>96</v>
      </c>
      <c r="B142" s="579"/>
      <c r="C142" s="553"/>
      <c r="D142" s="69" t="s">
        <v>1096</v>
      </c>
      <c r="E142" s="264" t="s">
        <v>1097</v>
      </c>
      <c r="F142" s="74">
        <f>SUM('SGTO POAI SEPT 30'!BG304:BG310)</f>
        <v>155000000</v>
      </c>
      <c r="G142" s="74">
        <f>SUM('SGTO POAI SEPT 30'!BH304:BH310)</f>
        <v>55273332</v>
      </c>
      <c r="H142" s="70">
        <f>SUM('SGTO POAI SEPT 30'!BI304:BI310)</f>
        <v>11200000</v>
      </c>
    </row>
    <row r="143" spans="1:11" ht="33.75" x14ac:dyDescent="0.2">
      <c r="A143" s="136">
        <v>97</v>
      </c>
      <c r="B143" s="579"/>
      <c r="C143" s="553"/>
      <c r="D143" s="69" t="s">
        <v>1123</v>
      </c>
      <c r="E143" s="264" t="s">
        <v>1124</v>
      </c>
      <c r="F143" s="74">
        <f>SUM('SGTO POAI SEPT 30'!BG311:BG312)</f>
        <v>118000000</v>
      </c>
      <c r="G143" s="74">
        <f>SUM('SGTO POAI SEPT 30'!BH311:BH312)</f>
        <v>27800000</v>
      </c>
      <c r="H143" s="70">
        <f>SUM('SGTO POAI SEPT 30'!BI311:BI312)</f>
        <v>0</v>
      </c>
    </row>
    <row r="144" spans="1:11" ht="33.75" x14ac:dyDescent="0.2">
      <c r="A144" s="136">
        <v>98</v>
      </c>
      <c r="B144" s="579"/>
      <c r="C144" s="553"/>
      <c r="D144" s="69" t="s">
        <v>1130</v>
      </c>
      <c r="E144" s="264" t="s">
        <v>1131</v>
      </c>
      <c r="F144" s="74">
        <f>SUM('SGTO POAI SEPT 30'!BG313:BG315)</f>
        <v>122500000</v>
      </c>
      <c r="G144" s="74">
        <f>SUM('SGTO POAI SEPT 30'!BH313:BH315)</f>
        <v>101973334</v>
      </c>
      <c r="H144" s="70">
        <f>SUM('SGTO POAI SEPT 30'!BI313:BI315)</f>
        <v>26840000</v>
      </c>
    </row>
    <row r="145" spans="1:11" ht="33.75" x14ac:dyDescent="0.2">
      <c r="A145" s="136">
        <v>99</v>
      </c>
      <c r="B145" s="579"/>
      <c r="C145" s="553"/>
      <c r="D145" s="69" t="s">
        <v>1139</v>
      </c>
      <c r="E145" s="264" t="s">
        <v>1140</v>
      </c>
      <c r="F145" s="74">
        <f>SUM('SGTO POAI SEPT 30'!BG316:BG317)</f>
        <v>169000000</v>
      </c>
      <c r="G145" s="74">
        <f>SUM('SGTO POAI SEPT 30'!BH316:BH317)</f>
        <v>78466666</v>
      </c>
      <c r="H145" s="70">
        <f>SUM('SGTO POAI SEPT 30'!BI316:BI317)</f>
        <v>16333333</v>
      </c>
    </row>
    <row r="146" spans="1:11" ht="33.75" x14ac:dyDescent="0.2">
      <c r="A146" s="136">
        <v>100</v>
      </c>
      <c r="B146" s="579"/>
      <c r="C146" s="553"/>
      <c r="D146" s="69" t="s">
        <v>1145</v>
      </c>
      <c r="E146" s="264" t="s">
        <v>1146</v>
      </c>
      <c r="F146" s="74">
        <f>SUM('SGTO POAI SEPT 30'!BG318:BG320)</f>
        <v>120000000</v>
      </c>
      <c r="G146" s="74">
        <f>SUM('SGTO POAI SEPT 30'!BH318:BH320)</f>
        <v>38093332</v>
      </c>
      <c r="H146" s="70">
        <f>SUM('SGTO POAI SEPT 30'!BI318:BI320)</f>
        <v>23599999</v>
      </c>
    </row>
    <row r="147" spans="1:11" ht="33.75" x14ac:dyDescent="0.2">
      <c r="A147" s="136">
        <v>101</v>
      </c>
      <c r="B147" s="579"/>
      <c r="C147" s="553"/>
      <c r="D147" s="69" t="s">
        <v>1158</v>
      </c>
      <c r="E147" s="264" t="s">
        <v>1159</v>
      </c>
      <c r="F147" s="74">
        <f>SUM('SGTO POAI SEPT 30'!BG321:BG322)</f>
        <v>525751228.61000001</v>
      </c>
      <c r="G147" s="74">
        <f>SUM('SGTO POAI SEPT 30'!BH321:BH322)</f>
        <v>292255537</v>
      </c>
      <c r="H147" s="70">
        <f>SUM('SGTO POAI SEPT 30'!BI321:BI322)</f>
        <v>217788337</v>
      </c>
    </row>
    <row r="148" spans="1:11" ht="33.75" x14ac:dyDescent="0.2">
      <c r="A148" s="136">
        <v>102</v>
      </c>
      <c r="B148" s="579"/>
      <c r="C148" s="553"/>
      <c r="D148" s="69" t="s">
        <v>1162</v>
      </c>
      <c r="E148" s="264" t="s">
        <v>1163</v>
      </c>
      <c r="F148" s="74">
        <f>SUM('SGTO POAI SEPT 30'!BG323:BG324)</f>
        <v>221841713</v>
      </c>
      <c r="G148" s="74">
        <f>SUM('SGTO POAI SEPT 30'!BH323:BH324)</f>
        <v>99160000</v>
      </c>
      <c r="H148" s="70">
        <f>SUM('SGTO POAI SEPT 30'!BI323:BI324)</f>
        <v>28800000</v>
      </c>
    </row>
    <row r="149" spans="1:11" ht="18.75" customHeight="1" x14ac:dyDescent="0.2">
      <c r="A149" s="136">
        <v>103</v>
      </c>
      <c r="B149" s="579"/>
      <c r="C149" s="553"/>
      <c r="D149" s="69" t="s">
        <v>1165</v>
      </c>
      <c r="E149" s="264" t="s">
        <v>1166</v>
      </c>
      <c r="F149" s="74">
        <f>SUM('SGTO POAI SEPT 30'!BG325)</f>
        <v>2929870740</v>
      </c>
      <c r="G149" s="74">
        <f>SUM('SGTO POAI SEPT 30'!BH325)</f>
        <v>1049213960.33</v>
      </c>
      <c r="H149" s="70">
        <f>SUM('SGTO POAI SEPT 30'!BI325)</f>
        <v>619444375</v>
      </c>
    </row>
    <row r="150" spans="1:11" ht="33.75" x14ac:dyDescent="0.2">
      <c r="A150" s="136">
        <v>104</v>
      </c>
      <c r="B150" s="579"/>
      <c r="C150" s="553"/>
      <c r="D150" s="69" t="s">
        <v>1171</v>
      </c>
      <c r="E150" s="264" t="s">
        <v>1172</v>
      </c>
      <c r="F150" s="74">
        <f>SUM('SGTO POAI SEPT 30'!BG326:BG327)</f>
        <v>18000000</v>
      </c>
      <c r="G150" s="74">
        <f>SUM('SGTO POAI SEPT 30'!BH326:BH327)</f>
        <v>0</v>
      </c>
      <c r="H150" s="70">
        <f>SUM('SGTO POAI SEPT 30'!BI326:BI327)</f>
        <v>0</v>
      </c>
    </row>
    <row r="151" spans="1:11" ht="22.5" x14ac:dyDescent="0.2">
      <c r="A151" s="136">
        <v>105</v>
      </c>
      <c r="B151" s="579"/>
      <c r="C151" s="553"/>
      <c r="D151" s="69" t="s">
        <v>1177</v>
      </c>
      <c r="E151" s="264" t="s">
        <v>1178</v>
      </c>
      <c r="F151" s="74">
        <f>SUM('SGTO POAI SEPT 30'!BG328)</f>
        <v>75200000</v>
      </c>
      <c r="G151" s="74">
        <f>SUM('SGTO POAI SEPT 30'!BH328)</f>
        <v>60506662</v>
      </c>
      <c r="H151" s="70">
        <f>SUM('SGTO POAI SEPT 30'!BI328)</f>
        <v>12973331</v>
      </c>
    </row>
    <row r="152" spans="1:11" ht="22.5" x14ac:dyDescent="0.2">
      <c r="A152" s="136">
        <v>106</v>
      </c>
      <c r="B152" s="579"/>
      <c r="C152" s="553"/>
      <c r="D152" s="69" t="s">
        <v>1048</v>
      </c>
      <c r="E152" s="264" t="s">
        <v>1049</v>
      </c>
      <c r="F152" s="74">
        <f>SUM('SGTO POAI SEPT 30'!BG329)</f>
        <v>100126107.14</v>
      </c>
      <c r="G152" s="74">
        <f>SUM('SGTO POAI SEPT 30'!BH329)</f>
        <v>0</v>
      </c>
      <c r="H152" s="70">
        <f>SUM('SGTO POAI SEPT 30'!BI329)</f>
        <v>0</v>
      </c>
    </row>
    <row r="153" spans="1:11" ht="22.5" x14ac:dyDescent="0.2">
      <c r="A153" s="136">
        <v>107</v>
      </c>
      <c r="B153" s="579"/>
      <c r="C153" s="553"/>
      <c r="D153" s="69" t="s">
        <v>1186</v>
      </c>
      <c r="E153" s="264" t="s">
        <v>1369</v>
      </c>
      <c r="F153" s="74">
        <f>SUM('SGTO POAI SEPT 30'!BG330)</f>
        <v>450000000</v>
      </c>
      <c r="G153" s="74">
        <f>SUM('SGTO POAI SEPT 30'!BH330)</f>
        <v>185105150</v>
      </c>
      <c r="H153" s="70">
        <f>SUM('SGTO POAI SEPT 30'!BI330)</f>
        <v>106553170</v>
      </c>
    </row>
    <row r="154" spans="1:11" ht="33.75" x14ac:dyDescent="0.2">
      <c r="A154" s="136">
        <v>108</v>
      </c>
      <c r="B154" s="579"/>
      <c r="C154" s="554"/>
      <c r="D154" s="69" t="s">
        <v>1188</v>
      </c>
      <c r="E154" s="264" t="s">
        <v>11</v>
      </c>
      <c r="F154" s="74">
        <f>SUM('SGTO POAI SEPT 30'!BG331)</f>
        <v>1400126107.49</v>
      </c>
      <c r="G154" s="74">
        <f>SUM('SGTO POAI SEPT 30'!BH331)</f>
        <v>539370666</v>
      </c>
      <c r="H154" s="70">
        <f>SUM('SGTO POAI SEPT 30'!BI331)</f>
        <v>19632666</v>
      </c>
    </row>
    <row r="155" spans="1:11" ht="33.75" x14ac:dyDescent="0.2">
      <c r="A155" s="136">
        <v>109</v>
      </c>
      <c r="B155" s="579"/>
      <c r="C155" s="564" t="s">
        <v>191</v>
      </c>
      <c r="D155" s="69" t="s">
        <v>1193</v>
      </c>
      <c r="E155" s="264" t="s">
        <v>1194</v>
      </c>
      <c r="F155" s="74">
        <f>SUM('SGTO POAI SEPT 30'!BG333:BG334)</f>
        <v>21660622878.040001</v>
      </c>
      <c r="G155" s="74">
        <f>SUM('SGTO POAI SEPT 30'!BH333:BH334)</f>
        <v>19911514812</v>
      </c>
      <c r="H155" s="70">
        <f>SUM('SGTO POAI SEPT 30'!BI333:BI334)</f>
        <v>9566818409.5</v>
      </c>
    </row>
    <row r="156" spans="1:11" ht="45" x14ac:dyDescent="0.2">
      <c r="A156" s="136">
        <v>110</v>
      </c>
      <c r="B156" s="579"/>
      <c r="C156" s="553"/>
      <c r="D156" s="69" t="s">
        <v>1204</v>
      </c>
      <c r="E156" s="264" t="s">
        <v>9</v>
      </c>
      <c r="F156" s="74">
        <f>SUM('SGTO POAI SEPT 30'!BG335:BG338)</f>
        <v>7639959611.9399996</v>
      </c>
      <c r="G156" s="74">
        <f>SUM('SGTO POAI SEPT 30'!BH335:BH338)</f>
        <v>3092559944</v>
      </c>
      <c r="H156" s="70">
        <f>SUM('SGTO POAI SEPT 30'!BI335:BI338)</f>
        <v>2391121544</v>
      </c>
    </row>
    <row r="157" spans="1:11" ht="23.25" thickBot="1" x14ac:dyDescent="0.25">
      <c r="A157" s="136">
        <v>111</v>
      </c>
      <c r="B157" s="579"/>
      <c r="C157" s="553"/>
      <c r="D157" s="75" t="s">
        <v>1220</v>
      </c>
      <c r="E157" s="265" t="s">
        <v>1221</v>
      </c>
      <c r="F157" s="76">
        <f>SUM('SGTO POAI SEPT 30'!BG339)</f>
        <v>1397936000</v>
      </c>
      <c r="G157" s="76">
        <f>SUM('SGTO POAI SEPT 30'!BH339)</f>
        <v>833333333</v>
      </c>
      <c r="H157" s="119">
        <f>SUM('SGTO POAI SEPT 30'!BI339)</f>
        <v>415200000</v>
      </c>
    </row>
    <row r="158" spans="1:11" ht="17.25" customHeight="1" thickBot="1" x14ac:dyDescent="0.25">
      <c r="A158" s="136"/>
      <c r="B158" s="548" t="s">
        <v>1370</v>
      </c>
      <c r="C158" s="549"/>
      <c r="D158" s="549"/>
      <c r="E158" s="565"/>
      <c r="F158" s="120">
        <f>SUM(F159:F163)</f>
        <v>632885000</v>
      </c>
      <c r="G158" s="120">
        <f t="shared" ref="G158:H158" si="9">SUM(G159:G163)</f>
        <v>254853263</v>
      </c>
      <c r="H158" s="120">
        <f t="shared" si="9"/>
        <v>161461132</v>
      </c>
      <c r="I158" s="73"/>
      <c r="J158" s="73"/>
      <c r="K158" s="73"/>
    </row>
    <row r="159" spans="1:11" ht="56.25" x14ac:dyDescent="0.2">
      <c r="A159" s="136">
        <v>112</v>
      </c>
      <c r="B159" s="579" t="s">
        <v>1</v>
      </c>
      <c r="C159" s="266" t="s">
        <v>1222</v>
      </c>
      <c r="D159" s="106" t="s">
        <v>1228</v>
      </c>
      <c r="E159" s="263" t="s">
        <v>1229</v>
      </c>
      <c r="F159" s="107">
        <f>'SGTO POAI SEPT 30'!BG343</f>
        <v>200000000</v>
      </c>
      <c r="G159" s="107">
        <f>'SGTO POAI SEPT 30'!BH343</f>
        <v>0</v>
      </c>
      <c r="H159" s="113">
        <f>'SGTO POAI SEPT 30'!BI343</f>
        <v>0</v>
      </c>
    </row>
    <row r="160" spans="1:11" ht="90" x14ac:dyDescent="0.2">
      <c r="A160" s="136">
        <v>113</v>
      </c>
      <c r="B160" s="579"/>
      <c r="C160" s="266" t="s">
        <v>1234</v>
      </c>
      <c r="D160" s="69" t="s">
        <v>1239</v>
      </c>
      <c r="E160" s="264" t="s">
        <v>1240</v>
      </c>
      <c r="F160" s="74">
        <f>'SGTO POAI SEPT 30'!BG347</f>
        <v>7164000</v>
      </c>
      <c r="G160" s="74">
        <f>'SGTO POAI SEPT 30'!BH347</f>
        <v>0</v>
      </c>
      <c r="H160" s="70">
        <f>'SGTO POAI SEPT 30'!BI347</f>
        <v>0</v>
      </c>
    </row>
    <row r="161" spans="1:11" ht="33.75" x14ac:dyDescent="0.2">
      <c r="A161" s="136">
        <v>114</v>
      </c>
      <c r="B161" s="579" t="s">
        <v>1241</v>
      </c>
      <c r="C161" s="263" t="s">
        <v>1243</v>
      </c>
      <c r="D161" s="69" t="s">
        <v>1249</v>
      </c>
      <c r="E161" s="264" t="s">
        <v>1250</v>
      </c>
      <c r="F161" s="74">
        <f>SUM('SGTO POAI SEPT 30'!BG350)</f>
        <v>54000000</v>
      </c>
      <c r="G161" s="74">
        <f>SUM('SGTO POAI SEPT 30'!BH350)</f>
        <v>0</v>
      </c>
      <c r="H161" s="70">
        <f>SUM('SGTO POAI SEPT 30'!BI350)</f>
        <v>0</v>
      </c>
    </row>
    <row r="162" spans="1:11" ht="33.75" x14ac:dyDescent="0.2">
      <c r="A162" s="136">
        <v>115</v>
      </c>
      <c r="B162" s="550"/>
      <c r="C162" s="264" t="s">
        <v>1251</v>
      </c>
      <c r="D162" s="69" t="s">
        <v>1256</v>
      </c>
      <c r="E162" s="264" t="s">
        <v>1257</v>
      </c>
      <c r="F162" s="74">
        <f>SUM('SGTO POAI SEPT 30'!BG352)</f>
        <v>18000000</v>
      </c>
      <c r="G162" s="74">
        <f>SUM('SGTO POAI SEPT 30'!BH352)</f>
        <v>0</v>
      </c>
      <c r="H162" s="70">
        <f>SUM('SGTO POAI SEPT 30'!BI352)</f>
        <v>0</v>
      </c>
    </row>
    <row r="163" spans="1:11" ht="90.75" thickBot="1" x14ac:dyDescent="0.25">
      <c r="A163" s="136">
        <v>116</v>
      </c>
      <c r="B163" s="267" t="s">
        <v>117</v>
      </c>
      <c r="C163" s="265" t="s">
        <v>1234</v>
      </c>
      <c r="D163" s="75" t="s">
        <v>1263</v>
      </c>
      <c r="E163" s="265" t="s">
        <v>1264</v>
      </c>
      <c r="F163" s="76">
        <f>SUM('SGTO POAI SEPT 30'!BG354)</f>
        <v>353721000</v>
      </c>
      <c r="G163" s="76">
        <f>SUM('SGTO POAI SEPT 30'!BH354)</f>
        <v>254853263</v>
      </c>
      <c r="H163" s="119">
        <f>SUM('SGTO POAI SEPT 30'!BI354)</f>
        <v>161461132</v>
      </c>
      <c r="I163" s="276"/>
    </row>
    <row r="164" spans="1:11" s="88" customFormat="1" ht="12" thickBot="1" x14ac:dyDescent="0.25">
      <c r="A164" s="136"/>
      <c r="B164" s="580" t="s">
        <v>1384</v>
      </c>
      <c r="C164" s="581"/>
      <c r="D164" s="290"/>
      <c r="E164" s="291"/>
      <c r="F164" s="292">
        <f>+F158+F132+F106+F92+F88+F66+F60+F54+F38+F22+F19+F11+F7</f>
        <v>247462173738.30002</v>
      </c>
      <c r="G164" s="292">
        <f>+G158+G132+G106+G92+G88+G66+G60+G54+G38+G22+G19+G11+G7</f>
        <v>163847147009.66</v>
      </c>
      <c r="H164" s="292">
        <f>+H158+H132+H106+H92+H88+H66+H60+H54+H38+H22+H19+H11+H7</f>
        <v>138660460653.83002</v>
      </c>
      <c r="I164" s="87"/>
      <c r="J164" s="87"/>
      <c r="K164" s="87"/>
    </row>
    <row r="165" spans="1:11" ht="12" thickBot="1" x14ac:dyDescent="0.25">
      <c r="A165" s="136"/>
      <c r="B165" s="582" t="s">
        <v>1371</v>
      </c>
      <c r="C165" s="583"/>
      <c r="D165" s="583"/>
      <c r="E165" s="583"/>
      <c r="F165" s="584"/>
      <c r="G165" s="138"/>
      <c r="H165" s="139"/>
    </row>
    <row r="166" spans="1:11" ht="15.75" customHeight="1" thickBot="1" x14ac:dyDescent="0.25">
      <c r="A166" s="136"/>
      <c r="B166" s="548" t="s">
        <v>1372</v>
      </c>
      <c r="C166" s="549"/>
      <c r="D166" s="549"/>
      <c r="E166" s="565"/>
      <c r="F166" s="120">
        <f>SUM(F167:F175)</f>
        <v>4341489310.7799997</v>
      </c>
      <c r="G166" s="117">
        <f t="shared" ref="G166:H166" si="10">SUM(G167:G175)</f>
        <v>1581586420.25</v>
      </c>
      <c r="H166" s="117">
        <f t="shared" si="10"/>
        <v>1056494012.25</v>
      </c>
      <c r="I166" s="73"/>
      <c r="J166" s="73"/>
      <c r="K166" s="73"/>
    </row>
    <row r="167" spans="1:11" ht="22.5" x14ac:dyDescent="0.2">
      <c r="A167" s="136">
        <v>117</v>
      </c>
      <c r="B167" s="550" t="s">
        <v>1</v>
      </c>
      <c r="C167" s="553" t="s">
        <v>218</v>
      </c>
      <c r="D167" s="106" t="s">
        <v>1275</v>
      </c>
      <c r="E167" s="289" t="s">
        <v>1276</v>
      </c>
      <c r="F167" s="107">
        <f>SUM('SGTO POAI SEPT 30'!BG362:BG363)</f>
        <v>175589000</v>
      </c>
      <c r="G167" s="107">
        <f>SUM('SGTO POAI SEPT 30'!BH362:BH363)</f>
        <v>95053333</v>
      </c>
      <c r="H167" s="107">
        <f>SUM('SGTO POAI SEPT 30'!BI362:BI363)</f>
        <v>59860000</v>
      </c>
    </row>
    <row r="168" spans="1:11" ht="22.5" x14ac:dyDescent="0.2">
      <c r="A168" s="136">
        <v>118</v>
      </c>
      <c r="B168" s="551"/>
      <c r="C168" s="553"/>
      <c r="D168" s="69" t="s">
        <v>1284</v>
      </c>
      <c r="E168" s="89" t="s">
        <v>1285</v>
      </c>
      <c r="F168" s="74">
        <f>SUM('SGTO POAI SEPT 30'!BG364)</f>
        <v>49227426</v>
      </c>
      <c r="G168" s="74">
        <f>SUM('SGTO POAI SEPT 30'!BH364)</f>
        <v>7000000</v>
      </c>
      <c r="H168" s="74">
        <f>SUM('SGTO POAI SEPT 30'!BI364)</f>
        <v>7000000</v>
      </c>
    </row>
    <row r="169" spans="1:11" ht="22.5" x14ac:dyDescent="0.2">
      <c r="A169" s="136">
        <v>119</v>
      </c>
      <c r="B169" s="551"/>
      <c r="C169" s="553"/>
      <c r="D169" s="69" t="s">
        <v>1286</v>
      </c>
      <c r="E169" s="84" t="s">
        <v>1287</v>
      </c>
      <c r="F169" s="74">
        <f>SUM('SGTO POAI SEPT 30'!BG365:BG366)</f>
        <v>69300000</v>
      </c>
      <c r="G169" s="74">
        <f>SUM('SGTO POAI SEPT 30'!BH365:BH366)</f>
        <v>33300000</v>
      </c>
      <c r="H169" s="74">
        <f>SUM('SGTO POAI SEPT 30'!BI365:BI366)</f>
        <v>33300000</v>
      </c>
    </row>
    <row r="170" spans="1:11" ht="22.5" x14ac:dyDescent="0.2">
      <c r="A170" s="136">
        <v>120</v>
      </c>
      <c r="B170" s="551"/>
      <c r="C170" s="553"/>
      <c r="D170" s="69" t="s">
        <v>1291</v>
      </c>
      <c r="E170" s="84" t="s">
        <v>1292</v>
      </c>
      <c r="F170" s="74">
        <f>SUM('SGTO POAI SEPT 30'!BG367:BG368)</f>
        <v>367085598</v>
      </c>
      <c r="G170" s="74">
        <f>SUM('SGTO POAI SEPT 30'!BH367:BH368)</f>
        <v>194316663.62</v>
      </c>
      <c r="H170" s="74">
        <f>SUM('SGTO POAI SEPT 30'!BI367:BI368)</f>
        <v>194316663.62</v>
      </c>
    </row>
    <row r="171" spans="1:11" ht="22.5" customHeight="1" x14ac:dyDescent="0.2">
      <c r="A171" s="136">
        <v>121</v>
      </c>
      <c r="B171" s="551"/>
      <c r="C171" s="553"/>
      <c r="D171" s="69" t="s">
        <v>1293</v>
      </c>
      <c r="E171" s="84" t="s">
        <v>1294</v>
      </c>
      <c r="F171" s="74">
        <f>SUM('SGTO POAI SEPT 30'!BG369)</f>
        <v>91585083</v>
      </c>
      <c r="G171" s="74">
        <f>SUM('SGTO POAI SEPT 30'!BH369)</f>
        <v>57090908</v>
      </c>
      <c r="H171" s="74">
        <f>SUM('SGTO POAI SEPT 30'!BI369)</f>
        <v>30633333</v>
      </c>
    </row>
    <row r="172" spans="1:11" ht="22.5" customHeight="1" x14ac:dyDescent="0.2">
      <c r="A172" s="136"/>
      <c r="B172" s="551"/>
      <c r="C172" s="266"/>
      <c r="D172" s="69" t="s">
        <v>1303</v>
      </c>
      <c r="E172" s="84" t="s">
        <v>1403</v>
      </c>
      <c r="F172" s="74">
        <f>SUM('SGTO POAI SEPT 30'!BG370:BG373)</f>
        <v>2323713601.7799997</v>
      </c>
      <c r="G172" s="74">
        <f>SUM('SGTO POAI SEPT 30'!BH370:BH373)</f>
        <v>818392558.63</v>
      </c>
      <c r="H172" s="74">
        <f>SUM('SGTO POAI SEPT 30'!BI370:BI373)</f>
        <v>467616649.63</v>
      </c>
    </row>
    <row r="173" spans="1:11" ht="29.25" customHeight="1" x14ac:dyDescent="0.2">
      <c r="A173" s="136">
        <v>123</v>
      </c>
      <c r="B173" s="551"/>
      <c r="C173" s="564" t="s">
        <v>225</v>
      </c>
      <c r="D173" s="69" t="s">
        <v>1299</v>
      </c>
      <c r="E173" s="90" t="s">
        <v>1300</v>
      </c>
      <c r="F173" s="74">
        <f>'SGTO POAI SEPT 30'!BG375</f>
        <v>213298765</v>
      </c>
      <c r="G173" s="74">
        <f>'SGTO POAI SEPT 30'!BH375</f>
        <v>213298765</v>
      </c>
      <c r="H173" s="74">
        <f>'SGTO POAI SEPT 30'!BI375</f>
        <v>196933174</v>
      </c>
    </row>
    <row r="174" spans="1:11" ht="38.25" customHeight="1" x14ac:dyDescent="0.2">
      <c r="A174" s="136">
        <v>124</v>
      </c>
      <c r="B174" s="552"/>
      <c r="C174" s="553"/>
      <c r="D174" s="69" t="s">
        <v>1373</v>
      </c>
      <c r="E174" s="84" t="s">
        <v>1374</v>
      </c>
      <c r="F174" s="74">
        <f>'SGTO POAI SEPT 30'!BG376</f>
        <v>1021689837</v>
      </c>
      <c r="G174" s="74">
        <f>'SGTO POAI SEPT 30'!BH376</f>
        <v>150884192</v>
      </c>
      <c r="H174" s="74">
        <f>'SGTO POAI SEPT 30'!BI376</f>
        <v>66834192</v>
      </c>
    </row>
    <row r="175" spans="1:11" ht="38.25" customHeight="1" thickBot="1" x14ac:dyDescent="0.25">
      <c r="A175" s="136"/>
      <c r="B175" s="277"/>
      <c r="C175" s="553"/>
      <c r="D175" s="278" t="str">
        <f>'SGTO POAI SEPT 30'!R377</f>
        <v>202000363-0040</v>
      </c>
      <c r="E175" s="126" t="str">
        <f>'SGTO POAI SEPT 30'!S377</f>
        <v>Desarrollo de los  XXII JUEGOS DEPORTIVOS NACIONALES Y VI JUEGOS PARANACIONALES   2023</v>
      </c>
      <c r="F175" s="76">
        <f>'SGTO POAI SEPT 30'!BG377</f>
        <v>30000000</v>
      </c>
      <c r="G175" s="76">
        <f>'SGTO POAI SEPT 30'!BH377</f>
        <v>12250000</v>
      </c>
      <c r="H175" s="76">
        <f>'SGTO POAI SEPT 30'!BI377</f>
        <v>0</v>
      </c>
    </row>
    <row r="176" spans="1:11" ht="16.5" customHeight="1" thickBot="1" x14ac:dyDescent="0.25">
      <c r="A176" s="136"/>
      <c r="B176" s="548" t="s">
        <v>1375</v>
      </c>
      <c r="C176" s="549"/>
      <c r="D176" s="549"/>
      <c r="E176" s="565"/>
      <c r="F176" s="128">
        <f>+F177+F181+F178+F179+F180</f>
        <v>1903518104</v>
      </c>
      <c r="G176" s="128">
        <f t="shared" ref="G176:H176" si="11">+G177+G181+G178+G179+G180</f>
        <v>1118665528.99</v>
      </c>
      <c r="H176" s="128">
        <f t="shared" si="11"/>
        <v>860512826.03999984</v>
      </c>
      <c r="I176" s="73"/>
      <c r="J176" s="73"/>
      <c r="K176" s="73"/>
    </row>
    <row r="177" spans="1:11" ht="33.75" x14ac:dyDescent="0.2">
      <c r="A177" s="568">
        <v>126</v>
      </c>
      <c r="B177" s="550" t="s">
        <v>1</v>
      </c>
      <c r="C177" s="263" t="s">
        <v>218</v>
      </c>
      <c r="D177" s="106" t="s">
        <v>1306</v>
      </c>
      <c r="E177" s="127" t="s">
        <v>1307</v>
      </c>
      <c r="F177" s="107">
        <f>SUM('SGTO POAI SEPT 30'!BG382)</f>
        <v>372570330</v>
      </c>
      <c r="G177" s="107">
        <f>SUM('SGTO POAI SEPT 30'!BH382)</f>
        <v>186429333.33000001</v>
      </c>
      <c r="H177" s="107">
        <f>SUM('SGTO POAI SEPT 30'!BI382)</f>
        <v>152169666.66999999</v>
      </c>
    </row>
    <row r="178" spans="1:11" ht="45" x14ac:dyDescent="0.2">
      <c r="A178" s="568"/>
      <c r="B178" s="551"/>
      <c r="C178" s="264" t="s">
        <v>200</v>
      </c>
      <c r="D178" s="69" t="s">
        <v>1306</v>
      </c>
      <c r="E178" s="91" t="s">
        <v>1307</v>
      </c>
      <c r="F178" s="74">
        <f>'SGTO POAI SEPT 30'!BG384</f>
        <v>561746330</v>
      </c>
      <c r="G178" s="74">
        <f>'SGTO POAI SEPT 30'!BH384</f>
        <v>361380708.32999998</v>
      </c>
      <c r="H178" s="74">
        <f>'SGTO POAI SEPT 30'!BI384</f>
        <v>294892366.66999996</v>
      </c>
    </row>
    <row r="179" spans="1:11" ht="33.75" x14ac:dyDescent="0.2">
      <c r="A179" s="568"/>
      <c r="B179" s="551" t="s">
        <v>3</v>
      </c>
      <c r="C179" s="264" t="s">
        <v>242</v>
      </c>
      <c r="D179" s="69" t="s">
        <v>1306</v>
      </c>
      <c r="E179" s="91" t="s">
        <v>1307</v>
      </c>
      <c r="F179" s="74">
        <f>'SGTO POAI SEPT 30'!BG387</f>
        <v>218280000</v>
      </c>
      <c r="G179" s="74">
        <f>'SGTO POAI SEPT 30'!BH387</f>
        <v>218280000</v>
      </c>
      <c r="H179" s="74">
        <f>'SGTO POAI SEPT 30'!BI387</f>
        <v>102692322.03</v>
      </c>
    </row>
    <row r="180" spans="1:11" ht="33.75" x14ac:dyDescent="0.2">
      <c r="A180" s="568"/>
      <c r="B180" s="551"/>
      <c r="C180" s="264" t="s">
        <v>259</v>
      </c>
      <c r="D180" s="69" t="s">
        <v>1306</v>
      </c>
      <c r="E180" s="91" t="s">
        <v>1307</v>
      </c>
      <c r="F180" s="74">
        <f>SUM('SGTO POAI SEPT 30'!BG388)</f>
        <v>561745444</v>
      </c>
      <c r="G180" s="74">
        <f>SUM('SGTO POAI SEPT 30'!BH388)</f>
        <v>237624112.33000001</v>
      </c>
      <c r="H180" s="74">
        <f>SUM('SGTO POAI SEPT 30'!BI388)</f>
        <v>208035770.66999999</v>
      </c>
    </row>
    <row r="181" spans="1:11" ht="45.75" thickBot="1" x14ac:dyDescent="0.25">
      <c r="A181" s="568"/>
      <c r="B181" s="267" t="s">
        <v>117</v>
      </c>
      <c r="C181" s="265" t="s">
        <v>93</v>
      </c>
      <c r="D181" s="75" t="s">
        <v>1306</v>
      </c>
      <c r="E181" s="287" t="s">
        <v>1307</v>
      </c>
      <c r="F181" s="76">
        <f>'SGTO POAI SEPT 30'!BG395</f>
        <v>189176000</v>
      </c>
      <c r="G181" s="76">
        <f>'SGTO POAI SEPT 30'!BH395</f>
        <v>114951375</v>
      </c>
      <c r="H181" s="76">
        <f>'SGTO POAI SEPT 30'!BI395</f>
        <v>102722700</v>
      </c>
    </row>
    <row r="182" spans="1:11" ht="15" customHeight="1" thickBot="1" x14ac:dyDescent="0.25">
      <c r="A182" s="136"/>
      <c r="B182" s="548" t="s">
        <v>1376</v>
      </c>
      <c r="C182" s="549"/>
      <c r="D182" s="549"/>
      <c r="E182" s="565"/>
      <c r="F182" s="120">
        <f>+F183</f>
        <v>107000000</v>
      </c>
      <c r="G182" s="120">
        <f t="shared" ref="G182:H182" si="12">+G183</f>
        <v>50006000</v>
      </c>
      <c r="H182" s="120">
        <f t="shared" si="12"/>
        <v>26112000</v>
      </c>
      <c r="I182" s="73"/>
      <c r="J182" s="73"/>
      <c r="K182" s="73"/>
    </row>
    <row r="183" spans="1:11" ht="57.75" customHeight="1" thickBot="1" x14ac:dyDescent="0.25">
      <c r="A183" s="136">
        <v>127</v>
      </c>
      <c r="B183" s="268" t="s">
        <v>1328</v>
      </c>
      <c r="C183" s="266" t="s">
        <v>1329</v>
      </c>
      <c r="D183" s="279" t="s">
        <v>1335</v>
      </c>
      <c r="E183" s="266" t="s">
        <v>1336</v>
      </c>
      <c r="F183" s="288">
        <f>'SGTO POAI SEPT 30'!BG397</f>
        <v>107000000</v>
      </c>
      <c r="G183" s="288">
        <f>'SGTO POAI SEPT 30'!BH397</f>
        <v>50006000</v>
      </c>
      <c r="H183" s="288">
        <f>'SGTO POAI SEPT 30'!BI397</f>
        <v>26112000</v>
      </c>
    </row>
    <row r="184" spans="1:11" s="68" customFormat="1" ht="15" customHeight="1" thickBot="1" x14ac:dyDescent="0.3">
      <c r="A184" s="135"/>
      <c r="B184" s="580" t="s">
        <v>1377</v>
      </c>
      <c r="C184" s="581"/>
      <c r="D184" s="290"/>
      <c r="E184" s="291"/>
      <c r="F184" s="129">
        <f>+F166+F176+F182</f>
        <v>6352007414.7799997</v>
      </c>
      <c r="G184" s="92">
        <f t="shared" ref="G184:H184" si="13">+G166+G176+G182</f>
        <v>2750257949.2399998</v>
      </c>
      <c r="H184" s="92">
        <f t="shared" si="13"/>
        <v>1943118838.29</v>
      </c>
    </row>
    <row r="185" spans="1:11" s="93" customFormat="1" ht="18" customHeight="1" thickBot="1" x14ac:dyDescent="0.25">
      <c r="A185" s="140"/>
      <c r="B185" s="589" t="s">
        <v>1378</v>
      </c>
      <c r="C185" s="590"/>
      <c r="D185" s="273"/>
      <c r="E185" s="94"/>
      <c r="F185" s="130">
        <f>+F184+F164</f>
        <v>253814181153.08002</v>
      </c>
      <c r="G185" s="95">
        <f t="shared" ref="G185:H185" si="14">+G184+G164</f>
        <v>166597404958.89999</v>
      </c>
      <c r="H185" s="95">
        <f t="shared" si="14"/>
        <v>140603579492.12003</v>
      </c>
    </row>
    <row r="186" spans="1:11" s="88" customFormat="1" ht="18.75" customHeight="1" x14ac:dyDescent="0.2">
      <c r="B186" s="96"/>
      <c r="C186" s="96"/>
      <c r="D186" s="97"/>
      <c r="E186" s="96"/>
      <c r="F186" s="98"/>
      <c r="G186" s="98"/>
      <c r="H186" s="98"/>
      <c r="I186" s="87"/>
    </row>
    <row r="187" spans="1:11" s="88" customFormat="1" x14ac:dyDescent="0.2">
      <c r="B187" s="96"/>
      <c r="C187" s="96"/>
      <c r="D187" s="97"/>
      <c r="E187" s="96"/>
      <c r="F187" s="501"/>
      <c r="G187" s="501"/>
      <c r="H187" s="501"/>
    </row>
    <row r="188" spans="1:11" s="88" customFormat="1" x14ac:dyDescent="0.2">
      <c r="B188" s="96"/>
      <c r="C188" s="96"/>
      <c r="D188" s="97"/>
      <c r="E188" s="96"/>
      <c r="F188" s="488"/>
    </row>
    <row r="189" spans="1:11" s="88" customFormat="1" x14ac:dyDescent="0.2">
      <c r="B189" s="96"/>
      <c r="C189" s="96"/>
      <c r="D189" s="97"/>
      <c r="E189" s="96"/>
      <c r="F189" s="99"/>
    </row>
    <row r="190" spans="1:11" s="88" customFormat="1" x14ac:dyDescent="0.2">
      <c r="B190" s="96"/>
      <c r="C190" s="96"/>
      <c r="D190" s="97"/>
      <c r="E190" s="96"/>
      <c r="F190" s="502"/>
      <c r="G190" s="503"/>
      <c r="H190" s="503"/>
    </row>
    <row r="191" spans="1:11" s="88" customFormat="1" ht="15.75" customHeight="1" x14ac:dyDescent="0.2">
      <c r="B191" s="585" t="s">
        <v>1379</v>
      </c>
      <c r="C191" s="585"/>
      <c r="D191" s="585"/>
      <c r="E191" s="585"/>
      <c r="F191" s="585"/>
    </row>
    <row r="192" spans="1:11" s="88" customFormat="1" ht="12" customHeight="1" x14ac:dyDescent="0.2">
      <c r="B192" s="586" t="s">
        <v>1380</v>
      </c>
      <c r="C192" s="586"/>
      <c r="D192" s="586"/>
      <c r="E192" s="586"/>
      <c r="F192" s="586"/>
    </row>
    <row r="193" spans="2:6" s="88" customFormat="1" x14ac:dyDescent="0.2">
      <c r="B193" s="96"/>
      <c r="C193" s="96"/>
      <c r="D193" s="97"/>
      <c r="E193" s="96"/>
      <c r="F193" s="99"/>
    </row>
    <row r="194" spans="2:6" s="88" customFormat="1" x14ac:dyDescent="0.2">
      <c r="B194" s="587"/>
      <c r="C194" s="587"/>
      <c r="D194" s="97"/>
      <c r="E194" s="96"/>
      <c r="F194" s="99"/>
    </row>
    <row r="195" spans="2:6" s="88" customFormat="1" ht="33.75" customHeight="1" x14ac:dyDescent="0.2">
      <c r="B195" s="588"/>
      <c r="C195" s="588"/>
      <c r="D195" s="97"/>
      <c r="E195" s="96"/>
      <c r="F195" s="99"/>
    </row>
    <row r="196" spans="2:6" s="88" customFormat="1" x14ac:dyDescent="0.2">
      <c r="B196" s="96"/>
      <c r="C196" s="96"/>
      <c r="D196" s="97"/>
      <c r="E196" s="96"/>
      <c r="F196" s="99"/>
    </row>
    <row r="197" spans="2:6" s="88" customFormat="1" x14ac:dyDescent="0.2">
      <c r="B197" s="96"/>
      <c r="C197" s="96"/>
      <c r="D197" s="97"/>
      <c r="E197" s="96"/>
      <c r="F197" s="99"/>
    </row>
    <row r="198" spans="2:6" s="88" customFormat="1" x14ac:dyDescent="0.2">
      <c r="B198" s="96"/>
      <c r="C198" s="96"/>
      <c r="D198" s="97"/>
      <c r="E198" s="96"/>
      <c r="F198" s="99"/>
    </row>
    <row r="199" spans="2:6" s="88" customFormat="1" x14ac:dyDescent="0.2">
      <c r="B199" s="96"/>
      <c r="C199" s="96"/>
      <c r="D199" s="97"/>
      <c r="E199" s="96"/>
      <c r="F199" s="99"/>
    </row>
    <row r="200" spans="2:6" s="88" customFormat="1" x14ac:dyDescent="0.2">
      <c r="B200" s="96"/>
      <c r="C200" s="96"/>
      <c r="D200" s="97"/>
      <c r="E200" s="96"/>
      <c r="F200" s="99"/>
    </row>
    <row r="201" spans="2:6" s="88" customFormat="1" x14ac:dyDescent="0.2">
      <c r="B201" s="96"/>
      <c r="C201" s="96"/>
      <c r="D201" s="97"/>
      <c r="E201" s="96"/>
      <c r="F201" s="99"/>
    </row>
    <row r="202" spans="2:6" s="88" customFormat="1" x14ac:dyDescent="0.2">
      <c r="B202" s="96"/>
      <c r="C202" s="96"/>
      <c r="D202" s="97"/>
      <c r="E202" s="96"/>
      <c r="F202" s="99"/>
    </row>
    <row r="203" spans="2:6" s="88" customFormat="1" x14ac:dyDescent="0.2">
      <c r="B203" s="96"/>
      <c r="C203" s="96"/>
      <c r="D203" s="97"/>
      <c r="E203" s="96"/>
      <c r="F203" s="99"/>
    </row>
    <row r="204" spans="2:6" s="88" customFormat="1" x14ac:dyDescent="0.2">
      <c r="B204" s="96"/>
      <c r="C204" s="96"/>
      <c r="D204" s="97"/>
      <c r="E204" s="96"/>
      <c r="F204" s="99"/>
    </row>
    <row r="205" spans="2:6" s="88" customFormat="1" x14ac:dyDescent="0.2">
      <c r="B205" s="96"/>
      <c r="C205" s="96"/>
      <c r="D205" s="97"/>
      <c r="E205" s="96"/>
      <c r="F205" s="99"/>
    </row>
    <row r="206" spans="2:6" s="88" customFormat="1" x14ac:dyDescent="0.2">
      <c r="B206" s="96"/>
      <c r="C206" s="96"/>
      <c r="D206" s="97"/>
      <c r="E206" s="96"/>
      <c r="F206" s="99"/>
    </row>
    <row r="207" spans="2:6" s="88" customFormat="1" x14ac:dyDescent="0.2">
      <c r="B207" s="96"/>
      <c r="C207" s="96"/>
      <c r="D207" s="97"/>
      <c r="E207" s="96"/>
      <c r="F207" s="99"/>
    </row>
    <row r="208" spans="2:6" s="88" customFormat="1" x14ac:dyDescent="0.2">
      <c r="B208" s="96"/>
      <c r="C208" s="96"/>
      <c r="D208" s="97"/>
      <c r="E208" s="96"/>
      <c r="F208" s="99"/>
    </row>
    <row r="209" spans="2:6" s="88" customFormat="1" x14ac:dyDescent="0.2">
      <c r="B209" s="96"/>
      <c r="C209" s="96"/>
      <c r="D209" s="97"/>
      <c r="E209" s="96"/>
      <c r="F209" s="99"/>
    </row>
    <row r="210" spans="2:6" s="88" customFormat="1" x14ac:dyDescent="0.2">
      <c r="B210" s="96"/>
      <c r="C210" s="96"/>
      <c r="D210" s="97"/>
      <c r="E210" s="96"/>
      <c r="F210" s="99"/>
    </row>
    <row r="211" spans="2:6" s="88" customFormat="1" x14ac:dyDescent="0.2">
      <c r="B211" s="96"/>
      <c r="C211" s="96"/>
      <c r="D211" s="97"/>
      <c r="E211" s="96"/>
      <c r="F211" s="99"/>
    </row>
    <row r="212" spans="2:6" s="88" customFormat="1" x14ac:dyDescent="0.2">
      <c r="B212" s="96"/>
      <c r="C212" s="96"/>
      <c r="D212" s="97"/>
      <c r="E212" s="96"/>
      <c r="F212" s="99"/>
    </row>
    <row r="213" spans="2:6" s="88" customFormat="1" x14ac:dyDescent="0.2">
      <c r="B213" s="96"/>
      <c r="C213" s="96"/>
      <c r="D213" s="97"/>
      <c r="E213" s="96"/>
      <c r="F213" s="99"/>
    </row>
    <row r="214" spans="2:6" s="88" customFormat="1" x14ac:dyDescent="0.2">
      <c r="B214" s="96"/>
      <c r="C214" s="96"/>
      <c r="D214" s="97"/>
      <c r="E214" s="96"/>
      <c r="F214" s="99"/>
    </row>
    <row r="215" spans="2:6" s="88" customFormat="1" x14ac:dyDescent="0.2">
      <c r="B215" s="96"/>
      <c r="C215" s="96"/>
      <c r="D215" s="97"/>
      <c r="E215" s="96"/>
      <c r="F215" s="99"/>
    </row>
    <row r="216" spans="2:6" s="88" customFormat="1" x14ac:dyDescent="0.2">
      <c r="B216" s="96"/>
      <c r="C216" s="96"/>
      <c r="D216" s="97"/>
      <c r="E216" s="96"/>
      <c r="F216" s="99"/>
    </row>
    <row r="217" spans="2:6" s="88" customFormat="1" x14ac:dyDescent="0.2">
      <c r="B217" s="96"/>
      <c r="C217" s="96"/>
      <c r="D217" s="97"/>
      <c r="E217" s="96"/>
      <c r="F217" s="99"/>
    </row>
    <row r="218" spans="2:6" s="88" customFormat="1" x14ac:dyDescent="0.2">
      <c r="B218" s="96"/>
      <c r="C218" s="96"/>
      <c r="D218" s="97"/>
      <c r="E218" s="96"/>
      <c r="F218" s="99"/>
    </row>
    <row r="219" spans="2:6" s="88" customFormat="1" x14ac:dyDescent="0.2">
      <c r="B219" s="96"/>
      <c r="C219" s="96"/>
      <c r="D219" s="97"/>
      <c r="E219" s="96"/>
      <c r="F219" s="99"/>
    </row>
    <row r="220" spans="2:6" s="88" customFormat="1" x14ac:dyDescent="0.2">
      <c r="B220" s="96"/>
      <c r="C220" s="96"/>
      <c r="D220" s="97"/>
      <c r="E220" s="96"/>
      <c r="F220" s="99"/>
    </row>
    <row r="221" spans="2:6" s="88" customFormat="1" x14ac:dyDescent="0.2">
      <c r="B221" s="96"/>
      <c r="C221" s="96"/>
      <c r="D221" s="97"/>
      <c r="E221" s="96"/>
      <c r="F221" s="99"/>
    </row>
    <row r="222" spans="2:6" s="88" customFormat="1" x14ac:dyDescent="0.2">
      <c r="B222" s="96"/>
      <c r="C222" s="96"/>
      <c r="D222" s="97"/>
      <c r="E222" s="96"/>
      <c r="F222" s="99"/>
    </row>
    <row r="223" spans="2:6" s="88" customFormat="1" x14ac:dyDescent="0.2">
      <c r="B223" s="96"/>
      <c r="C223" s="96"/>
      <c r="D223" s="97"/>
      <c r="E223" s="96"/>
      <c r="F223" s="99"/>
    </row>
    <row r="224" spans="2:6" s="88" customFormat="1" x14ac:dyDescent="0.2">
      <c r="B224" s="96"/>
      <c r="C224" s="96"/>
      <c r="D224" s="97"/>
      <c r="E224" s="96"/>
      <c r="F224" s="99"/>
    </row>
    <row r="225" spans="2:6" s="88" customFormat="1" x14ac:dyDescent="0.2">
      <c r="B225" s="96"/>
      <c r="C225" s="96"/>
      <c r="D225" s="97"/>
      <c r="E225" s="96"/>
      <c r="F225" s="99"/>
    </row>
    <row r="226" spans="2:6" s="88" customFormat="1" x14ac:dyDescent="0.2">
      <c r="B226" s="96"/>
      <c r="C226" s="96"/>
      <c r="D226" s="97"/>
      <c r="E226" s="96"/>
      <c r="F226" s="99"/>
    </row>
    <row r="227" spans="2:6" s="88" customFormat="1" x14ac:dyDescent="0.2">
      <c r="B227" s="96"/>
      <c r="C227" s="96"/>
      <c r="D227" s="97"/>
      <c r="E227" s="96"/>
      <c r="F227" s="99"/>
    </row>
    <row r="228" spans="2:6" s="88" customFormat="1" x14ac:dyDescent="0.2">
      <c r="B228" s="96"/>
      <c r="C228" s="96"/>
      <c r="D228" s="97"/>
      <c r="E228" s="96"/>
      <c r="F228" s="99"/>
    </row>
    <row r="229" spans="2:6" s="88" customFormat="1" x14ac:dyDescent="0.2">
      <c r="B229" s="96"/>
      <c r="C229" s="96"/>
      <c r="D229" s="97"/>
      <c r="E229" s="96"/>
      <c r="F229" s="99"/>
    </row>
    <row r="230" spans="2:6" s="88" customFormat="1" x14ac:dyDescent="0.2">
      <c r="B230" s="96"/>
      <c r="C230" s="96"/>
      <c r="D230" s="97"/>
      <c r="E230" s="96"/>
      <c r="F230" s="99"/>
    </row>
    <row r="231" spans="2:6" s="88" customFormat="1" x14ac:dyDescent="0.2">
      <c r="B231" s="96"/>
      <c r="C231" s="96"/>
      <c r="D231" s="97"/>
      <c r="E231" s="96"/>
      <c r="F231" s="99"/>
    </row>
    <row r="232" spans="2:6" s="88" customFormat="1" x14ac:dyDescent="0.2">
      <c r="B232" s="96"/>
      <c r="C232" s="96"/>
      <c r="D232" s="97"/>
      <c r="E232" s="96"/>
      <c r="F232" s="99"/>
    </row>
    <row r="233" spans="2:6" s="88" customFormat="1" x14ac:dyDescent="0.2">
      <c r="B233" s="96"/>
      <c r="C233" s="96"/>
      <c r="D233" s="97"/>
      <c r="E233" s="96"/>
      <c r="F233" s="99"/>
    </row>
    <row r="234" spans="2:6" s="88" customFormat="1" x14ac:dyDescent="0.2">
      <c r="B234" s="96"/>
      <c r="C234" s="96"/>
      <c r="D234" s="97"/>
      <c r="E234" s="96"/>
      <c r="F234" s="99"/>
    </row>
    <row r="235" spans="2:6" s="88" customFormat="1" x14ac:dyDescent="0.2">
      <c r="B235" s="96"/>
      <c r="C235" s="96"/>
      <c r="D235" s="97"/>
      <c r="E235" s="96"/>
      <c r="F235" s="99"/>
    </row>
    <row r="236" spans="2:6" s="88" customFormat="1" x14ac:dyDescent="0.2">
      <c r="B236" s="96"/>
      <c r="C236" s="96"/>
      <c r="D236" s="97"/>
      <c r="E236" s="96"/>
      <c r="F236" s="99"/>
    </row>
    <row r="237" spans="2:6" s="88" customFormat="1" x14ac:dyDescent="0.2">
      <c r="B237" s="96"/>
      <c r="C237" s="96"/>
      <c r="D237" s="97"/>
      <c r="E237" s="96"/>
      <c r="F237" s="99"/>
    </row>
    <row r="238" spans="2:6" s="88" customFormat="1" x14ac:dyDescent="0.2">
      <c r="B238" s="96"/>
      <c r="C238" s="96"/>
      <c r="D238" s="97"/>
      <c r="E238" s="96"/>
      <c r="F238" s="99"/>
    </row>
    <row r="239" spans="2:6" s="88" customFormat="1" x14ac:dyDescent="0.2">
      <c r="B239" s="96"/>
      <c r="C239" s="96"/>
      <c r="D239" s="97"/>
      <c r="E239" s="96"/>
      <c r="F239" s="99"/>
    </row>
    <row r="240" spans="2:6" s="88" customFormat="1" x14ac:dyDescent="0.2">
      <c r="B240" s="96"/>
      <c r="C240" s="96"/>
      <c r="D240" s="97"/>
      <c r="E240" s="96"/>
      <c r="F240" s="99"/>
    </row>
    <row r="241" spans="2:6" s="88" customFormat="1" x14ac:dyDescent="0.2">
      <c r="B241" s="96"/>
      <c r="C241" s="96"/>
      <c r="D241" s="97"/>
      <c r="E241" s="96"/>
      <c r="F241" s="99"/>
    </row>
    <row r="242" spans="2:6" s="88" customFormat="1" x14ac:dyDescent="0.2">
      <c r="B242" s="96"/>
      <c r="C242" s="96"/>
      <c r="D242" s="97"/>
      <c r="E242" s="96"/>
      <c r="F242" s="99"/>
    </row>
    <row r="243" spans="2:6" s="88" customFormat="1" x14ac:dyDescent="0.2">
      <c r="B243" s="96"/>
      <c r="C243" s="96"/>
      <c r="D243" s="97"/>
      <c r="E243" s="96"/>
      <c r="F243" s="99"/>
    </row>
    <row r="244" spans="2:6" s="88" customFormat="1" x14ac:dyDescent="0.2">
      <c r="B244" s="96"/>
      <c r="C244" s="96"/>
      <c r="D244" s="97"/>
      <c r="E244" s="96"/>
      <c r="F244" s="99"/>
    </row>
    <row r="245" spans="2:6" s="88" customFormat="1" x14ac:dyDescent="0.2">
      <c r="B245" s="96"/>
      <c r="C245" s="96"/>
      <c r="D245" s="97"/>
      <c r="E245" s="96"/>
      <c r="F245" s="99"/>
    </row>
    <row r="246" spans="2:6" s="88" customFormat="1" x14ac:dyDescent="0.2">
      <c r="B246" s="96"/>
      <c r="C246" s="96"/>
      <c r="D246" s="97"/>
      <c r="E246" s="96"/>
      <c r="F246" s="99"/>
    </row>
    <row r="247" spans="2:6" s="88" customFormat="1" x14ac:dyDescent="0.2">
      <c r="B247" s="96"/>
      <c r="C247" s="96"/>
      <c r="D247" s="97"/>
      <c r="E247" s="96"/>
      <c r="F247" s="99"/>
    </row>
    <row r="248" spans="2:6" s="88" customFormat="1" x14ac:dyDescent="0.2">
      <c r="B248" s="96"/>
      <c r="C248" s="96"/>
      <c r="D248" s="97"/>
      <c r="E248" s="96"/>
      <c r="F248" s="99"/>
    </row>
    <row r="249" spans="2:6" s="88" customFormat="1" x14ac:dyDescent="0.2">
      <c r="B249" s="96"/>
      <c r="C249" s="96"/>
      <c r="D249" s="97"/>
      <c r="E249" s="96"/>
      <c r="F249" s="99"/>
    </row>
    <row r="250" spans="2:6" s="88" customFormat="1" x14ac:dyDescent="0.2">
      <c r="B250" s="96"/>
      <c r="C250" s="96"/>
      <c r="D250" s="97"/>
      <c r="E250" s="96"/>
      <c r="F250" s="99"/>
    </row>
    <row r="251" spans="2:6" s="88" customFormat="1" x14ac:dyDescent="0.2">
      <c r="B251" s="96"/>
      <c r="C251" s="96"/>
      <c r="D251" s="97"/>
      <c r="E251" s="96"/>
      <c r="F251" s="99"/>
    </row>
    <row r="252" spans="2:6" s="88" customFormat="1" x14ac:dyDescent="0.2">
      <c r="B252" s="96"/>
      <c r="C252" s="96"/>
      <c r="D252" s="97"/>
      <c r="E252" s="96"/>
      <c r="F252" s="99"/>
    </row>
    <row r="253" spans="2:6" s="88" customFormat="1" x14ac:dyDescent="0.2">
      <c r="B253" s="96"/>
      <c r="C253" s="96"/>
      <c r="D253" s="97"/>
      <c r="E253" s="96"/>
      <c r="F253" s="99"/>
    </row>
    <row r="254" spans="2:6" s="88" customFormat="1" x14ac:dyDescent="0.2">
      <c r="B254" s="96"/>
      <c r="C254" s="96"/>
      <c r="D254" s="97"/>
      <c r="E254" s="96"/>
      <c r="F254" s="99"/>
    </row>
    <row r="255" spans="2:6" s="88" customFormat="1" x14ac:dyDescent="0.2">
      <c r="B255" s="96"/>
      <c r="C255" s="96"/>
      <c r="D255" s="97"/>
      <c r="E255" s="96"/>
      <c r="F255" s="99"/>
    </row>
    <row r="256" spans="2:6" s="88" customFormat="1" x14ac:dyDescent="0.2">
      <c r="B256" s="96"/>
      <c r="C256" s="96"/>
      <c r="D256" s="97"/>
      <c r="E256" s="96"/>
      <c r="F256" s="99"/>
    </row>
    <row r="257" spans="2:6" s="88" customFormat="1" x14ac:dyDescent="0.2">
      <c r="B257" s="96"/>
      <c r="C257" s="96"/>
      <c r="D257" s="97"/>
      <c r="E257" s="96"/>
      <c r="F257" s="99"/>
    </row>
    <row r="258" spans="2:6" s="88" customFormat="1" x14ac:dyDescent="0.2">
      <c r="B258" s="96"/>
      <c r="C258" s="96"/>
      <c r="D258" s="97"/>
      <c r="E258" s="96"/>
      <c r="F258" s="99"/>
    </row>
    <row r="259" spans="2:6" s="88" customFormat="1" x14ac:dyDescent="0.2">
      <c r="B259" s="96"/>
      <c r="C259" s="96"/>
      <c r="D259" s="97"/>
      <c r="E259" s="96"/>
      <c r="F259" s="99"/>
    </row>
    <row r="260" spans="2:6" s="88" customFormat="1" x14ac:dyDescent="0.2">
      <c r="B260" s="96"/>
      <c r="C260" s="96"/>
      <c r="D260" s="97"/>
      <c r="E260" s="96"/>
      <c r="F260" s="99"/>
    </row>
    <row r="261" spans="2:6" s="88" customFormat="1" x14ac:dyDescent="0.2">
      <c r="B261" s="96"/>
      <c r="C261" s="96"/>
      <c r="D261" s="97"/>
      <c r="E261" s="96"/>
      <c r="F261" s="99"/>
    </row>
    <row r="262" spans="2:6" s="88" customFormat="1" x14ac:dyDescent="0.2">
      <c r="B262" s="96"/>
      <c r="C262" s="96"/>
      <c r="D262" s="97"/>
      <c r="E262" s="96"/>
      <c r="F262" s="99"/>
    </row>
    <row r="263" spans="2:6" s="88" customFormat="1" x14ac:dyDescent="0.2">
      <c r="B263" s="96"/>
      <c r="C263" s="96"/>
      <c r="D263" s="97"/>
      <c r="E263" s="96"/>
      <c r="F263" s="99"/>
    </row>
    <row r="264" spans="2:6" s="88" customFormat="1" x14ac:dyDescent="0.2">
      <c r="B264" s="96"/>
      <c r="C264" s="96"/>
      <c r="D264" s="97"/>
      <c r="E264" s="96"/>
      <c r="F264" s="99"/>
    </row>
    <row r="265" spans="2:6" s="88" customFormat="1" x14ac:dyDescent="0.2">
      <c r="B265" s="96"/>
      <c r="C265" s="96"/>
      <c r="D265" s="97"/>
      <c r="E265" s="96"/>
      <c r="F265" s="99"/>
    </row>
    <row r="266" spans="2:6" s="88" customFormat="1" x14ac:dyDescent="0.2">
      <c r="B266" s="96"/>
      <c r="C266" s="96"/>
      <c r="D266" s="97"/>
      <c r="E266" s="96"/>
      <c r="F266" s="99"/>
    </row>
    <row r="267" spans="2:6" s="88" customFormat="1" x14ac:dyDescent="0.2">
      <c r="B267" s="96"/>
      <c r="C267" s="96"/>
      <c r="D267" s="97"/>
      <c r="E267" s="96"/>
      <c r="F267" s="99"/>
    </row>
    <row r="268" spans="2:6" s="88" customFormat="1" x14ac:dyDescent="0.2">
      <c r="B268" s="96"/>
      <c r="C268" s="96"/>
      <c r="D268" s="97"/>
      <c r="E268" s="96"/>
      <c r="F268" s="99"/>
    </row>
    <row r="269" spans="2:6" s="88" customFormat="1" x14ac:dyDescent="0.2">
      <c r="B269" s="96"/>
      <c r="C269" s="96"/>
      <c r="D269" s="97"/>
      <c r="E269" s="96"/>
      <c r="F269" s="99"/>
    </row>
    <row r="270" spans="2:6" s="88" customFormat="1" x14ac:dyDescent="0.2">
      <c r="B270" s="96"/>
      <c r="C270" s="96"/>
      <c r="D270" s="97"/>
      <c r="E270" s="96"/>
      <c r="F270" s="99"/>
    </row>
    <row r="271" spans="2:6" s="88" customFormat="1" x14ac:dyDescent="0.2">
      <c r="B271" s="96"/>
      <c r="C271" s="96"/>
      <c r="D271" s="97"/>
      <c r="E271" s="96"/>
      <c r="F271" s="99"/>
    </row>
    <row r="272" spans="2:6" s="88" customFormat="1" x14ac:dyDescent="0.2">
      <c r="B272" s="96"/>
      <c r="C272" s="96"/>
      <c r="D272" s="97"/>
      <c r="E272" s="96"/>
      <c r="F272" s="99"/>
    </row>
    <row r="273" spans="2:6" s="88" customFormat="1" x14ac:dyDescent="0.2">
      <c r="B273" s="96"/>
      <c r="C273" s="96"/>
      <c r="D273" s="97"/>
      <c r="E273" s="96"/>
      <c r="F273" s="99"/>
    </row>
    <row r="274" spans="2:6" s="88" customFormat="1" x14ac:dyDescent="0.2">
      <c r="B274" s="96"/>
      <c r="C274" s="96"/>
      <c r="D274" s="97"/>
      <c r="E274" s="96"/>
      <c r="F274" s="99"/>
    </row>
    <row r="275" spans="2:6" s="88" customFormat="1" x14ac:dyDescent="0.2">
      <c r="B275" s="96"/>
      <c r="C275" s="96"/>
      <c r="D275" s="97"/>
      <c r="E275" s="96"/>
      <c r="F275" s="99"/>
    </row>
    <row r="276" spans="2:6" s="88" customFormat="1" x14ac:dyDescent="0.2">
      <c r="B276" s="96"/>
      <c r="C276" s="96"/>
      <c r="D276" s="97"/>
      <c r="E276" s="96"/>
      <c r="F276" s="99"/>
    </row>
    <row r="277" spans="2:6" s="88" customFormat="1" x14ac:dyDescent="0.2">
      <c r="B277" s="96"/>
      <c r="C277" s="96"/>
      <c r="D277" s="97"/>
      <c r="E277" s="96"/>
      <c r="F277" s="99"/>
    </row>
    <row r="278" spans="2:6" s="88" customFormat="1" x14ac:dyDescent="0.2">
      <c r="B278" s="96"/>
      <c r="C278" s="96"/>
      <c r="D278" s="97"/>
      <c r="E278" s="96"/>
      <c r="F278" s="99"/>
    </row>
    <row r="279" spans="2:6" s="88" customFormat="1" x14ac:dyDescent="0.2">
      <c r="B279" s="96"/>
      <c r="C279" s="96"/>
      <c r="D279" s="97"/>
      <c r="E279" s="96"/>
      <c r="F279" s="99"/>
    </row>
    <row r="280" spans="2:6" s="88" customFormat="1" x14ac:dyDescent="0.2">
      <c r="B280" s="96"/>
      <c r="C280" s="96"/>
      <c r="D280" s="97"/>
      <c r="E280" s="96"/>
      <c r="F280" s="99"/>
    </row>
    <row r="281" spans="2:6" s="88" customFormat="1" x14ac:dyDescent="0.2">
      <c r="B281" s="96"/>
      <c r="C281" s="96"/>
      <c r="D281" s="97"/>
      <c r="E281" s="96"/>
      <c r="F281" s="99"/>
    </row>
    <row r="282" spans="2:6" s="88" customFormat="1" x14ac:dyDescent="0.2">
      <c r="B282" s="96"/>
      <c r="C282" s="96"/>
      <c r="D282" s="97"/>
      <c r="E282" s="96"/>
      <c r="F282" s="99"/>
    </row>
    <row r="283" spans="2:6" s="88" customFormat="1" x14ac:dyDescent="0.2">
      <c r="B283" s="96"/>
      <c r="C283" s="96"/>
      <c r="D283" s="97"/>
      <c r="E283" s="96"/>
      <c r="F283" s="99"/>
    </row>
    <row r="284" spans="2:6" s="88" customFormat="1" x14ac:dyDescent="0.2">
      <c r="B284" s="96"/>
      <c r="C284" s="96"/>
      <c r="D284" s="97"/>
      <c r="E284" s="96"/>
      <c r="F284" s="99"/>
    </row>
    <row r="285" spans="2:6" s="88" customFormat="1" x14ac:dyDescent="0.2">
      <c r="B285" s="96"/>
      <c r="C285" s="96"/>
      <c r="D285" s="97"/>
      <c r="E285" s="96"/>
      <c r="F285" s="99"/>
    </row>
    <row r="286" spans="2:6" s="88" customFormat="1" x14ac:dyDescent="0.2">
      <c r="B286" s="96"/>
      <c r="C286" s="96"/>
      <c r="D286" s="97"/>
      <c r="E286" s="96"/>
      <c r="F286" s="99"/>
    </row>
    <row r="287" spans="2:6" s="88" customFormat="1" x14ac:dyDescent="0.2">
      <c r="B287" s="96"/>
      <c r="C287" s="96"/>
      <c r="D287" s="97"/>
      <c r="E287" s="96"/>
      <c r="F287" s="99"/>
    </row>
    <row r="288" spans="2:6" s="88" customFormat="1" x14ac:dyDescent="0.2">
      <c r="B288" s="96"/>
      <c r="C288" s="96"/>
      <c r="D288" s="97"/>
      <c r="E288" s="96"/>
      <c r="F288" s="99"/>
    </row>
    <row r="289" spans="2:6" s="88" customFormat="1" x14ac:dyDescent="0.2">
      <c r="B289" s="96"/>
      <c r="C289" s="96"/>
      <c r="D289" s="97"/>
      <c r="E289" s="96"/>
      <c r="F289" s="99"/>
    </row>
    <row r="290" spans="2:6" s="88" customFormat="1" x14ac:dyDescent="0.2">
      <c r="B290" s="96"/>
      <c r="C290" s="96"/>
      <c r="D290" s="97"/>
      <c r="E290" s="96"/>
      <c r="F290" s="99"/>
    </row>
    <row r="291" spans="2:6" s="88" customFormat="1" x14ac:dyDescent="0.2">
      <c r="B291" s="96"/>
      <c r="C291" s="96"/>
      <c r="D291" s="97"/>
      <c r="E291" s="96"/>
      <c r="F291" s="99"/>
    </row>
    <row r="292" spans="2:6" s="88" customFormat="1" x14ac:dyDescent="0.2">
      <c r="B292" s="96"/>
      <c r="C292" s="96"/>
      <c r="D292" s="97"/>
      <c r="E292" s="96"/>
      <c r="F292" s="99"/>
    </row>
    <row r="293" spans="2:6" s="88" customFormat="1" x14ac:dyDescent="0.2">
      <c r="B293" s="96"/>
      <c r="C293" s="96"/>
      <c r="D293" s="97"/>
      <c r="E293" s="96"/>
      <c r="F293" s="99"/>
    </row>
    <row r="294" spans="2:6" s="88" customFormat="1" x14ac:dyDescent="0.2">
      <c r="B294" s="96"/>
      <c r="C294" s="96"/>
      <c r="D294" s="97"/>
      <c r="E294" s="96"/>
      <c r="F294" s="99"/>
    </row>
    <row r="295" spans="2:6" s="88" customFormat="1" x14ac:dyDescent="0.2">
      <c r="B295" s="96"/>
      <c r="C295" s="96"/>
      <c r="D295" s="97"/>
      <c r="E295" s="96"/>
      <c r="F295" s="99"/>
    </row>
    <row r="296" spans="2:6" s="88" customFormat="1" x14ac:dyDescent="0.2">
      <c r="B296" s="96"/>
      <c r="C296" s="96"/>
      <c r="D296" s="97"/>
      <c r="E296" s="96"/>
      <c r="F296" s="99"/>
    </row>
    <row r="297" spans="2:6" s="88" customFormat="1" x14ac:dyDescent="0.2">
      <c r="B297" s="96"/>
      <c r="C297" s="96"/>
      <c r="D297" s="97"/>
      <c r="E297" s="96"/>
      <c r="F297" s="99"/>
    </row>
    <row r="298" spans="2:6" s="88" customFormat="1" x14ac:dyDescent="0.2">
      <c r="B298" s="96"/>
      <c r="C298" s="96"/>
      <c r="D298" s="97"/>
      <c r="E298" s="96"/>
      <c r="F298" s="99"/>
    </row>
    <row r="299" spans="2:6" s="88" customFormat="1" x14ac:dyDescent="0.2">
      <c r="B299" s="96"/>
      <c r="C299" s="96"/>
      <c r="D299" s="97"/>
      <c r="E299" s="96"/>
      <c r="F299" s="99"/>
    </row>
    <row r="300" spans="2:6" s="88" customFormat="1" x14ac:dyDescent="0.2">
      <c r="B300" s="96"/>
      <c r="C300" s="96"/>
      <c r="D300" s="97"/>
      <c r="E300" s="96"/>
      <c r="F300" s="99"/>
    </row>
    <row r="301" spans="2:6" s="88" customFormat="1" x14ac:dyDescent="0.2">
      <c r="B301" s="96"/>
      <c r="C301" s="96"/>
      <c r="D301" s="97"/>
      <c r="E301" s="96"/>
      <c r="F301" s="99"/>
    </row>
    <row r="302" spans="2:6" s="88" customFormat="1" x14ac:dyDescent="0.2">
      <c r="B302" s="96"/>
      <c r="C302" s="96"/>
      <c r="D302" s="97"/>
      <c r="E302" s="96"/>
      <c r="F302" s="99"/>
    </row>
    <row r="303" spans="2:6" s="88" customFormat="1" x14ac:dyDescent="0.2">
      <c r="B303" s="96"/>
      <c r="C303" s="96"/>
      <c r="D303" s="97"/>
      <c r="E303" s="96"/>
      <c r="F303" s="99"/>
    </row>
    <row r="304" spans="2:6" s="88" customFormat="1" x14ac:dyDescent="0.2">
      <c r="B304" s="96"/>
      <c r="C304" s="96"/>
      <c r="D304" s="97"/>
      <c r="E304" s="96"/>
      <c r="F304" s="99"/>
    </row>
    <row r="305" spans="2:6" s="88" customFormat="1" x14ac:dyDescent="0.2">
      <c r="B305" s="96"/>
      <c r="C305" s="96"/>
      <c r="D305" s="97"/>
      <c r="E305" s="96"/>
      <c r="F305" s="99"/>
    </row>
    <row r="306" spans="2:6" s="88" customFormat="1" x14ac:dyDescent="0.2">
      <c r="B306" s="96"/>
      <c r="C306" s="96"/>
      <c r="D306" s="97"/>
      <c r="E306" s="96"/>
      <c r="F306" s="99"/>
    </row>
    <row r="307" spans="2:6" s="88" customFormat="1" x14ac:dyDescent="0.2">
      <c r="B307" s="96"/>
      <c r="C307" s="96"/>
      <c r="D307" s="97"/>
      <c r="E307" s="96"/>
      <c r="F307" s="99"/>
    </row>
    <row r="308" spans="2:6" s="88" customFormat="1" x14ac:dyDescent="0.2">
      <c r="B308" s="96"/>
      <c r="C308" s="96"/>
      <c r="D308" s="97"/>
      <c r="E308" s="96"/>
      <c r="F308" s="99"/>
    </row>
    <row r="309" spans="2:6" s="88" customFormat="1" x14ac:dyDescent="0.2">
      <c r="B309" s="96"/>
      <c r="C309" s="96"/>
      <c r="D309" s="97"/>
      <c r="E309" s="96"/>
      <c r="F309" s="99"/>
    </row>
    <row r="310" spans="2:6" s="88" customFormat="1" x14ac:dyDescent="0.2">
      <c r="B310" s="96"/>
      <c r="C310" s="96"/>
      <c r="D310" s="97"/>
      <c r="E310" s="96"/>
      <c r="F310" s="99"/>
    </row>
    <row r="311" spans="2:6" s="88" customFormat="1" x14ac:dyDescent="0.2">
      <c r="B311" s="96"/>
      <c r="C311" s="96"/>
      <c r="D311" s="97"/>
      <c r="E311" s="96"/>
      <c r="F311" s="99"/>
    </row>
    <row r="312" spans="2:6" s="88" customFormat="1" x14ac:dyDescent="0.2">
      <c r="B312" s="96"/>
      <c r="C312" s="96"/>
      <c r="D312" s="97"/>
      <c r="E312" s="96"/>
      <c r="F312" s="99"/>
    </row>
    <row r="313" spans="2:6" s="88" customFormat="1" x14ac:dyDescent="0.2">
      <c r="B313" s="96"/>
      <c r="C313" s="96"/>
      <c r="D313" s="97"/>
      <c r="E313" s="96"/>
      <c r="F313" s="99"/>
    </row>
    <row r="314" spans="2:6" s="88" customFormat="1" x14ac:dyDescent="0.2">
      <c r="B314" s="96"/>
      <c r="C314" s="96"/>
      <c r="D314" s="97"/>
      <c r="E314" s="96"/>
      <c r="F314" s="99"/>
    </row>
    <row r="315" spans="2:6" s="88" customFormat="1" x14ac:dyDescent="0.2">
      <c r="B315" s="96"/>
      <c r="C315" s="96"/>
      <c r="D315" s="97"/>
      <c r="E315" s="96"/>
      <c r="F315" s="99"/>
    </row>
    <row r="316" spans="2:6" s="88" customFormat="1" x14ac:dyDescent="0.2">
      <c r="B316" s="96"/>
      <c r="C316" s="96"/>
      <c r="D316" s="97"/>
      <c r="E316" s="96"/>
      <c r="F316" s="99"/>
    </row>
    <row r="317" spans="2:6" s="88" customFormat="1" x14ac:dyDescent="0.2">
      <c r="B317" s="96"/>
      <c r="C317" s="96"/>
      <c r="D317" s="97"/>
      <c r="E317" s="96"/>
      <c r="F317" s="99"/>
    </row>
    <row r="318" spans="2:6" s="88" customFormat="1" x14ac:dyDescent="0.2">
      <c r="B318" s="96"/>
      <c r="C318" s="96"/>
      <c r="D318" s="97"/>
      <c r="E318" s="96"/>
      <c r="F318" s="99"/>
    </row>
    <row r="319" spans="2:6" s="88" customFormat="1" x14ac:dyDescent="0.2">
      <c r="B319" s="96"/>
      <c r="C319" s="96"/>
      <c r="D319" s="97"/>
      <c r="E319" s="96"/>
      <c r="F319" s="99"/>
    </row>
    <row r="320" spans="2:6" s="88" customFormat="1" x14ac:dyDescent="0.2">
      <c r="B320" s="96"/>
      <c r="C320" s="96"/>
      <c r="D320" s="97"/>
      <c r="E320" s="96"/>
      <c r="F320" s="99"/>
    </row>
    <row r="321" spans="2:6" s="88" customFormat="1" x14ac:dyDescent="0.2">
      <c r="B321" s="96"/>
      <c r="C321" s="96"/>
      <c r="D321" s="97"/>
      <c r="E321" s="96"/>
      <c r="F321" s="99"/>
    </row>
    <row r="322" spans="2:6" s="88" customFormat="1" x14ac:dyDescent="0.2">
      <c r="B322" s="96"/>
      <c r="C322" s="96"/>
      <c r="D322" s="97"/>
      <c r="E322" s="96"/>
      <c r="F322" s="99"/>
    </row>
    <row r="323" spans="2:6" s="88" customFormat="1" x14ac:dyDescent="0.2">
      <c r="B323" s="96"/>
      <c r="C323" s="96"/>
      <c r="D323" s="97"/>
      <c r="E323" s="96"/>
      <c r="F323" s="99"/>
    </row>
    <row r="324" spans="2:6" s="88" customFormat="1" x14ac:dyDescent="0.2">
      <c r="B324" s="96"/>
      <c r="C324" s="96"/>
      <c r="D324" s="97"/>
      <c r="E324" s="96"/>
      <c r="F324" s="99"/>
    </row>
    <row r="325" spans="2:6" s="88" customFormat="1" x14ac:dyDescent="0.2">
      <c r="B325" s="96"/>
      <c r="C325" s="96"/>
      <c r="D325" s="97"/>
      <c r="E325" s="96"/>
      <c r="F325" s="99"/>
    </row>
    <row r="326" spans="2:6" s="88" customFormat="1" x14ac:dyDescent="0.2">
      <c r="B326" s="96"/>
      <c r="C326" s="96"/>
      <c r="D326" s="97"/>
      <c r="E326" s="96"/>
      <c r="F326" s="99"/>
    </row>
    <row r="327" spans="2:6" s="88" customFormat="1" x14ac:dyDescent="0.2">
      <c r="B327" s="96"/>
      <c r="C327" s="96"/>
      <c r="D327" s="97"/>
      <c r="E327" s="96"/>
      <c r="F327" s="99"/>
    </row>
    <row r="328" spans="2:6" s="88" customFormat="1" x14ac:dyDescent="0.2">
      <c r="B328" s="96"/>
      <c r="C328" s="96"/>
      <c r="D328" s="97"/>
      <c r="E328" s="96"/>
      <c r="F328" s="99"/>
    </row>
    <row r="329" spans="2:6" s="88" customFormat="1" x14ac:dyDescent="0.2">
      <c r="B329" s="96"/>
      <c r="C329" s="96"/>
      <c r="D329" s="97"/>
      <c r="E329" s="96"/>
      <c r="F329" s="99"/>
    </row>
    <row r="330" spans="2:6" s="88" customFormat="1" x14ac:dyDescent="0.2">
      <c r="B330" s="96"/>
      <c r="C330" s="96"/>
      <c r="D330" s="97"/>
      <c r="E330" s="96"/>
      <c r="F330" s="99"/>
    </row>
    <row r="331" spans="2:6" s="88" customFormat="1" x14ac:dyDescent="0.2">
      <c r="B331" s="96"/>
      <c r="C331" s="96"/>
      <c r="D331" s="97"/>
      <c r="E331" s="96"/>
      <c r="F331" s="99"/>
    </row>
    <row r="332" spans="2:6" s="88" customFormat="1" x14ac:dyDescent="0.2">
      <c r="B332" s="96"/>
      <c r="C332" s="96"/>
      <c r="D332" s="97"/>
      <c r="E332" s="96"/>
      <c r="F332" s="99"/>
    </row>
    <row r="333" spans="2:6" s="88" customFormat="1" x14ac:dyDescent="0.2">
      <c r="B333" s="96"/>
      <c r="C333" s="96"/>
      <c r="D333" s="97"/>
      <c r="E333" s="96"/>
      <c r="F333" s="99"/>
    </row>
    <row r="334" spans="2:6" s="88" customFormat="1" x14ac:dyDescent="0.2">
      <c r="B334" s="96"/>
      <c r="C334" s="96"/>
      <c r="D334" s="97"/>
      <c r="E334" s="96"/>
      <c r="F334" s="99"/>
    </row>
    <row r="335" spans="2:6" s="88" customFormat="1" x14ac:dyDescent="0.2">
      <c r="B335" s="96"/>
      <c r="C335" s="96"/>
      <c r="D335" s="97"/>
      <c r="E335" s="96"/>
      <c r="F335" s="99"/>
    </row>
    <row r="336" spans="2:6" s="88" customFormat="1" x14ac:dyDescent="0.2">
      <c r="B336" s="96"/>
      <c r="C336" s="96"/>
      <c r="D336" s="97"/>
      <c r="E336" s="96"/>
      <c r="F336" s="99"/>
    </row>
    <row r="337" spans="2:6" s="88" customFormat="1" x14ac:dyDescent="0.2">
      <c r="B337" s="96"/>
      <c r="C337" s="96"/>
      <c r="D337" s="97"/>
      <c r="E337" s="96"/>
      <c r="F337" s="99"/>
    </row>
    <row r="338" spans="2:6" s="88" customFormat="1" x14ac:dyDescent="0.2">
      <c r="B338" s="96"/>
      <c r="C338" s="96"/>
      <c r="D338" s="97"/>
      <c r="E338" s="96"/>
      <c r="F338" s="99"/>
    </row>
    <row r="339" spans="2:6" s="88" customFormat="1" x14ac:dyDescent="0.2">
      <c r="B339" s="96"/>
      <c r="C339" s="96"/>
      <c r="D339" s="97"/>
      <c r="E339" s="96"/>
      <c r="F339" s="99"/>
    </row>
    <row r="340" spans="2:6" s="88" customFormat="1" x14ac:dyDescent="0.2">
      <c r="B340" s="96"/>
      <c r="C340" s="96"/>
      <c r="D340" s="97"/>
      <c r="E340" s="96"/>
      <c r="F340" s="99"/>
    </row>
    <row r="341" spans="2:6" s="88" customFormat="1" x14ac:dyDescent="0.2">
      <c r="B341" s="96"/>
      <c r="C341" s="96"/>
      <c r="D341" s="97"/>
      <c r="E341" s="96"/>
      <c r="F341" s="99"/>
    </row>
    <row r="342" spans="2:6" s="88" customFormat="1" x14ac:dyDescent="0.2">
      <c r="B342" s="96"/>
      <c r="C342" s="96"/>
      <c r="D342" s="97"/>
      <c r="E342" s="96"/>
      <c r="F342" s="99"/>
    </row>
    <row r="343" spans="2:6" s="88" customFormat="1" x14ac:dyDescent="0.2">
      <c r="B343" s="96"/>
      <c r="C343" s="96"/>
      <c r="D343" s="97"/>
      <c r="E343" s="96"/>
      <c r="F343" s="99"/>
    </row>
    <row r="344" spans="2:6" s="88" customFormat="1" x14ac:dyDescent="0.2">
      <c r="B344" s="96"/>
      <c r="C344" s="96"/>
      <c r="D344" s="97"/>
      <c r="E344" s="96"/>
      <c r="F344" s="99"/>
    </row>
    <row r="345" spans="2:6" s="88" customFormat="1" x14ac:dyDescent="0.2">
      <c r="B345" s="96"/>
      <c r="C345" s="96"/>
      <c r="D345" s="97"/>
      <c r="E345" s="96"/>
      <c r="F345" s="99"/>
    </row>
    <row r="346" spans="2:6" s="88" customFormat="1" x14ac:dyDescent="0.2">
      <c r="B346" s="96"/>
      <c r="C346" s="96"/>
      <c r="D346" s="97"/>
      <c r="E346" s="96"/>
      <c r="F346" s="99"/>
    </row>
    <row r="347" spans="2:6" s="88" customFormat="1" x14ac:dyDescent="0.2">
      <c r="B347" s="96"/>
      <c r="C347" s="96"/>
      <c r="D347" s="97"/>
      <c r="E347" s="96"/>
      <c r="F347" s="99"/>
    </row>
    <row r="348" spans="2:6" s="88" customFormat="1" x14ac:dyDescent="0.2">
      <c r="B348" s="96"/>
      <c r="C348" s="96"/>
      <c r="D348" s="97"/>
      <c r="E348" s="96"/>
      <c r="F348" s="99"/>
    </row>
    <row r="349" spans="2:6" s="88" customFormat="1" x14ac:dyDescent="0.2">
      <c r="B349" s="96"/>
      <c r="C349" s="96"/>
      <c r="D349" s="97"/>
      <c r="E349" s="96"/>
      <c r="F349" s="99"/>
    </row>
    <row r="350" spans="2:6" s="88" customFormat="1" x14ac:dyDescent="0.2">
      <c r="B350" s="96"/>
      <c r="C350" s="96"/>
      <c r="D350" s="97"/>
      <c r="E350" s="96"/>
      <c r="F350" s="99"/>
    </row>
    <row r="351" spans="2:6" s="88" customFormat="1" x14ac:dyDescent="0.2">
      <c r="B351" s="96"/>
      <c r="C351" s="96"/>
      <c r="D351" s="97"/>
      <c r="E351" s="96"/>
      <c r="F351" s="99"/>
    </row>
    <row r="352" spans="2:6" s="88" customFormat="1" x14ac:dyDescent="0.2">
      <c r="B352" s="96"/>
      <c r="C352" s="96"/>
      <c r="D352" s="97"/>
      <c r="E352" s="96"/>
      <c r="F352" s="99"/>
    </row>
    <row r="353" spans="2:6" s="88" customFormat="1" x14ac:dyDescent="0.2">
      <c r="B353" s="96"/>
      <c r="C353" s="96"/>
      <c r="D353" s="97"/>
      <c r="E353" s="96"/>
      <c r="F353" s="99"/>
    </row>
    <row r="354" spans="2:6" s="88" customFormat="1" x14ac:dyDescent="0.2">
      <c r="B354" s="96"/>
      <c r="C354" s="96"/>
      <c r="D354" s="97"/>
      <c r="E354" s="96"/>
      <c r="F354" s="99"/>
    </row>
    <row r="355" spans="2:6" s="88" customFormat="1" x14ac:dyDescent="0.2">
      <c r="B355" s="96"/>
      <c r="C355" s="96"/>
      <c r="D355" s="97"/>
      <c r="E355" s="96"/>
      <c r="F355" s="99"/>
    </row>
    <row r="356" spans="2:6" s="88" customFormat="1" x14ac:dyDescent="0.2">
      <c r="B356" s="96"/>
      <c r="C356" s="96"/>
      <c r="D356" s="97"/>
      <c r="E356" s="96"/>
      <c r="F356" s="99"/>
    </row>
    <row r="357" spans="2:6" s="88" customFormat="1" x14ac:dyDescent="0.2">
      <c r="B357" s="96"/>
      <c r="C357" s="96"/>
      <c r="D357" s="97"/>
      <c r="E357" s="96"/>
      <c r="F357" s="99"/>
    </row>
    <row r="358" spans="2:6" s="88" customFormat="1" x14ac:dyDescent="0.2">
      <c r="B358" s="96"/>
      <c r="C358" s="96"/>
      <c r="D358" s="97"/>
      <c r="E358" s="96"/>
      <c r="F358" s="99"/>
    </row>
    <row r="359" spans="2:6" s="88" customFormat="1" x14ac:dyDescent="0.2">
      <c r="B359" s="96"/>
      <c r="C359" s="96"/>
      <c r="D359" s="97"/>
      <c r="E359" s="96"/>
      <c r="F359" s="99"/>
    </row>
    <row r="360" spans="2:6" s="88" customFormat="1" x14ac:dyDescent="0.2">
      <c r="B360" s="96"/>
      <c r="C360" s="96"/>
      <c r="D360" s="97"/>
      <c r="E360" s="96"/>
      <c r="F360" s="99"/>
    </row>
    <row r="361" spans="2:6" s="88" customFormat="1" x14ac:dyDescent="0.2">
      <c r="B361" s="96"/>
      <c r="C361" s="96"/>
      <c r="D361" s="97"/>
      <c r="E361" s="96"/>
      <c r="F361" s="99"/>
    </row>
    <row r="362" spans="2:6" s="88" customFormat="1" x14ac:dyDescent="0.2">
      <c r="B362" s="96"/>
      <c r="C362" s="96"/>
      <c r="D362" s="97"/>
      <c r="E362" s="96"/>
      <c r="F362" s="99"/>
    </row>
    <row r="363" spans="2:6" s="88" customFormat="1" x14ac:dyDescent="0.2">
      <c r="B363" s="96"/>
      <c r="C363" s="96"/>
      <c r="D363" s="97"/>
      <c r="E363" s="96"/>
      <c r="F363" s="99"/>
    </row>
    <row r="364" spans="2:6" s="88" customFormat="1" x14ac:dyDescent="0.2">
      <c r="B364" s="96"/>
      <c r="C364" s="96"/>
      <c r="D364" s="97"/>
      <c r="E364" s="96"/>
      <c r="F364" s="99"/>
    </row>
    <row r="365" spans="2:6" s="88" customFormat="1" x14ac:dyDescent="0.2">
      <c r="B365" s="96"/>
      <c r="C365" s="96"/>
      <c r="D365" s="97"/>
      <c r="E365" s="96"/>
      <c r="F365" s="99"/>
    </row>
    <row r="366" spans="2:6" s="88" customFormat="1" x14ac:dyDescent="0.2">
      <c r="B366" s="96"/>
      <c r="C366" s="96"/>
      <c r="D366" s="97"/>
      <c r="E366" s="96"/>
      <c r="F366" s="99"/>
    </row>
    <row r="367" spans="2:6" s="88" customFormat="1" x14ac:dyDescent="0.2">
      <c r="B367" s="96"/>
      <c r="C367" s="96"/>
      <c r="D367" s="97"/>
      <c r="E367" s="96"/>
      <c r="F367" s="99"/>
    </row>
    <row r="368" spans="2:6" s="88" customFormat="1" x14ac:dyDescent="0.2">
      <c r="B368" s="96"/>
      <c r="C368" s="96"/>
      <c r="D368" s="97"/>
      <c r="E368" s="96"/>
      <c r="F368" s="99"/>
    </row>
    <row r="369" spans="2:6" s="88" customFormat="1" x14ac:dyDescent="0.2">
      <c r="B369" s="96"/>
      <c r="C369" s="96"/>
      <c r="D369" s="97"/>
      <c r="E369" s="96"/>
      <c r="F369" s="99"/>
    </row>
    <row r="370" spans="2:6" s="88" customFormat="1" x14ac:dyDescent="0.2">
      <c r="B370" s="96"/>
      <c r="C370" s="96"/>
      <c r="D370" s="97"/>
      <c r="E370" s="96"/>
      <c r="F370" s="99"/>
    </row>
    <row r="371" spans="2:6" s="88" customFormat="1" x14ac:dyDescent="0.2">
      <c r="B371" s="96"/>
      <c r="C371" s="96"/>
      <c r="D371" s="97"/>
      <c r="E371" s="96"/>
      <c r="F371" s="99"/>
    </row>
    <row r="372" spans="2:6" s="88" customFormat="1" x14ac:dyDescent="0.2">
      <c r="B372" s="96"/>
      <c r="C372" s="96"/>
      <c r="D372" s="97"/>
      <c r="E372" s="96"/>
      <c r="F372" s="99"/>
    </row>
    <row r="373" spans="2:6" s="88" customFormat="1" x14ac:dyDescent="0.2">
      <c r="B373" s="96"/>
      <c r="C373" s="96"/>
      <c r="D373" s="97"/>
      <c r="E373" s="96"/>
      <c r="F373" s="99"/>
    </row>
    <row r="374" spans="2:6" s="88" customFormat="1" x14ac:dyDescent="0.2">
      <c r="B374" s="96"/>
      <c r="C374" s="96"/>
      <c r="D374" s="97"/>
      <c r="E374" s="96"/>
      <c r="F374" s="99"/>
    </row>
    <row r="375" spans="2:6" s="88" customFormat="1" x14ac:dyDescent="0.2">
      <c r="B375" s="96"/>
      <c r="C375" s="96"/>
      <c r="D375" s="97"/>
      <c r="E375" s="96"/>
      <c r="F375" s="99"/>
    </row>
    <row r="376" spans="2:6" s="88" customFormat="1" x14ac:dyDescent="0.2">
      <c r="B376" s="96"/>
      <c r="C376" s="96"/>
      <c r="D376" s="97"/>
      <c r="E376" s="96"/>
      <c r="F376" s="99"/>
    </row>
    <row r="377" spans="2:6" s="88" customFormat="1" x14ac:dyDescent="0.2">
      <c r="B377" s="96"/>
      <c r="C377" s="96"/>
      <c r="D377" s="97"/>
      <c r="E377" s="96"/>
      <c r="F377" s="99"/>
    </row>
    <row r="378" spans="2:6" s="88" customFormat="1" x14ac:dyDescent="0.2">
      <c r="B378" s="96"/>
      <c r="C378" s="96"/>
      <c r="D378" s="97"/>
      <c r="E378" s="96"/>
      <c r="F378" s="99"/>
    </row>
    <row r="379" spans="2:6" s="88" customFormat="1" x14ac:dyDescent="0.2">
      <c r="B379" s="96"/>
      <c r="C379" s="96"/>
      <c r="D379" s="97"/>
      <c r="E379" s="96"/>
      <c r="F379" s="99"/>
    </row>
    <row r="380" spans="2:6" s="88" customFormat="1" x14ac:dyDescent="0.2">
      <c r="B380" s="96"/>
      <c r="C380" s="96"/>
      <c r="D380" s="97"/>
      <c r="E380" s="96"/>
      <c r="F380" s="99"/>
    </row>
    <row r="381" spans="2:6" s="88" customFormat="1" x14ac:dyDescent="0.2">
      <c r="B381" s="96"/>
      <c r="C381" s="96"/>
      <c r="D381" s="97"/>
      <c r="E381" s="96"/>
      <c r="F381" s="99"/>
    </row>
    <row r="382" spans="2:6" s="88" customFormat="1" x14ac:dyDescent="0.2">
      <c r="B382" s="96"/>
      <c r="C382" s="96"/>
      <c r="D382" s="97"/>
      <c r="E382" s="96"/>
      <c r="F382" s="99"/>
    </row>
    <row r="383" spans="2:6" s="88" customFormat="1" x14ac:dyDescent="0.2">
      <c r="B383" s="96"/>
      <c r="C383" s="96"/>
      <c r="D383" s="97"/>
      <c r="E383" s="96"/>
      <c r="F383" s="99"/>
    </row>
    <row r="384" spans="2:6" s="88" customFormat="1" x14ac:dyDescent="0.2">
      <c r="B384" s="96"/>
      <c r="C384" s="96"/>
      <c r="D384" s="97"/>
      <c r="E384" s="96"/>
      <c r="F384" s="99"/>
    </row>
    <row r="385" spans="2:6" s="88" customFormat="1" x14ac:dyDescent="0.2">
      <c r="B385" s="96"/>
      <c r="C385" s="96"/>
      <c r="D385" s="97"/>
      <c r="E385" s="96"/>
      <c r="F385" s="99"/>
    </row>
    <row r="386" spans="2:6" s="88" customFormat="1" x14ac:dyDescent="0.2">
      <c r="B386" s="96"/>
      <c r="C386" s="96"/>
      <c r="D386" s="97"/>
      <c r="E386" s="96"/>
      <c r="F386" s="99"/>
    </row>
    <row r="387" spans="2:6" s="88" customFormat="1" x14ac:dyDescent="0.2">
      <c r="B387" s="96"/>
      <c r="C387" s="96"/>
      <c r="D387" s="97"/>
      <c r="E387" s="96"/>
      <c r="F387" s="99"/>
    </row>
    <row r="388" spans="2:6" s="88" customFormat="1" x14ac:dyDescent="0.2">
      <c r="B388" s="96"/>
      <c r="C388" s="96"/>
      <c r="D388" s="97"/>
      <c r="E388" s="96"/>
      <c r="F388" s="99"/>
    </row>
    <row r="389" spans="2:6" s="88" customFormat="1" x14ac:dyDescent="0.2">
      <c r="B389" s="96"/>
      <c r="C389" s="96"/>
      <c r="D389" s="97"/>
      <c r="E389" s="96"/>
      <c r="F389" s="99"/>
    </row>
    <row r="390" spans="2:6" s="88" customFormat="1" x14ac:dyDescent="0.2">
      <c r="B390" s="96"/>
      <c r="C390" s="96"/>
      <c r="D390" s="97"/>
      <c r="E390" s="96"/>
      <c r="F390" s="99"/>
    </row>
    <row r="391" spans="2:6" s="88" customFormat="1" x14ac:dyDescent="0.2">
      <c r="B391" s="96"/>
      <c r="C391" s="96"/>
      <c r="D391" s="97"/>
      <c r="E391" s="96"/>
      <c r="F391" s="99"/>
    </row>
    <row r="392" spans="2:6" s="88" customFormat="1" x14ac:dyDescent="0.2">
      <c r="B392" s="96"/>
      <c r="C392" s="96"/>
      <c r="D392" s="97"/>
      <c r="E392" s="96"/>
      <c r="F392" s="99"/>
    </row>
    <row r="393" spans="2:6" s="88" customFormat="1" x14ac:dyDescent="0.2">
      <c r="B393" s="96"/>
      <c r="C393" s="96"/>
      <c r="D393" s="97"/>
      <c r="E393" s="96"/>
      <c r="F393" s="99"/>
    </row>
    <row r="394" spans="2:6" s="88" customFormat="1" x14ac:dyDescent="0.2">
      <c r="B394" s="96"/>
      <c r="C394" s="96"/>
      <c r="D394" s="97"/>
      <c r="E394" s="96"/>
      <c r="F394" s="99"/>
    </row>
    <row r="395" spans="2:6" s="88" customFormat="1" x14ac:dyDescent="0.2">
      <c r="B395" s="96"/>
      <c r="C395" s="96"/>
      <c r="D395" s="97"/>
      <c r="E395" s="96"/>
      <c r="F395" s="99"/>
    </row>
    <row r="396" spans="2:6" s="88" customFormat="1" x14ac:dyDescent="0.2">
      <c r="B396" s="96"/>
      <c r="C396" s="96"/>
      <c r="D396" s="97"/>
      <c r="E396" s="96"/>
      <c r="F396" s="99"/>
    </row>
    <row r="397" spans="2:6" s="88" customFormat="1" x14ac:dyDescent="0.2">
      <c r="B397" s="96"/>
      <c r="C397" s="96"/>
      <c r="D397" s="97"/>
      <c r="E397" s="96"/>
      <c r="F397" s="99"/>
    </row>
    <row r="398" spans="2:6" s="88" customFormat="1" x14ac:dyDescent="0.2">
      <c r="B398" s="96"/>
      <c r="C398" s="96"/>
      <c r="D398" s="97"/>
      <c r="E398" s="96"/>
      <c r="F398" s="99"/>
    </row>
    <row r="399" spans="2:6" s="88" customFormat="1" x14ac:dyDescent="0.2">
      <c r="B399" s="96"/>
      <c r="C399" s="96"/>
      <c r="D399" s="97"/>
      <c r="E399" s="96"/>
      <c r="F399" s="99"/>
    </row>
    <row r="400" spans="2:6" s="88" customFormat="1" x14ac:dyDescent="0.2">
      <c r="B400" s="96"/>
      <c r="C400" s="96"/>
      <c r="D400" s="97"/>
      <c r="E400" s="96"/>
      <c r="F400" s="99"/>
    </row>
    <row r="401" spans="2:6" s="88" customFormat="1" x14ac:dyDescent="0.2">
      <c r="B401" s="96"/>
      <c r="C401" s="96"/>
      <c r="D401" s="97"/>
      <c r="E401" s="96"/>
      <c r="F401" s="99"/>
    </row>
    <row r="402" spans="2:6" s="88" customFormat="1" x14ac:dyDescent="0.2">
      <c r="B402" s="96"/>
      <c r="C402" s="96"/>
      <c r="D402" s="97"/>
      <c r="E402" s="96"/>
      <c r="F402" s="99"/>
    </row>
    <row r="403" spans="2:6" s="88" customFormat="1" x14ac:dyDescent="0.2">
      <c r="B403" s="96"/>
      <c r="C403" s="96"/>
      <c r="D403" s="97"/>
      <c r="E403" s="96"/>
      <c r="F403" s="99"/>
    </row>
    <row r="404" spans="2:6" s="88" customFormat="1" x14ac:dyDescent="0.2">
      <c r="B404" s="96"/>
      <c r="C404" s="96"/>
      <c r="D404" s="97"/>
      <c r="E404" s="96"/>
      <c r="F404" s="99"/>
    </row>
    <row r="405" spans="2:6" s="88" customFormat="1" x14ac:dyDescent="0.2">
      <c r="B405" s="96"/>
      <c r="C405" s="96"/>
      <c r="D405" s="97"/>
      <c r="E405" s="96"/>
      <c r="F405" s="99"/>
    </row>
    <row r="406" spans="2:6" s="88" customFormat="1" x14ac:dyDescent="0.2">
      <c r="B406" s="96"/>
      <c r="C406" s="96"/>
      <c r="D406" s="97"/>
      <c r="E406" s="96"/>
      <c r="F406" s="99"/>
    </row>
    <row r="407" spans="2:6" s="88" customFormat="1" x14ac:dyDescent="0.2">
      <c r="B407" s="96"/>
      <c r="C407" s="96"/>
      <c r="D407" s="97"/>
      <c r="E407" s="96"/>
      <c r="F407" s="99"/>
    </row>
    <row r="408" spans="2:6" s="88" customFormat="1" x14ac:dyDescent="0.2">
      <c r="B408" s="96"/>
      <c r="C408" s="96"/>
      <c r="D408" s="97"/>
      <c r="E408" s="96"/>
      <c r="F408" s="99"/>
    </row>
    <row r="409" spans="2:6" s="88" customFormat="1" x14ac:dyDescent="0.2">
      <c r="B409" s="96"/>
      <c r="C409" s="96"/>
      <c r="D409" s="97"/>
      <c r="E409" s="96"/>
      <c r="F409" s="99"/>
    </row>
    <row r="410" spans="2:6" s="88" customFormat="1" x14ac:dyDescent="0.2">
      <c r="B410" s="96"/>
      <c r="C410" s="96"/>
      <c r="D410" s="97"/>
      <c r="E410" s="96"/>
      <c r="F410" s="99"/>
    </row>
    <row r="411" spans="2:6" s="88" customFormat="1" x14ac:dyDescent="0.2">
      <c r="B411" s="96"/>
      <c r="C411" s="96"/>
      <c r="D411" s="97"/>
      <c r="E411" s="96"/>
      <c r="F411" s="99"/>
    </row>
    <row r="412" spans="2:6" s="88" customFormat="1" x14ac:dyDescent="0.2">
      <c r="B412" s="96"/>
      <c r="C412" s="96"/>
      <c r="D412" s="97"/>
      <c r="E412" s="96"/>
      <c r="F412" s="99"/>
    </row>
    <row r="413" spans="2:6" s="88" customFormat="1" x14ac:dyDescent="0.2">
      <c r="B413" s="96"/>
      <c r="C413" s="96"/>
      <c r="D413" s="97"/>
      <c r="E413" s="96"/>
      <c r="F413" s="99"/>
    </row>
    <row r="414" spans="2:6" s="88" customFormat="1" x14ac:dyDescent="0.2">
      <c r="B414" s="96"/>
      <c r="C414" s="96"/>
      <c r="D414" s="97"/>
      <c r="E414" s="96"/>
      <c r="F414" s="99"/>
    </row>
    <row r="415" spans="2:6" s="88" customFormat="1" x14ac:dyDescent="0.2">
      <c r="B415" s="96"/>
      <c r="C415" s="96"/>
      <c r="D415" s="97"/>
      <c r="E415" s="96"/>
      <c r="F415" s="99"/>
    </row>
    <row r="416" spans="2:6" s="88" customFormat="1" x14ac:dyDescent="0.2">
      <c r="B416" s="96"/>
      <c r="C416" s="96"/>
      <c r="D416" s="97"/>
      <c r="E416" s="96"/>
      <c r="F416" s="99"/>
    </row>
    <row r="417" spans="2:6" s="88" customFormat="1" x14ac:dyDescent="0.2">
      <c r="B417" s="96"/>
      <c r="C417" s="96"/>
      <c r="D417" s="97"/>
      <c r="E417" s="96"/>
      <c r="F417" s="99"/>
    </row>
    <row r="418" spans="2:6" s="88" customFormat="1" x14ac:dyDescent="0.2">
      <c r="B418" s="96"/>
      <c r="C418" s="96"/>
      <c r="D418" s="97"/>
      <c r="E418" s="96"/>
      <c r="F418" s="99"/>
    </row>
    <row r="419" spans="2:6" s="88" customFormat="1" x14ac:dyDescent="0.2">
      <c r="B419" s="96"/>
      <c r="C419" s="96"/>
      <c r="D419" s="97"/>
      <c r="E419" s="96"/>
      <c r="F419" s="99"/>
    </row>
    <row r="420" spans="2:6" s="88" customFormat="1" x14ac:dyDescent="0.2">
      <c r="B420" s="96"/>
      <c r="C420" s="96"/>
      <c r="D420" s="97"/>
      <c r="E420" s="96"/>
      <c r="F420" s="99"/>
    </row>
    <row r="421" spans="2:6" s="88" customFormat="1" x14ac:dyDescent="0.2">
      <c r="B421" s="96"/>
      <c r="C421" s="96"/>
      <c r="D421" s="97"/>
      <c r="E421" s="96"/>
      <c r="F421" s="99"/>
    </row>
    <row r="422" spans="2:6" s="88" customFormat="1" x14ac:dyDescent="0.2">
      <c r="B422" s="96"/>
      <c r="C422" s="96"/>
      <c r="D422" s="97"/>
      <c r="E422" s="96"/>
      <c r="F422" s="99"/>
    </row>
    <row r="423" spans="2:6" s="88" customFormat="1" x14ac:dyDescent="0.2">
      <c r="B423" s="96"/>
      <c r="C423" s="96"/>
      <c r="D423" s="97"/>
      <c r="E423" s="96"/>
      <c r="F423" s="99"/>
    </row>
    <row r="424" spans="2:6" s="88" customFormat="1" x14ac:dyDescent="0.2">
      <c r="B424" s="96"/>
      <c r="C424" s="96"/>
      <c r="D424" s="97"/>
      <c r="E424" s="96"/>
      <c r="F424" s="99"/>
    </row>
    <row r="425" spans="2:6" s="88" customFormat="1" x14ac:dyDescent="0.2">
      <c r="B425" s="96"/>
      <c r="C425" s="96"/>
      <c r="D425" s="97"/>
      <c r="E425" s="96"/>
      <c r="F425" s="99"/>
    </row>
    <row r="426" spans="2:6" s="88" customFormat="1" x14ac:dyDescent="0.2">
      <c r="B426" s="96"/>
      <c r="C426" s="96"/>
      <c r="D426" s="97"/>
      <c r="E426" s="96"/>
      <c r="F426" s="99"/>
    </row>
    <row r="427" spans="2:6" s="88" customFormat="1" x14ac:dyDescent="0.2">
      <c r="B427" s="96"/>
      <c r="C427" s="96"/>
      <c r="D427" s="97"/>
      <c r="E427" s="96"/>
      <c r="F427" s="99"/>
    </row>
    <row r="428" spans="2:6" s="88" customFormat="1" x14ac:dyDescent="0.2">
      <c r="B428" s="96"/>
      <c r="C428" s="96"/>
      <c r="D428" s="97"/>
      <c r="E428" s="96"/>
      <c r="F428" s="99"/>
    </row>
    <row r="429" spans="2:6" s="88" customFormat="1" x14ac:dyDescent="0.2">
      <c r="B429" s="96"/>
      <c r="C429" s="96"/>
      <c r="D429" s="97"/>
      <c r="E429" s="96"/>
      <c r="F429" s="99"/>
    </row>
    <row r="430" spans="2:6" s="88" customFormat="1" x14ac:dyDescent="0.2">
      <c r="B430" s="96"/>
      <c r="C430" s="96"/>
      <c r="D430" s="97"/>
      <c r="E430" s="96"/>
      <c r="F430" s="99"/>
    </row>
    <row r="431" spans="2:6" s="88" customFormat="1" x14ac:dyDescent="0.2">
      <c r="B431" s="96"/>
      <c r="C431" s="96"/>
      <c r="D431" s="97"/>
      <c r="E431" s="96"/>
      <c r="F431" s="99"/>
    </row>
    <row r="432" spans="2:6" s="88" customFormat="1" x14ac:dyDescent="0.2">
      <c r="B432" s="96"/>
      <c r="C432" s="96"/>
      <c r="D432" s="97"/>
      <c r="E432" s="96"/>
      <c r="F432" s="99"/>
    </row>
    <row r="433" spans="2:6" s="88" customFormat="1" x14ac:dyDescent="0.2">
      <c r="B433" s="96"/>
      <c r="C433" s="96"/>
      <c r="D433" s="97"/>
      <c r="E433" s="96"/>
      <c r="F433" s="99"/>
    </row>
    <row r="434" spans="2:6" s="88" customFormat="1" x14ac:dyDescent="0.2">
      <c r="B434" s="96"/>
      <c r="C434" s="96"/>
      <c r="D434" s="97"/>
      <c r="E434" s="96"/>
      <c r="F434" s="99"/>
    </row>
    <row r="435" spans="2:6" s="88" customFormat="1" x14ac:dyDescent="0.2">
      <c r="B435" s="96"/>
      <c r="C435" s="96"/>
      <c r="D435" s="97"/>
      <c r="E435" s="96"/>
      <c r="F435" s="99"/>
    </row>
    <row r="436" spans="2:6" s="88" customFormat="1" x14ac:dyDescent="0.2">
      <c r="B436" s="96"/>
      <c r="C436" s="96"/>
      <c r="D436" s="97"/>
      <c r="E436" s="96"/>
      <c r="F436" s="99"/>
    </row>
    <row r="437" spans="2:6" s="88" customFormat="1" x14ac:dyDescent="0.2">
      <c r="B437" s="96"/>
      <c r="C437" s="96"/>
      <c r="D437" s="97"/>
      <c r="E437" s="96"/>
      <c r="F437" s="99"/>
    </row>
    <row r="438" spans="2:6" s="88" customFormat="1" x14ac:dyDescent="0.2">
      <c r="B438" s="96"/>
      <c r="C438" s="96"/>
      <c r="D438" s="97"/>
      <c r="E438" s="96"/>
      <c r="F438" s="99"/>
    </row>
    <row r="439" spans="2:6" s="88" customFormat="1" x14ac:dyDescent="0.2">
      <c r="B439" s="96"/>
      <c r="C439" s="96"/>
      <c r="D439" s="97"/>
      <c r="E439" s="96"/>
      <c r="F439" s="99"/>
    </row>
    <row r="440" spans="2:6" s="88" customFormat="1" x14ac:dyDescent="0.2">
      <c r="B440" s="96"/>
      <c r="C440" s="96"/>
      <c r="D440" s="97"/>
      <c r="E440" s="96"/>
      <c r="F440" s="99"/>
    </row>
    <row r="441" spans="2:6" s="88" customFormat="1" x14ac:dyDescent="0.2">
      <c r="B441" s="96"/>
      <c r="C441" s="96"/>
      <c r="D441" s="97"/>
      <c r="E441" s="96"/>
      <c r="F441" s="99"/>
    </row>
    <row r="442" spans="2:6" s="88" customFormat="1" x14ac:dyDescent="0.2">
      <c r="B442" s="96"/>
      <c r="C442" s="96"/>
      <c r="D442" s="97"/>
      <c r="E442" s="96"/>
      <c r="F442" s="99"/>
    </row>
    <row r="443" spans="2:6" s="88" customFormat="1" x14ac:dyDescent="0.2">
      <c r="B443" s="96"/>
      <c r="C443" s="96"/>
      <c r="D443" s="97"/>
      <c r="E443" s="96"/>
      <c r="F443" s="99"/>
    </row>
    <row r="444" spans="2:6" s="88" customFormat="1" x14ac:dyDescent="0.2">
      <c r="B444" s="96"/>
      <c r="C444" s="96"/>
      <c r="D444" s="97"/>
      <c r="E444" s="96"/>
      <c r="F444" s="99"/>
    </row>
    <row r="445" spans="2:6" s="88" customFormat="1" x14ac:dyDescent="0.2">
      <c r="B445" s="96"/>
      <c r="C445" s="96"/>
      <c r="D445" s="97"/>
      <c r="E445" s="96"/>
      <c r="F445" s="99"/>
    </row>
    <row r="446" spans="2:6" s="88" customFormat="1" x14ac:dyDescent="0.2">
      <c r="B446" s="96"/>
      <c r="C446" s="96"/>
      <c r="D446" s="97"/>
      <c r="E446" s="96"/>
      <c r="F446" s="99"/>
    </row>
    <row r="447" spans="2:6" s="88" customFormat="1" x14ac:dyDescent="0.2">
      <c r="B447" s="96"/>
      <c r="C447" s="96"/>
      <c r="D447" s="97"/>
      <c r="E447" s="96"/>
      <c r="F447" s="99"/>
    </row>
    <row r="448" spans="2:6" s="88" customFormat="1" x14ac:dyDescent="0.2">
      <c r="B448" s="96"/>
      <c r="C448" s="96"/>
      <c r="D448" s="97"/>
      <c r="E448" s="96"/>
      <c r="F448" s="99"/>
    </row>
    <row r="449" spans="2:6" s="88" customFormat="1" x14ac:dyDescent="0.2">
      <c r="B449" s="96"/>
      <c r="C449" s="96"/>
      <c r="D449" s="97"/>
      <c r="E449" s="96"/>
      <c r="F449" s="99"/>
    </row>
    <row r="450" spans="2:6" s="88" customFormat="1" x14ac:dyDescent="0.2">
      <c r="B450" s="96"/>
      <c r="C450" s="96"/>
      <c r="D450" s="97"/>
      <c r="E450" s="96"/>
      <c r="F450" s="99"/>
    </row>
    <row r="451" spans="2:6" s="88" customFormat="1" x14ac:dyDescent="0.2">
      <c r="B451" s="96"/>
      <c r="C451" s="96"/>
      <c r="D451" s="97"/>
      <c r="E451" s="96"/>
      <c r="F451" s="99"/>
    </row>
    <row r="452" spans="2:6" s="88" customFormat="1" x14ac:dyDescent="0.2">
      <c r="B452" s="96"/>
      <c r="C452" s="96"/>
      <c r="D452" s="97"/>
      <c r="E452" s="96"/>
      <c r="F452" s="99"/>
    </row>
    <row r="453" spans="2:6" s="88" customFormat="1" x14ac:dyDescent="0.2">
      <c r="B453" s="96"/>
      <c r="C453" s="96"/>
      <c r="D453" s="97"/>
      <c r="E453" s="96"/>
      <c r="F453" s="99"/>
    </row>
    <row r="454" spans="2:6" s="88" customFormat="1" x14ac:dyDescent="0.2">
      <c r="B454" s="96"/>
      <c r="C454" s="96"/>
      <c r="D454" s="97"/>
      <c r="E454" s="96"/>
      <c r="F454" s="99"/>
    </row>
    <row r="455" spans="2:6" s="88" customFormat="1" x14ac:dyDescent="0.2">
      <c r="B455" s="96"/>
      <c r="C455" s="96"/>
      <c r="D455" s="97"/>
      <c r="E455" s="96"/>
      <c r="F455" s="99"/>
    </row>
    <row r="456" spans="2:6" s="88" customFormat="1" x14ac:dyDescent="0.2">
      <c r="B456" s="96"/>
      <c r="C456" s="96"/>
      <c r="D456" s="97"/>
      <c r="E456" s="96"/>
      <c r="F456" s="99"/>
    </row>
    <row r="457" spans="2:6" s="88" customFormat="1" x14ac:dyDescent="0.2">
      <c r="B457" s="96"/>
      <c r="C457" s="96"/>
      <c r="D457" s="97"/>
      <c r="E457" s="96"/>
      <c r="F457" s="99"/>
    </row>
    <row r="458" spans="2:6" s="88" customFormat="1" x14ac:dyDescent="0.2">
      <c r="B458" s="96"/>
      <c r="C458" s="96"/>
      <c r="D458" s="97"/>
      <c r="E458" s="96"/>
      <c r="F458" s="99"/>
    </row>
    <row r="459" spans="2:6" s="88" customFormat="1" x14ac:dyDescent="0.2">
      <c r="B459" s="96"/>
      <c r="C459" s="96"/>
      <c r="D459" s="97"/>
      <c r="E459" s="96"/>
      <c r="F459" s="99"/>
    </row>
    <row r="460" spans="2:6" s="88" customFormat="1" x14ac:dyDescent="0.2">
      <c r="B460" s="96"/>
      <c r="C460" s="96"/>
      <c r="D460" s="97"/>
      <c r="E460" s="96"/>
      <c r="F460" s="99"/>
    </row>
    <row r="461" spans="2:6" s="88" customFormat="1" x14ac:dyDescent="0.2">
      <c r="B461" s="96"/>
      <c r="C461" s="96"/>
      <c r="D461" s="97"/>
      <c r="E461" s="96"/>
      <c r="F461" s="99"/>
    </row>
    <row r="462" spans="2:6" s="88" customFormat="1" x14ac:dyDescent="0.2">
      <c r="B462" s="96"/>
      <c r="C462" s="96"/>
      <c r="D462" s="97"/>
      <c r="E462" s="96"/>
      <c r="F462" s="99"/>
    </row>
    <row r="463" spans="2:6" s="88" customFormat="1" x14ac:dyDescent="0.2">
      <c r="B463" s="96"/>
      <c r="C463" s="96"/>
      <c r="D463" s="97"/>
      <c r="E463" s="96"/>
      <c r="F463" s="99"/>
    </row>
    <row r="464" spans="2:6" s="88" customFormat="1" x14ac:dyDescent="0.2">
      <c r="B464" s="96"/>
      <c r="C464" s="96"/>
      <c r="D464" s="97"/>
      <c r="E464" s="96"/>
      <c r="F464" s="99"/>
    </row>
    <row r="465" spans="2:6" s="88" customFormat="1" x14ac:dyDescent="0.2">
      <c r="B465" s="96"/>
      <c r="C465" s="96"/>
      <c r="D465" s="97"/>
      <c r="E465" s="96"/>
      <c r="F465" s="99"/>
    </row>
    <row r="466" spans="2:6" s="88" customFormat="1" x14ac:dyDescent="0.2">
      <c r="B466" s="96"/>
      <c r="C466" s="96"/>
      <c r="D466" s="97"/>
      <c r="E466" s="96"/>
      <c r="F466" s="99"/>
    </row>
    <row r="467" spans="2:6" s="88" customFormat="1" x14ac:dyDescent="0.2">
      <c r="B467" s="96"/>
      <c r="C467" s="96"/>
      <c r="D467" s="97"/>
      <c r="E467" s="96"/>
      <c r="F467" s="99"/>
    </row>
    <row r="468" spans="2:6" s="88" customFormat="1" x14ac:dyDescent="0.2">
      <c r="B468" s="96"/>
      <c r="C468" s="96"/>
      <c r="D468" s="97"/>
      <c r="E468" s="96"/>
      <c r="F468" s="99"/>
    </row>
    <row r="469" spans="2:6" s="88" customFormat="1" x14ac:dyDescent="0.2">
      <c r="B469" s="96"/>
      <c r="C469" s="96"/>
      <c r="D469" s="97"/>
      <c r="E469" s="96"/>
      <c r="F469" s="99"/>
    </row>
    <row r="470" spans="2:6" s="88" customFormat="1" x14ac:dyDescent="0.2">
      <c r="B470" s="96"/>
      <c r="C470" s="96"/>
      <c r="D470" s="97"/>
      <c r="E470" s="96"/>
      <c r="F470" s="99"/>
    </row>
    <row r="471" spans="2:6" s="88" customFormat="1" x14ac:dyDescent="0.2">
      <c r="B471" s="96"/>
      <c r="C471" s="96"/>
      <c r="D471" s="97"/>
      <c r="E471" s="96"/>
      <c r="F471" s="99"/>
    </row>
    <row r="472" spans="2:6" s="88" customFormat="1" x14ac:dyDescent="0.2">
      <c r="B472" s="96"/>
      <c r="C472" s="96"/>
      <c r="D472" s="97"/>
      <c r="E472" s="96"/>
      <c r="F472" s="99"/>
    </row>
    <row r="473" spans="2:6" s="88" customFormat="1" x14ac:dyDescent="0.2">
      <c r="B473" s="96"/>
      <c r="C473" s="96"/>
      <c r="D473" s="97"/>
      <c r="E473" s="96"/>
      <c r="F473" s="99"/>
    </row>
    <row r="474" spans="2:6" s="88" customFormat="1" x14ac:dyDescent="0.2">
      <c r="B474" s="96"/>
      <c r="C474" s="96"/>
      <c r="D474" s="97"/>
      <c r="E474" s="96"/>
      <c r="F474" s="99"/>
    </row>
    <row r="475" spans="2:6" s="88" customFormat="1" x14ac:dyDescent="0.2">
      <c r="B475" s="96"/>
      <c r="C475" s="96"/>
      <c r="D475" s="97"/>
      <c r="E475" s="96"/>
      <c r="F475" s="99"/>
    </row>
    <row r="476" spans="2:6" s="88" customFormat="1" x14ac:dyDescent="0.2">
      <c r="B476" s="96"/>
      <c r="C476" s="96"/>
      <c r="D476" s="97"/>
      <c r="E476" s="96"/>
      <c r="F476" s="99"/>
    </row>
    <row r="477" spans="2:6" s="88" customFormat="1" x14ac:dyDescent="0.2">
      <c r="B477" s="96"/>
      <c r="C477" s="96"/>
      <c r="D477" s="97"/>
      <c r="E477" s="96"/>
      <c r="F477" s="99"/>
    </row>
    <row r="478" spans="2:6" s="88" customFormat="1" x14ac:dyDescent="0.2">
      <c r="B478" s="96"/>
      <c r="C478" s="96"/>
      <c r="D478" s="97"/>
      <c r="E478" s="96"/>
      <c r="F478" s="99"/>
    </row>
    <row r="479" spans="2:6" s="88" customFormat="1" x14ac:dyDescent="0.2">
      <c r="B479" s="96"/>
      <c r="C479" s="96"/>
      <c r="D479" s="97"/>
      <c r="E479" s="96"/>
      <c r="F479" s="99"/>
    </row>
    <row r="480" spans="2:6" s="88" customFormat="1" x14ac:dyDescent="0.2">
      <c r="B480" s="96"/>
      <c r="C480" s="96"/>
      <c r="D480" s="97"/>
      <c r="E480" s="96"/>
      <c r="F480" s="99"/>
    </row>
    <row r="481" spans="2:6" s="88" customFormat="1" x14ac:dyDescent="0.2">
      <c r="B481" s="96"/>
      <c r="C481" s="96"/>
      <c r="D481" s="97"/>
      <c r="E481" s="96"/>
      <c r="F481" s="99"/>
    </row>
    <row r="482" spans="2:6" s="88" customFormat="1" x14ac:dyDescent="0.2">
      <c r="B482" s="96"/>
      <c r="C482" s="96"/>
      <c r="D482" s="97"/>
      <c r="E482" s="96"/>
      <c r="F482" s="99"/>
    </row>
    <row r="483" spans="2:6" s="88" customFormat="1" x14ac:dyDescent="0.2">
      <c r="B483" s="96"/>
      <c r="C483" s="96"/>
      <c r="D483" s="97"/>
      <c r="E483" s="96"/>
      <c r="F483" s="99"/>
    </row>
    <row r="484" spans="2:6" s="88" customFormat="1" x14ac:dyDescent="0.2">
      <c r="B484" s="96"/>
      <c r="C484" s="96"/>
      <c r="D484" s="97"/>
      <c r="E484" s="96"/>
      <c r="F484" s="99"/>
    </row>
    <row r="485" spans="2:6" s="88" customFormat="1" x14ac:dyDescent="0.2">
      <c r="B485" s="96"/>
      <c r="C485" s="96"/>
      <c r="D485" s="97"/>
      <c r="E485" s="96"/>
      <c r="F485" s="99"/>
    </row>
    <row r="486" spans="2:6" s="88" customFormat="1" x14ac:dyDescent="0.2">
      <c r="B486" s="96"/>
      <c r="C486" s="96"/>
      <c r="D486" s="97"/>
      <c r="E486" s="96"/>
      <c r="F486" s="99"/>
    </row>
    <row r="487" spans="2:6" s="88" customFormat="1" x14ac:dyDescent="0.2">
      <c r="B487" s="96"/>
      <c r="C487" s="96"/>
      <c r="D487" s="97"/>
      <c r="E487" s="96"/>
      <c r="F487" s="99"/>
    </row>
    <row r="488" spans="2:6" s="88" customFormat="1" x14ac:dyDescent="0.2">
      <c r="B488" s="96"/>
      <c r="C488" s="96"/>
      <c r="D488" s="97"/>
      <c r="E488" s="96"/>
      <c r="F488" s="99"/>
    </row>
    <row r="489" spans="2:6" s="88" customFormat="1" x14ac:dyDescent="0.2">
      <c r="B489" s="96"/>
      <c r="C489" s="96"/>
      <c r="D489" s="97"/>
      <c r="E489" s="96"/>
      <c r="F489" s="99"/>
    </row>
    <row r="490" spans="2:6" s="88" customFormat="1" x14ac:dyDescent="0.2">
      <c r="B490" s="96"/>
      <c r="C490" s="96"/>
      <c r="D490" s="97"/>
      <c r="E490" s="96"/>
      <c r="F490" s="99"/>
    </row>
    <row r="491" spans="2:6" s="88" customFormat="1" x14ac:dyDescent="0.2">
      <c r="B491" s="96"/>
      <c r="C491" s="96"/>
      <c r="D491" s="97"/>
      <c r="E491" s="96"/>
      <c r="F491" s="99"/>
    </row>
    <row r="492" spans="2:6" s="88" customFormat="1" x14ac:dyDescent="0.2">
      <c r="B492" s="96"/>
      <c r="C492" s="96"/>
      <c r="D492" s="97"/>
      <c r="E492" s="96"/>
      <c r="F492" s="99"/>
    </row>
    <row r="493" spans="2:6" s="88" customFormat="1" x14ac:dyDescent="0.2">
      <c r="B493" s="96"/>
      <c r="C493" s="96"/>
      <c r="D493" s="97"/>
      <c r="E493" s="96"/>
      <c r="F493" s="99"/>
    </row>
    <row r="494" spans="2:6" s="88" customFormat="1" x14ac:dyDescent="0.2">
      <c r="B494" s="96"/>
      <c r="C494" s="96"/>
      <c r="D494" s="97"/>
      <c r="E494" s="96"/>
      <c r="F494" s="99"/>
    </row>
    <row r="495" spans="2:6" s="88" customFormat="1" x14ac:dyDescent="0.2">
      <c r="B495" s="96"/>
      <c r="C495" s="96"/>
      <c r="D495" s="97"/>
      <c r="E495" s="96"/>
      <c r="F495" s="99"/>
    </row>
    <row r="496" spans="2:6" s="88" customFormat="1" x14ac:dyDescent="0.2">
      <c r="B496" s="96"/>
      <c r="C496" s="96"/>
      <c r="D496" s="97"/>
      <c r="E496" s="96"/>
      <c r="F496" s="99"/>
    </row>
    <row r="497" spans="2:6" s="88" customFormat="1" x14ac:dyDescent="0.2">
      <c r="B497" s="96"/>
      <c r="C497" s="96"/>
      <c r="D497" s="97"/>
      <c r="E497" s="96"/>
      <c r="F497" s="99"/>
    </row>
    <row r="498" spans="2:6" s="88" customFormat="1" x14ac:dyDescent="0.2">
      <c r="B498" s="96"/>
      <c r="C498" s="96"/>
      <c r="D498" s="97"/>
      <c r="E498" s="96"/>
      <c r="F498" s="99"/>
    </row>
    <row r="499" spans="2:6" s="88" customFormat="1" x14ac:dyDescent="0.2">
      <c r="B499" s="96"/>
      <c r="C499" s="96"/>
      <c r="D499" s="97"/>
      <c r="E499" s="96"/>
      <c r="F499" s="99"/>
    </row>
    <row r="500" spans="2:6" s="88" customFormat="1" x14ac:dyDescent="0.2">
      <c r="B500" s="96"/>
      <c r="C500" s="96"/>
      <c r="D500" s="97"/>
      <c r="E500" s="96"/>
      <c r="F500" s="99"/>
    </row>
    <row r="501" spans="2:6" s="88" customFormat="1" x14ac:dyDescent="0.2">
      <c r="B501" s="96"/>
      <c r="C501" s="96"/>
      <c r="D501" s="97"/>
      <c r="E501" s="96"/>
      <c r="F501" s="99"/>
    </row>
    <row r="502" spans="2:6" s="88" customFormat="1" x14ac:dyDescent="0.2">
      <c r="B502" s="96"/>
      <c r="C502" s="96"/>
      <c r="D502" s="97"/>
      <c r="E502" s="96"/>
      <c r="F502" s="99"/>
    </row>
    <row r="503" spans="2:6" s="88" customFormat="1" x14ac:dyDescent="0.2">
      <c r="B503" s="96"/>
      <c r="C503" s="96"/>
      <c r="D503" s="97"/>
      <c r="E503" s="96"/>
      <c r="F503" s="99"/>
    </row>
    <row r="504" spans="2:6" s="88" customFormat="1" x14ac:dyDescent="0.2">
      <c r="B504" s="96"/>
      <c r="C504" s="96"/>
      <c r="D504" s="97"/>
      <c r="E504" s="96"/>
      <c r="F504" s="99"/>
    </row>
    <row r="505" spans="2:6" s="88" customFormat="1" x14ac:dyDescent="0.2">
      <c r="B505" s="96"/>
      <c r="C505" s="96"/>
      <c r="D505" s="97"/>
      <c r="E505" s="96"/>
      <c r="F505" s="99"/>
    </row>
    <row r="506" spans="2:6" s="88" customFormat="1" x14ac:dyDescent="0.2">
      <c r="B506" s="96"/>
      <c r="C506" s="96"/>
      <c r="D506" s="97"/>
      <c r="E506" s="96"/>
      <c r="F506" s="99"/>
    </row>
    <row r="507" spans="2:6" s="88" customFormat="1" x14ac:dyDescent="0.2">
      <c r="B507" s="96"/>
      <c r="C507" s="96"/>
      <c r="D507" s="97"/>
      <c r="E507" s="96"/>
      <c r="F507" s="99"/>
    </row>
    <row r="508" spans="2:6" s="88" customFormat="1" x14ac:dyDescent="0.2">
      <c r="B508" s="96"/>
      <c r="C508" s="96"/>
      <c r="D508" s="97"/>
      <c r="E508" s="96"/>
      <c r="F508" s="99"/>
    </row>
    <row r="509" spans="2:6" s="88" customFormat="1" x14ac:dyDescent="0.2">
      <c r="B509" s="96"/>
      <c r="C509" s="96"/>
      <c r="D509" s="97"/>
      <c r="E509" s="96"/>
      <c r="F509" s="99"/>
    </row>
    <row r="510" spans="2:6" s="88" customFormat="1" x14ac:dyDescent="0.2">
      <c r="B510" s="96"/>
      <c r="C510" s="96"/>
      <c r="D510" s="97"/>
      <c r="E510" s="96"/>
      <c r="F510" s="99"/>
    </row>
    <row r="511" spans="2:6" s="88" customFormat="1" x14ac:dyDescent="0.2">
      <c r="B511" s="96"/>
      <c r="C511" s="96"/>
      <c r="D511" s="97"/>
      <c r="E511" s="96"/>
      <c r="F511" s="99"/>
    </row>
    <row r="512" spans="2:6" s="88" customFormat="1" x14ac:dyDescent="0.2">
      <c r="B512" s="96"/>
      <c r="C512" s="96"/>
      <c r="D512" s="97"/>
      <c r="E512" s="96"/>
      <c r="F512" s="99"/>
    </row>
    <row r="513" spans="2:6" s="88" customFormat="1" x14ac:dyDescent="0.2">
      <c r="B513" s="96"/>
      <c r="C513" s="96"/>
      <c r="D513" s="97"/>
      <c r="E513" s="96"/>
      <c r="F513" s="99"/>
    </row>
    <row r="514" spans="2:6" s="88" customFormat="1" x14ac:dyDescent="0.2">
      <c r="B514" s="96"/>
      <c r="C514" s="96"/>
      <c r="D514" s="97"/>
      <c r="E514" s="96"/>
      <c r="F514" s="99"/>
    </row>
    <row r="515" spans="2:6" s="88" customFormat="1" x14ac:dyDescent="0.2">
      <c r="B515" s="96"/>
      <c r="C515" s="96"/>
      <c r="D515" s="97"/>
      <c r="E515" s="96"/>
      <c r="F515" s="99"/>
    </row>
    <row r="516" spans="2:6" s="88" customFormat="1" x14ac:dyDescent="0.2">
      <c r="B516" s="96"/>
      <c r="C516" s="96"/>
      <c r="D516" s="97"/>
      <c r="E516" s="96"/>
      <c r="F516" s="99"/>
    </row>
    <row r="517" spans="2:6" s="88" customFormat="1" x14ac:dyDescent="0.2">
      <c r="B517" s="96"/>
      <c r="C517" s="96"/>
      <c r="D517" s="97"/>
      <c r="E517" s="96"/>
      <c r="F517" s="99"/>
    </row>
    <row r="518" spans="2:6" s="88" customFormat="1" x14ac:dyDescent="0.2">
      <c r="B518" s="96"/>
      <c r="C518" s="96"/>
      <c r="D518" s="97"/>
      <c r="E518" s="96"/>
      <c r="F518" s="99"/>
    </row>
    <row r="519" spans="2:6" s="88" customFormat="1" x14ac:dyDescent="0.2">
      <c r="B519" s="96"/>
      <c r="C519" s="96"/>
      <c r="D519" s="97"/>
      <c r="E519" s="96"/>
      <c r="F519" s="99"/>
    </row>
    <row r="520" spans="2:6" s="88" customFormat="1" x14ac:dyDescent="0.2">
      <c r="B520" s="96"/>
      <c r="C520" s="96"/>
      <c r="D520" s="97"/>
      <c r="E520" s="96"/>
      <c r="F520" s="99"/>
    </row>
    <row r="521" spans="2:6" s="88" customFormat="1" x14ac:dyDescent="0.2">
      <c r="B521" s="96"/>
      <c r="C521" s="96"/>
      <c r="D521" s="97"/>
      <c r="E521" s="96"/>
      <c r="F521" s="99"/>
    </row>
    <row r="522" spans="2:6" s="88" customFormat="1" x14ac:dyDescent="0.2">
      <c r="B522" s="96"/>
      <c r="C522" s="96"/>
      <c r="D522" s="97"/>
      <c r="E522" s="96"/>
      <c r="F522" s="99"/>
    </row>
    <row r="523" spans="2:6" s="88" customFormat="1" x14ac:dyDescent="0.2">
      <c r="B523" s="96"/>
      <c r="C523" s="96"/>
      <c r="D523" s="97"/>
      <c r="E523" s="96"/>
      <c r="F523" s="99"/>
    </row>
    <row r="524" spans="2:6" s="88" customFormat="1" x14ac:dyDescent="0.2">
      <c r="B524" s="96"/>
      <c r="C524" s="96"/>
      <c r="D524" s="97"/>
      <c r="E524" s="96"/>
      <c r="F524" s="99"/>
    </row>
    <row r="525" spans="2:6" s="88" customFormat="1" x14ac:dyDescent="0.2">
      <c r="B525" s="96"/>
      <c r="C525" s="96"/>
      <c r="D525" s="97"/>
      <c r="E525" s="96"/>
      <c r="F525" s="99"/>
    </row>
    <row r="526" spans="2:6" s="88" customFormat="1" x14ac:dyDescent="0.2">
      <c r="B526" s="96"/>
      <c r="C526" s="96"/>
      <c r="D526" s="97"/>
      <c r="E526" s="96"/>
      <c r="F526" s="99"/>
    </row>
    <row r="527" spans="2:6" s="88" customFormat="1" x14ac:dyDescent="0.2">
      <c r="B527" s="96"/>
      <c r="C527" s="96"/>
      <c r="D527" s="97"/>
      <c r="E527" s="96"/>
      <c r="F527" s="99"/>
    </row>
    <row r="528" spans="2:6" s="88" customFormat="1" x14ac:dyDescent="0.2">
      <c r="B528" s="96"/>
      <c r="C528" s="96"/>
      <c r="D528" s="97"/>
      <c r="E528" s="96"/>
      <c r="F528" s="99"/>
    </row>
    <row r="529" spans="2:6" s="88" customFormat="1" x14ac:dyDescent="0.2">
      <c r="B529" s="96"/>
      <c r="C529" s="96"/>
      <c r="D529" s="97"/>
      <c r="E529" s="96"/>
      <c r="F529" s="99"/>
    </row>
    <row r="530" spans="2:6" s="88" customFormat="1" x14ac:dyDescent="0.2">
      <c r="B530" s="96"/>
      <c r="C530" s="96"/>
      <c r="D530" s="97"/>
      <c r="E530" s="96"/>
      <c r="F530" s="99"/>
    </row>
    <row r="531" spans="2:6" s="88" customFormat="1" x14ac:dyDescent="0.2">
      <c r="B531" s="96"/>
      <c r="C531" s="96"/>
      <c r="D531" s="97"/>
      <c r="E531" s="96"/>
      <c r="F531" s="99"/>
    </row>
    <row r="532" spans="2:6" s="88" customFormat="1" x14ac:dyDescent="0.2">
      <c r="B532" s="96"/>
      <c r="C532" s="96"/>
      <c r="D532" s="97"/>
      <c r="E532" s="96"/>
      <c r="F532" s="99"/>
    </row>
    <row r="533" spans="2:6" s="88" customFormat="1" x14ac:dyDescent="0.2">
      <c r="B533" s="96"/>
      <c r="C533" s="96"/>
      <c r="D533" s="97"/>
      <c r="E533" s="96"/>
      <c r="F533" s="99"/>
    </row>
    <row r="534" spans="2:6" s="88" customFormat="1" x14ac:dyDescent="0.2">
      <c r="B534" s="96"/>
      <c r="C534" s="96"/>
      <c r="D534" s="97"/>
      <c r="E534" s="96"/>
      <c r="F534" s="99"/>
    </row>
    <row r="535" spans="2:6" s="88" customFormat="1" x14ac:dyDescent="0.2">
      <c r="B535" s="96"/>
      <c r="C535" s="96"/>
      <c r="D535" s="97"/>
      <c r="E535" s="96"/>
      <c r="F535" s="99"/>
    </row>
    <row r="536" spans="2:6" s="88" customFormat="1" x14ac:dyDescent="0.2">
      <c r="B536" s="96"/>
      <c r="C536" s="96"/>
      <c r="D536" s="97"/>
      <c r="E536" s="96"/>
      <c r="F536" s="99"/>
    </row>
    <row r="537" spans="2:6" s="88" customFormat="1" x14ac:dyDescent="0.2">
      <c r="B537" s="96"/>
      <c r="C537" s="96"/>
      <c r="D537" s="97"/>
      <c r="E537" s="96"/>
      <c r="F537" s="99"/>
    </row>
    <row r="538" spans="2:6" s="88" customFormat="1" x14ac:dyDescent="0.2">
      <c r="B538" s="96"/>
      <c r="C538" s="96"/>
      <c r="D538" s="97"/>
      <c r="E538" s="96"/>
      <c r="F538" s="99"/>
    </row>
    <row r="539" spans="2:6" s="88" customFormat="1" x14ac:dyDescent="0.2">
      <c r="B539" s="96"/>
      <c r="C539" s="96"/>
      <c r="D539" s="97"/>
      <c r="E539" s="96"/>
      <c r="F539" s="99"/>
    </row>
    <row r="540" spans="2:6" s="88" customFormat="1" x14ac:dyDescent="0.2">
      <c r="B540" s="96"/>
      <c r="C540" s="96"/>
      <c r="D540" s="97"/>
      <c r="E540" s="96"/>
      <c r="F540" s="99"/>
    </row>
    <row r="541" spans="2:6" s="88" customFormat="1" x14ac:dyDescent="0.2">
      <c r="B541" s="96"/>
      <c r="C541" s="96"/>
      <c r="D541" s="97"/>
      <c r="E541" s="96"/>
      <c r="F541" s="99"/>
    </row>
    <row r="542" spans="2:6" s="88" customFormat="1" x14ac:dyDescent="0.2">
      <c r="B542" s="96"/>
      <c r="C542" s="96"/>
      <c r="D542" s="97"/>
      <c r="E542" s="96"/>
      <c r="F542" s="99"/>
    </row>
    <row r="543" spans="2:6" s="88" customFormat="1" x14ac:dyDescent="0.2">
      <c r="B543" s="96"/>
      <c r="C543" s="96"/>
      <c r="D543" s="97"/>
      <c r="E543" s="96"/>
      <c r="F543" s="99"/>
    </row>
    <row r="544" spans="2:6" s="88" customFormat="1" x14ac:dyDescent="0.2">
      <c r="B544" s="96"/>
      <c r="C544" s="96"/>
      <c r="D544" s="97"/>
      <c r="E544" s="96"/>
      <c r="F544" s="99"/>
    </row>
    <row r="545" spans="2:6" s="88" customFormat="1" x14ac:dyDescent="0.2">
      <c r="B545" s="96"/>
      <c r="C545" s="96"/>
      <c r="D545" s="97"/>
      <c r="E545" s="96"/>
      <c r="F545" s="99"/>
    </row>
    <row r="546" spans="2:6" s="88" customFormat="1" x14ac:dyDescent="0.2">
      <c r="B546" s="96"/>
      <c r="C546" s="96"/>
      <c r="D546" s="97"/>
      <c r="E546" s="96"/>
      <c r="F546" s="99"/>
    </row>
    <row r="547" spans="2:6" s="88" customFormat="1" x14ac:dyDescent="0.2">
      <c r="B547" s="96"/>
      <c r="C547" s="96"/>
      <c r="D547" s="97"/>
      <c r="E547" s="96"/>
      <c r="F547" s="99"/>
    </row>
    <row r="548" spans="2:6" s="88" customFormat="1" x14ac:dyDescent="0.2">
      <c r="B548" s="96"/>
      <c r="C548" s="96"/>
      <c r="D548" s="97"/>
      <c r="E548" s="96"/>
      <c r="F548" s="99"/>
    </row>
    <row r="549" spans="2:6" s="88" customFormat="1" x14ac:dyDescent="0.2">
      <c r="B549" s="96"/>
      <c r="C549" s="96"/>
      <c r="D549" s="97"/>
      <c r="E549" s="96"/>
      <c r="F549" s="99"/>
    </row>
    <row r="550" spans="2:6" s="88" customFormat="1" x14ac:dyDescent="0.2">
      <c r="B550" s="96"/>
      <c r="C550" s="96"/>
      <c r="D550" s="97"/>
      <c r="E550" s="96"/>
      <c r="F550" s="99"/>
    </row>
    <row r="551" spans="2:6" s="88" customFormat="1" x14ac:dyDescent="0.2">
      <c r="B551" s="96"/>
      <c r="C551" s="96"/>
      <c r="D551" s="97"/>
      <c r="E551" s="96"/>
      <c r="F551" s="99"/>
    </row>
    <row r="552" spans="2:6" s="88" customFormat="1" x14ac:dyDescent="0.2">
      <c r="B552" s="96"/>
      <c r="C552" s="96"/>
      <c r="D552" s="97"/>
      <c r="E552" s="96"/>
      <c r="F552" s="99"/>
    </row>
    <row r="553" spans="2:6" s="88" customFormat="1" x14ac:dyDescent="0.2">
      <c r="B553" s="96"/>
      <c r="C553" s="96"/>
      <c r="D553" s="97"/>
      <c r="E553" s="96"/>
      <c r="F553" s="99"/>
    </row>
    <row r="554" spans="2:6" s="88" customFormat="1" x14ac:dyDescent="0.2">
      <c r="B554" s="96"/>
      <c r="C554" s="96"/>
      <c r="D554" s="97"/>
      <c r="E554" s="96"/>
      <c r="F554" s="99"/>
    </row>
    <row r="555" spans="2:6" s="88" customFormat="1" x14ac:dyDescent="0.2">
      <c r="B555" s="96"/>
      <c r="C555" s="96"/>
      <c r="D555" s="97"/>
      <c r="E555" s="96"/>
      <c r="F555" s="99"/>
    </row>
    <row r="556" spans="2:6" s="88" customFormat="1" x14ac:dyDescent="0.2">
      <c r="B556" s="96"/>
      <c r="C556" s="96"/>
      <c r="D556" s="97"/>
      <c r="E556" s="96"/>
      <c r="F556" s="99"/>
    </row>
    <row r="557" spans="2:6" s="88" customFormat="1" x14ac:dyDescent="0.2">
      <c r="B557" s="96"/>
      <c r="C557" s="96"/>
      <c r="D557" s="97"/>
      <c r="E557" s="96"/>
      <c r="F557" s="99"/>
    </row>
    <row r="558" spans="2:6" s="88" customFormat="1" x14ac:dyDescent="0.2">
      <c r="B558" s="96"/>
      <c r="C558" s="96"/>
      <c r="D558" s="97"/>
      <c r="E558" s="96"/>
      <c r="F558" s="99"/>
    </row>
    <row r="559" spans="2:6" s="88" customFormat="1" x14ac:dyDescent="0.2">
      <c r="B559" s="96"/>
      <c r="C559" s="96"/>
      <c r="D559" s="97"/>
      <c r="E559" s="96"/>
      <c r="F559" s="99"/>
    </row>
    <row r="560" spans="2:6" s="88" customFormat="1" x14ac:dyDescent="0.2">
      <c r="B560" s="96"/>
      <c r="C560" s="96"/>
      <c r="D560" s="97"/>
      <c r="E560" s="96"/>
      <c r="F560" s="99"/>
    </row>
    <row r="561" spans="2:6" s="88" customFormat="1" x14ac:dyDescent="0.2">
      <c r="B561" s="96"/>
      <c r="C561" s="96"/>
      <c r="D561" s="97"/>
      <c r="E561" s="96"/>
      <c r="F561" s="99"/>
    </row>
    <row r="562" spans="2:6" s="88" customFormat="1" x14ac:dyDescent="0.2">
      <c r="B562" s="96"/>
      <c r="C562" s="96"/>
      <c r="D562" s="97"/>
      <c r="E562" s="96"/>
      <c r="F562" s="99"/>
    </row>
    <row r="563" spans="2:6" s="88" customFormat="1" x14ac:dyDescent="0.2">
      <c r="B563" s="96"/>
      <c r="C563" s="96"/>
      <c r="D563" s="97"/>
      <c r="E563" s="96"/>
      <c r="F563" s="99"/>
    </row>
    <row r="564" spans="2:6" s="88" customFormat="1" x14ac:dyDescent="0.2">
      <c r="B564" s="96"/>
      <c r="C564" s="96"/>
      <c r="D564" s="97"/>
      <c r="E564" s="96"/>
      <c r="F564" s="99"/>
    </row>
    <row r="565" spans="2:6" s="88" customFormat="1" x14ac:dyDescent="0.2">
      <c r="B565" s="96"/>
      <c r="C565" s="96"/>
      <c r="D565" s="97"/>
      <c r="E565" s="96"/>
      <c r="F565" s="99"/>
    </row>
    <row r="566" spans="2:6" s="88" customFormat="1" x14ac:dyDescent="0.2">
      <c r="B566" s="96"/>
      <c r="C566" s="96"/>
      <c r="D566" s="97"/>
      <c r="E566" s="96"/>
      <c r="F566" s="99"/>
    </row>
    <row r="567" spans="2:6" s="88" customFormat="1" x14ac:dyDescent="0.2">
      <c r="B567" s="96"/>
      <c r="C567" s="96"/>
      <c r="D567" s="97"/>
      <c r="E567" s="96"/>
      <c r="F567" s="99"/>
    </row>
    <row r="568" spans="2:6" s="88" customFormat="1" x14ac:dyDescent="0.2">
      <c r="B568" s="96"/>
      <c r="C568" s="96"/>
      <c r="D568" s="97"/>
      <c r="E568" s="96"/>
      <c r="F568" s="99"/>
    </row>
    <row r="569" spans="2:6" s="88" customFormat="1" x14ac:dyDescent="0.2">
      <c r="B569" s="96"/>
      <c r="C569" s="96"/>
      <c r="D569" s="97"/>
      <c r="E569" s="96"/>
      <c r="F569" s="99"/>
    </row>
    <row r="570" spans="2:6" s="88" customFormat="1" x14ac:dyDescent="0.2">
      <c r="B570" s="96"/>
      <c r="C570" s="96"/>
      <c r="D570" s="97"/>
      <c r="E570" s="96"/>
      <c r="F570" s="99"/>
    </row>
    <row r="571" spans="2:6" s="88" customFormat="1" x14ac:dyDescent="0.2">
      <c r="B571" s="96"/>
      <c r="C571" s="96"/>
      <c r="D571" s="97"/>
      <c r="E571" s="96"/>
      <c r="F571" s="99"/>
    </row>
    <row r="572" spans="2:6" s="88" customFormat="1" x14ac:dyDescent="0.2">
      <c r="B572" s="96"/>
      <c r="C572" s="96"/>
      <c r="D572" s="97"/>
      <c r="E572" s="96"/>
      <c r="F572" s="99"/>
    </row>
    <row r="573" spans="2:6" s="88" customFormat="1" x14ac:dyDescent="0.2">
      <c r="B573" s="96"/>
      <c r="C573" s="96"/>
      <c r="D573" s="97"/>
      <c r="E573" s="96"/>
      <c r="F573" s="99"/>
    </row>
    <row r="574" spans="2:6" s="88" customFormat="1" x14ac:dyDescent="0.2">
      <c r="B574" s="96"/>
      <c r="C574" s="96"/>
      <c r="D574" s="97"/>
      <c r="E574" s="96"/>
      <c r="F574" s="99"/>
    </row>
    <row r="575" spans="2:6" s="88" customFormat="1" x14ac:dyDescent="0.2">
      <c r="B575" s="96"/>
      <c r="C575" s="96"/>
      <c r="D575" s="97"/>
      <c r="E575" s="96"/>
      <c r="F575" s="99"/>
    </row>
    <row r="576" spans="2:6" s="88" customFormat="1" x14ac:dyDescent="0.2">
      <c r="B576" s="96"/>
      <c r="C576" s="96"/>
      <c r="D576" s="97"/>
      <c r="E576" s="96"/>
      <c r="F576" s="99"/>
    </row>
    <row r="577" spans="2:6" s="88" customFormat="1" x14ac:dyDescent="0.2">
      <c r="B577" s="96"/>
      <c r="C577" s="96"/>
      <c r="D577" s="97"/>
      <c r="E577" s="96"/>
      <c r="F577" s="99"/>
    </row>
    <row r="578" spans="2:6" s="88" customFormat="1" x14ac:dyDescent="0.2">
      <c r="B578" s="96"/>
      <c r="C578" s="96"/>
      <c r="D578" s="97"/>
      <c r="E578" s="96"/>
      <c r="F578" s="99"/>
    </row>
    <row r="579" spans="2:6" s="88" customFormat="1" x14ac:dyDescent="0.2">
      <c r="B579" s="96"/>
      <c r="C579" s="96"/>
      <c r="D579" s="97"/>
      <c r="E579" s="96"/>
      <c r="F579" s="99"/>
    </row>
    <row r="580" spans="2:6" s="88" customFormat="1" x14ac:dyDescent="0.2">
      <c r="B580" s="96"/>
      <c r="C580" s="96"/>
      <c r="D580" s="97"/>
      <c r="E580" s="96"/>
      <c r="F580" s="99"/>
    </row>
    <row r="581" spans="2:6" s="88" customFormat="1" x14ac:dyDescent="0.2">
      <c r="B581" s="96"/>
      <c r="C581" s="96"/>
      <c r="D581" s="97"/>
      <c r="E581" s="96"/>
      <c r="F581" s="99"/>
    </row>
    <row r="582" spans="2:6" s="88" customFormat="1" x14ac:dyDescent="0.2">
      <c r="B582" s="96"/>
      <c r="C582" s="96"/>
      <c r="D582" s="97"/>
      <c r="E582" s="96"/>
      <c r="F582" s="99"/>
    </row>
    <row r="583" spans="2:6" s="88" customFormat="1" x14ac:dyDescent="0.2">
      <c r="B583" s="96"/>
      <c r="C583" s="96"/>
      <c r="D583" s="97"/>
      <c r="E583" s="96"/>
      <c r="F583" s="99"/>
    </row>
    <row r="584" spans="2:6" s="88" customFormat="1" x14ac:dyDescent="0.2">
      <c r="B584" s="96"/>
      <c r="C584" s="96"/>
      <c r="D584" s="97"/>
      <c r="E584" s="96"/>
      <c r="F584" s="99"/>
    </row>
    <row r="585" spans="2:6" s="88" customFormat="1" x14ac:dyDescent="0.2">
      <c r="B585" s="96"/>
      <c r="C585" s="96"/>
      <c r="D585" s="97"/>
      <c r="E585" s="96"/>
      <c r="F585" s="99"/>
    </row>
    <row r="586" spans="2:6" s="88" customFormat="1" x14ac:dyDescent="0.2">
      <c r="B586" s="96"/>
      <c r="C586" s="96"/>
      <c r="D586" s="97"/>
      <c r="E586" s="96"/>
      <c r="F586" s="99"/>
    </row>
    <row r="587" spans="2:6" s="88" customFormat="1" x14ac:dyDescent="0.2">
      <c r="B587" s="96"/>
      <c r="C587" s="96"/>
      <c r="D587" s="97"/>
      <c r="E587" s="96"/>
      <c r="F587" s="99"/>
    </row>
    <row r="588" spans="2:6" s="88" customFormat="1" x14ac:dyDescent="0.2">
      <c r="B588" s="96"/>
      <c r="C588" s="96"/>
      <c r="D588" s="97"/>
      <c r="E588" s="96"/>
      <c r="F588" s="99"/>
    </row>
    <row r="589" spans="2:6" s="88" customFormat="1" x14ac:dyDescent="0.2">
      <c r="B589" s="96"/>
      <c r="C589" s="96"/>
      <c r="D589" s="97"/>
      <c r="E589" s="96"/>
      <c r="F589" s="99"/>
    </row>
    <row r="590" spans="2:6" s="88" customFormat="1" x14ac:dyDescent="0.2">
      <c r="B590" s="96"/>
      <c r="C590" s="96"/>
      <c r="D590" s="97"/>
      <c r="E590" s="96"/>
      <c r="F590" s="99"/>
    </row>
    <row r="591" spans="2:6" s="88" customFormat="1" x14ac:dyDescent="0.2">
      <c r="B591" s="96"/>
      <c r="C591" s="96"/>
      <c r="D591" s="97"/>
      <c r="E591" s="96"/>
      <c r="F591" s="99"/>
    </row>
    <row r="592" spans="2:6" s="88" customFormat="1" x14ac:dyDescent="0.2">
      <c r="B592" s="96"/>
      <c r="C592" s="96"/>
      <c r="D592" s="97"/>
      <c r="E592" s="96"/>
      <c r="F592" s="99"/>
    </row>
    <row r="593" spans="2:6" s="88" customFormat="1" x14ac:dyDescent="0.2">
      <c r="B593" s="96"/>
      <c r="C593" s="96"/>
      <c r="D593" s="97"/>
      <c r="E593" s="96"/>
      <c r="F593" s="99"/>
    </row>
    <row r="594" spans="2:6" s="88" customFormat="1" x14ac:dyDescent="0.2">
      <c r="B594" s="96"/>
      <c r="C594" s="96"/>
      <c r="D594" s="97"/>
      <c r="E594" s="96"/>
      <c r="F594" s="99"/>
    </row>
    <row r="595" spans="2:6" s="88" customFormat="1" x14ac:dyDescent="0.2">
      <c r="B595" s="96"/>
      <c r="C595" s="96"/>
      <c r="D595" s="97"/>
      <c r="E595" s="96"/>
      <c r="F595" s="99"/>
    </row>
    <row r="596" spans="2:6" s="88" customFormat="1" x14ac:dyDescent="0.2">
      <c r="B596" s="96"/>
      <c r="C596" s="96"/>
      <c r="D596" s="97"/>
      <c r="E596" s="96"/>
      <c r="F596" s="99"/>
    </row>
    <row r="597" spans="2:6" s="88" customFormat="1" x14ac:dyDescent="0.2">
      <c r="B597" s="96"/>
      <c r="C597" s="96"/>
      <c r="D597" s="97"/>
      <c r="E597" s="96"/>
      <c r="F597" s="99"/>
    </row>
    <row r="598" spans="2:6" s="88" customFormat="1" x14ac:dyDescent="0.2">
      <c r="B598" s="96"/>
      <c r="C598" s="96"/>
      <c r="D598" s="97"/>
      <c r="E598" s="96"/>
      <c r="F598" s="99"/>
    </row>
    <row r="599" spans="2:6" s="88" customFormat="1" x14ac:dyDescent="0.2">
      <c r="B599" s="96"/>
      <c r="C599" s="96"/>
      <c r="D599" s="97"/>
      <c r="E599" s="96"/>
      <c r="F599" s="99"/>
    </row>
    <row r="600" spans="2:6" s="88" customFormat="1" x14ac:dyDescent="0.2">
      <c r="B600" s="96"/>
      <c r="C600" s="96"/>
      <c r="D600" s="97"/>
      <c r="E600" s="96"/>
      <c r="F600" s="99"/>
    </row>
    <row r="601" spans="2:6" s="88" customFormat="1" x14ac:dyDescent="0.2">
      <c r="B601" s="96"/>
      <c r="C601" s="96"/>
      <c r="D601" s="97"/>
      <c r="E601" s="96"/>
      <c r="F601" s="99"/>
    </row>
    <row r="602" spans="2:6" s="88" customFormat="1" x14ac:dyDescent="0.2">
      <c r="B602" s="96"/>
      <c r="C602" s="96"/>
      <c r="D602" s="97"/>
      <c r="E602" s="96"/>
      <c r="F602" s="99"/>
    </row>
    <row r="603" spans="2:6" s="88" customFormat="1" x14ac:dyDescent="0.2">
      <c r="B603" s="96"/>
      <c r="C603" s="96"/>
      <c r="D603" s="97"/>
      <c r="E603" s="96"/>
      <c r="F603" s="99"/>
    </row>
    <row r="604" spans="2:6" s="88" customFormat="1" x14ac:dyDescent="0.2">
      <c r="B604" s="96"/>
      <c r="C604" s="96"/>
      <c r="D604" s="97"/>
      <c r="E604" s="96"/>
      <c r="F604" s="99"/>
    </row>
    <row r="605" spans="2:6" s="88" customFormat="1" x14ac:dyDescent="0.2">
      <c r="B605" s="96"/>
      <c r="C605" s="96"/>
      <c r="D605" s="97"/>
      <c r="E605" s="96"/>
      <c r="F605" s="99"/>
    </row>
    <row r="606" spans="2:6" s="88" customFormat="1" x14ac:dyDescent="0.2">
      <c r="B606" s="96"/>
      <c r="C606" s="96"/>
      <c r="D606" s="97"/>
      <c r="E606" s="96"/>
      <c r="F606" s="99"/>
    </row>
    <row r="607" spans="2:6" s="88" customFormat="1" x14ac:dyDescent="0.2">
      <c r="B607" s="96"/>
      <c r="C607" s="96"/>
      <c r="D607" s="97"/>
      <c r="E607" s="96"/>
      <c r="F607" s="99"/>
    </row>
    <row r="608" spans="2:6" s="88" customFormat="1" x14ac:dyDescent="0.2">
      <c r="B608" s="96"/>
      <c r="C608" s="96"/>
      <c r="D608" s="97"/>
      <c r="E608" s="96"/>
      <c r="F608" s="99"/>
    </row>
    <row r="609" spans="2:6" s="88" customFormat="1" x14ac:dyDescent="0.2">
      <c r="B609" s="96"/>
      <c r="C609" s="96"/>
      <c r="D609" s="97"/>
      <c r="E609" s="96"/>
      <c r="F609" s="99"/>
    </row>
    <row r="610" spans="2:6" s="88" customFormat="1" x14ac:dyDescent="0.2">
      <c r="B610" s="96"/>
      <c r="C610" s="96"/>
      <c r="D610" s="97"/>
      <c r="E610" s="96"/>
      <c r="F610" s="99"/>
    </row>
    <row r="611" spans="2:6" s="88" customFormat="1" x14ac:dyDescent="0.2">
      <c r="B611" s="96"/>
      <c r="C611" s="96"/>
      <c r="D611" s="97"/>
      <c r="E611" s="96"/>
      <c r="F611" s="99"/>
    </row>
    <row r="612" spans="2:6" s="88" customFormat="1" x14ac:dyDescent="0.2">
      <c r="B612" s="96"/>
      <c r="C612" s="96"/>
      <c r="D612" s="97"/>
      <c r="E612" s="96"/>
      <c r="F612" s="99"/>
    </row>
    <row r="613" spans="2:6" s="88" customFormat="1" x14ac:dyDescent="0.2">
      <c r="B613" s="96"/>
      <c r="C613" s="96"/>
      <c r="D613" s="97"/>
      <c r="E613" s="96"/>
      <c r="F613" s="99"/>
    </row>
    <row r="614" spans="2:6" s="88" customFormat="1" x14ac:dyDescent="0.2">
      <c r="B614" s="96"/>
      <c r="C614" s="96"/>
      <c r="D614" s="97"/>
      <c r="E614" s="96"/>
      <c r="F614" s="99"/>
    </row>
    <row r="615" spans="2:6" s="88" customFormat="1" x14ac:dyDescent="0.2">
      <c r="B615" s="96"/>
      <c r="C615" s="96"/>
      <c r="D615" s="97"/>
      <c r="E615" s="96"/>
      <c r="F615" s="99"/>
    </row>
    <row r="616" spans="2:6" s="88" customFormat="1" x14ac:dyDescent="0.2">
      <c r="B616" s="96"/>
      <c r="C616" s="96"/>
      <c r="D616" s="97"/>
      <c r="E616" s="96"/>
      <c r="F616" s="99"/>
    </row>
    <row r="617" spans="2:6" s="88" customFormat="1" x14ac:dyDescent="0.2">
      <c r="B617" s="96"/>
      <c r="C617" s="96"/>
      <c r="D617" s="97"/>
      <c r="E617" s="96"/>
      <c r="F617" s="99"/>
    </row>
    <row r="618" spans="2:6" s="88" customFormat="1" x14ac:dyDescent="0.2">
      <c r="B618" s="96"/>
      <c r="C618" s="96"/>
      <c r="D618" s="97"/>
      <c r="E618" s="96"/>
      <c r="F618" s="99"/>
    </row>
    <row r="619" spans="2:6" s="88" customFormat="1" x14ac:dyDescent="0.2">
      <c r="B619" s="96"/>
      <c r="C619" s="96"/>
      <c r="D619" s="97"/>
      <c r="E619" s="96"/>
      <c r="F619" s="99"/>
    </row>
    <row r="620" spans="2:6" s="88" customFormat="1" x14ac:dyDescent="0.2">
      <c r="B620" s="96"/>
      <c r="C620" s="96"/>
      <c r="D620" s="97"/>
      <c r="E620" s="96"/>
      <c r="F620" s="99"/>
    </row>
    <row r="621" spans="2:6" s="88" customFormat="1" x14ac:dyDescent="0.2">
      <c r="B621" s="96"/>
      <c r="C621" s="96"/>
      <c r="D621" s="97"/>
      <c r="E621" s="96"/>
      <c r="F621" s="99"/>
    </row>
    <row r="622" spans="2:6" s="88" customFormat="1" x14ac:dyDescent="0.2">
      <c r="B622" s="96"/>
      <c r="C622" s="96"/>
      <c r="D622" s="97"/>
      <c r="E622" s="96"/>
      <c r="F622" s="99"/>
    </row>
    <row r="623" spans="2:6" s="88" customFormat="1" x14ac:dyDescent="0.2">
      <c r="B623" s="96"/>
      <c r="C623" s="96"/>
      <c r="D623" s="97"/>
      <c r="E623" s="96"/>
      <c r="F623" s="99"/>
    </row>
    <row r="624" spans="2:6" s="88" customFormat="1" x14ac:dyDescent="0.2">
      <c r="B624" s="96"/>
      <c r="C624" s="96"/>
      <c r="D624" s="97"/>
      <c r="E624" s="96"/>
      <c r="F624" s="99"/>
    </row>
    <row r="625" spans="2:6" s="88" customFormat="1" x14ac:dyDescent="0.2">
      <c r="B625" s="96"/>
      <c r="C625" s="96"/>
      <c r="D625" s="97"/>
      <c r="E625" s="96"/>
      <c r="F625" s="99"/>
    </row>
    <row r="626" spans="2:6" s="88" customFormat="1" x14ac:dyDescent="0.2">
      <c r="B626" s="96"/>
      <c r="C626" s="96"/>
      <c r="D626" s="97"/>
      <c r="E626" s="96"/>
      <c r="F626" s="99"/>
    </row>
    <row r="627" spans="2:6" s="88" customFormat="1" x14ac:dyDescent="0.2">
      <c r="B627" s="96"/>
      <c r="C627" s="96"/>
      <c r="D627" s="97"/>
      <c r="E627" s="96"/>
      <c r="F627" s="99"/>
    </row>
    <row r="628" spans="2:6" s="88" customFormat="1" x14ac:dyDescent="0.2">
      <c r="B628" s="96"/>
      <c r="C628" s="96"/>
      <c r="D628" s="97"/>
      <c r="E628" s="96"/>
      <c r="F628" s="99"/>
    </row>
    <row r="629" spans="2:6" s="88" customFormat="1" x14ac:dyDescent="0.2">
      <c r="B629" s="96"/>
      <c r="C629" s="96"/>
      <c r="D629" s="97"/>
      <c r="E629" s="96"/>
      <c r="F629" s="99"/>
    </row>
    <row r="630" spans="2:6" s="88" customFormat="1" x14ac:dyDescent="0.2">
      <c r="B630" s="96"/>
      <c r="C630" s="96"/>
      <c r="D630" s="97"/>
      <c r="E630" s="96"/>
      <c r="F630" s="99"/>
    </row>
    <row r="631" spans="2:6" s="88" customFormat="1" x14ac:dyDescent="0.2">
      <c r="B631" s="96"/>
      <c r="C631" s="96"/>
      <c r="D631" s="97"/>
      <c r="E631" s="96"/>
      <c r="F631" s="99"/>
    </row>
    <row r="632" spans="2:6" s="88" customFormat="1" x14ac:dyDescent="0.2">
      <c r="B632" s="96"/>
      <c r="C632" s="96"/>
      <c r="D632" s="97"/>
      <c r="E632" s="96"/>
      <c r="F632" s="99"/>
    </row>
    <row r="633" spans="2:6" s="88" customFormat="1" x14ac:dyDescent="0.2">
      <c r="B633" s="96"/>
      <c r="C633" s="96"/>
      <c r="D633" s="97"/>
      <c r="E633" s="96"/>
      <c r="F633" s="99"/>
    </row>
    <row r="634" spans="2:6" s="88" customFormat="1" x14ac:dyDescent="0.2">
      <c r="B634" s="96"/>
      <c r="C634" s="96"/>
      <c r="D634" s="97"/>
      <c r="E634" s="96"/>
      <c r="F634" s="99"/>
    </row>
    <row r="635" spans="2:6" s="88" customFormat="1" x14ac:dyDescent="0.2">
      <c r="B635" s="96"/>
      <c r="C635" s="96"/>
      <c r="D635" s="97"/>
      <c r="E635" s="96"/>
      <c r="F635" s="99"/>
    </row>
    <row r="636" spans="2:6" s="88" customFormat="1" x14ac:dyDescent="0.2">
      <c r="B636" s="96"/>
      <c r="C636" s="96"/>
      <c r="D636" s="97"/>
      <c r="E636" s="96"/>
      <c r="F636" s="99"/>
    </row>
    <row r="637" spans="2:6" s="88" customFormat="1" x14ac:dyDescent="0.2">
      <c r="B637" s="96"/>
      <c r="C637" s="96"/>
      <c r="D637" s="97"/>
      <c r="E637" s="96"/>
      <c r="F637" s="99"/>
    </row>
    <row r="638" spans="2:6" s="88" customFormat="1" x14ac:dyDescent="0.2">
      <c r="B638" s="96"/>
      <c r="C638" s="96"/>
      <c r="D638" s="97"/>
      <c r="E638" s="96"/>
      <c r="F638" s="99"/>
    </row>
    <row r="639" spans="2:6" s="88" customFormat="1" x14ac:dyDescent="0.2">
      <c r="B639" s="96"/>
      <c r="C639" s="96"/>
      <c r="D639" s="97"/>
      <c r="E639" s="96"/>
      <c r="F639" s="99"/>
    </row>
    <row r="640" spans="2:6" s="88" customFormat="1" x14ac:dyDescent="0.2">
      <c r="B640" s="96"/>
      <c r="C640" s="96"/>
      <c r="D640" s="97"/>
      <c r="E640" s="96"/>
      <c r="F640" s="99"/>
    </row>
    <row r="641" spans="2:6" s="88" customFormat="1" x14ac:dyDescent="0.2">
      <c r="B641" s="96"/>
      <c r="C641" s="96"/>
      <c r="D641" s="97"/>
      <c r="E641" s="96"/>
      <c r="F641" s="99"/>
    </row>
    <row r="642" spans="2:6" s="88" customFormat="1" x14ac:dyDescent="0.2">
      <c r="B642" s="96"/>
      <c r="C642" s="96"/>
      <c r="D642" s="97"/>
      <c r="E642" s="96"/>
      <c r="F642" s="99"/>
    </row>
    <row r="643" spans="2:6" s="88" customFormat="1" x14ac:dyDescent="0.2">
      <c r="B643" s="96"/>
      <c r="C643" s="96"/>
      <c r="D643" s="97"/>
      <c r="E643" s="96"/>
      <c r="F643" s="99"/>
    </row>
    <row r="644" spans="2:6" s="88" customFormat="1" x14ac:dyDescent="0.2">
      <c r="B644" s="96"/>
      <c r="C644" s="96"/>
      <c r="D644" s="97"/>
      <c r="E644" s="96"/>
      <c r="F644" s="99"/>
    </row>
    <row r="645" spans="2:6" s="88" customFormat="1" x14ac:dyDescent="0.2">
      <c r="B645" s="96"/>
      <c r="C645" s="96"/>
      <c r="D645" s="97"/>
      <c r="E645" s="96"/>
      <c r="F645" s="99"/>
    </row>
    <row r="646" spans="2:6" s="88" customFormat="1" x14ac:dyDescent="0.2">
      <c r="B646" s="96"/>
      <c r="C646" s="96"/>
      <c r="D646" s="97"/>
      <c r="E646" s="96"/>
      <c r="F646" s="99"/>
    </row>
    <row r="647" spans="2:6" s="88" customFormat="1" x14ac:dyDescent="0.2">
      <c r="B647" s="96"/>
      <c r="C647" s="96"/>
      <c r="D647" s="97"/>
      <c r="E647" s="96"/>
      <c r="F647" s="99"/>
    </row>
    <row r="648" spans="2:6" s="88" customFormat="1" x14ac:dyDescent="0.2">
      <c r="B648" s="96"/>
      <c r="C648" s="96"/>
      <c r="D648" s="97"/>
      <c r="E648" s="96"/>
      <c r="F648" s="99"/>
    </row>
    <row r="649" spans="2:6" s="88" customFormat="1" x14ac:dyDescent="0.2">
      <c r="B649" s="96"/>
      <c r="C649" s="96"/>
      <c r="D649" s="97"/>
      <c r="E649" s="96"/>
      <c r="F649" s="99"/>
    </row>
    <row r="650" spans="2:6" s="88" customFormat="1" x14ac:dyDescent="0.2">
      <c r="B650" s="96"/>
      <c r="C650" s="96"/>
      <c r="D650" s="97"/>
      <c r="E650" s="96"/>
      <c r="F650" s="99"/>
    </row>
    <row r="651" spans="2:6" s="88" customFormat="1" x14ac:dyDescent="0.2">
      <c r="B651" s="96"/>
      <c r="C651" s="96"/>
      <c r="D651" s="97"/>
      <c r="E651" s="96"/>
      <c r="F651" s="99"/>
    </row>
    <row r="652" spans="2:6" s="88" customFormat="1" x14ac:dyDescent="0.2">
      <c r="B652" s="96"/>
      <c r="C652" s="96"/>
      <c r="D652" s="97"/>
      <c r="E652" s="96"/>
      <c r="F652" s="99"/>
    </row>
    <row r="653" spans="2:6" s="88" customFormat="1" x14ac:dyDescent="0.2">
      <c r="B653" s="96"/>
      <c r="C653" s="96"/>
      <c r="D653" s="97"/>
      <c r="E653" s="96"/>
      <c r="F653" s="99"/>
    </row>
    <row r="654" spans="2:6" s="88" customFormat="1" x14ac:dyDescent="0.2">
      <c r="B654" s="96"/>
      <c r="C654" s="96"/>
      <c r="D654" s="97"/>
      <c r="E654" s="96"/>
      <c r="F654" s="99"/>
    </row>
    <row r="655" spans="2:6" s="88" customFormat="1" x14ac:dyDescent="0.2">
      <c r="B655" s="96"/>
      <c r="C655" s="96"/>
      <c r="D655" s="97"/>
      <c r="E655" s="96"/>
      <c r="F655" s="99"/>
    </row>
    <row r="656" spans="2:6" s="88" customFormat="1" x14ac:dyDescent="0.2">
      <c r="B656" s="96"/>
      <c r="C656" s="96"/>
      <c r="D656" s="97"/>
      <c r="E656" s="96"/>
      <c r="F656" s="99"/>
    </row>
    <row r="657" spans="2:6" s="88" customFormat="1" x14ac:dyDescent="0.2">
      <c r="B657" s="96"/>
      <c r="C657" s="96"/>
      <c r="D657" s="97"/>
      <c r="E657" s="96"/>
      <c r="F657" s="99"/>
    </row>
    <row r="658" spans="2:6" s="88" customFormat="1" x14ac:dyDescent="0.2">
      <c r="B658" s="96"/>
      <c r="C658" s="96"/>
      <c r="D658" s="97"/>
      <c r="E658" s="96"/>
      <c r="F658" s="99"/>
    </row>
    <row r="659" spans="2:6" s="88" customFormat="1" x14ac:dyDescent="0.2">
      <c r="B659" s="96"/>
      <c r="C659" s="96"/>
      <c r="D659" s="97"/>
      <c r="E659" s="96"/>
      <c r="F659" s="99"/>
    </row>
    <row r="660" spans="2:6" s="88" customFormat="1" x14ac:dyDescent="0.2">
      <c r="B660" s="96"/>
      <c r="C660" s="96"/>
      <c r="D660" s="97"/>
      <c r="E660" s="96"/>
      <c r="F660" s="99"/>
    </row>
    <row r="661" spans="2:6" s="88" customFormat="1" x14ac:dyDescent="0.2">
      <c r="B661" s="96"/>
      <c r="C661" s="96"/>
      <c r="D661" s="97"/>
      <c r="E661" s="96"/>
      <c r="F661" s="99"/>
    </row>
    <row r="662" spans="2:6" s="88" customFormat="1" x14ac:dyDescent="0.2">
      <c r="B662" s="96"/>
      <c r="C662" s="96"/>
      <c r="D662" s="97"/>
      <c r="E662" s="96"/>
      <c r="F662" s="99"/>
    </row>
    <row r="663" spans="2:6" s="88" customFormat="1" x14ac:dyDescent="0.2">
      <c r="B663" s="96"/>
      <c r="C663" s="96"/>
      <c r="D663" s="97"/>
      <c r="E663" s="96"/>
      <c r="F663" s="99"/>
    </row>
    <row r="664" spans="2:6" s="88" customFormat="1" x14ac:dyDescent="0.2">
      <c r="B664" s="96"/>
      <c r="C664" s="96"/>
      <c r="D664" s="97"/>
      <c r="E664" s="96"/>
      <c r="F664" s="99"/>
    </row>
    <row r="665" spans="2:6" s="88" customFormat="1" x14ac:dyDescent="0.2">
      <c r="B665" s="96"/>
      <c r="C665" s="96"/>
      <c r="D665" s="97"/>
      <c r="E665" s="96"/>
      <c r="F665" s="99"/>
    </row>
    <row r="666" spans="2:6" s="88" customFormat="1" x14ac:dyDescent="0.2">
      <c r="B666" s="96"/>
      <c r="C666" s="96"/>
      <c r="D666" s="97"/>
      <c r="E666" s="96"/>
      <c r="F666" s="99"/>
    </row>
    <row r="667" spans="2:6" s="88" customFormat="1" x14ac:dyDescent="0.2">
      <c r="B667" s="96"/>
      <c r="C667" s="96"/>
      <c r="D667" s="97"/>
      <c r="E667" s="96"/>
      <c r="F667" s="99"/>
    </row>
    <row r="668" spans="2:6" s="88" customFormat="1" x14ac:dyDescent="0.2">
      <c r="B668" s="96"/>
      <c r="C668" s="96"/>
      <c r="D668" s="97"/>
      <c r="E668" s="96"/>
      <c r="F668" s="99"/>
    </row>
    <row r="669" spans="2:6" s="88" customFormat="1" x14ac:dyDescent="0.2">
      <c r="B669" s="96"/>
      <c r="C669" s="96"/>
      <c r="D669" s="97"/>
      <c r="E669" s="96"/>
      <c r="F669" s="99"/>
    </row>
    <row r="670" spans="2:6" s="88" customFormat="1" x14ac:dyDescent="0.2">
      <c r="B670" s="96"/>
      <c r="C670" s="96"/>
      <c r="D670" s="97"/>
      <c r="E670" s="96"/>
      <c r="F670" s="99"/>
    </row>
    <row r="671" spans="2:6" s="88" customFormat="1" x14ac:dyDescent="0.2">
      <c r="B671" s="96"/>
      <c r="C671" s="96"/>
      <c r="D671" s="97"/>
      <c r="E671" s="96"/>
      <c r="F671" s="99"/>
    </row>
    <row r="672" spans="2:6" s="88" customFormat="1" x14ac:dyDescent="0.2">
      <c r="B672" s="96"/>
      <c r="C672" s="96"/>
      <c r="D672" s="97"/>
      <c r="E672" s="96"/>
      <c r="F672" s="99"/>
    </row>
    <row r="673" spans="2:6" s="88" customFormat="1" x14ac:dyDescent="0.2">
      <c r="B673" s="96"/>
      <c r="C673" s="96"/>
      <c r="D673" s="97"/>
      <c r="E673" s="96"/>
      <c r="F673" s="99"/>
    </row>
    <row r="674" spans="2:6" s="88" customFormat="1" x14ac:dyDescent="0.2">
      <c r="B674" s="96"/>
      <c r="C674" s="96"/>
      <c r="D674" s="97"/>
      <c r="E674" s="96"/>
      <c r="F674" s="99"/>
    </row>
    <row r="675" spans="2:6" s="88" customFormat="1" x14ac:dyDescent="0.2">
      <c r="B675" s="96"/>
      <c r="C675" s="96"/>
      <c r="D675" s="97"/>
      <c r="E675" s="96"/>
      <c r="F675" s="99"/>
    </row>
    <row r="676" spans="2:6" s="88" customFormat="1" x14ac:dyDescent="0.2">
      <c r="B676" s="96"/>
      <c r="C676" s="96"/>
      <c r="D676" s="97"/>
      <c r="E676" s="96"/>
      <c r="F676" s="99"/>
    </row>
    <row r="677" spans="2:6" s="88" customFormat="1" x14ac:dyDescent="0.2">
      <c r="B677" s="96"/>
      <c r="C677" s="96"/>
      <c r="D677" s="97"/>
      <c r="E677" s="96"/>
      <c r="F677" s="99"/>
    </row>
    <row r="678" spans="2:6" s="88" customFormat="1" x14ac:dyDescent="0.2">
      <c r="B678" s="96"/>
      <c r="C678" s="96"/>
      <c r="D678" s="97"/>
      <c r="E678" s="96"/>
      <c r="F678" s="99"/>
    </row>
    <row r="679" spans="2:6" s="88" customFormat="1" x14ac:dyDescent="0.2">
      <c r="B679" s="96"/>
      <c r="C679" s="96"/>
      <c r="D679" s="97"/>
      <c r="E679" s="96"/>
      <c r="F679" s="99"/>
    </row>
    <row r="680" spans="2:6" s="88" customFormat="1" x14ac:dyDescent="0.2">
      <c r="B680" s="96"/>
      <c r="C680" s="96"/>
      <c r="D680" s="97"/>
      <c r="E680" s="96"/>
      <c r="F680" s="99"/>
    </row>
    <row r="681" spans="2:6" s="88" customFormat="1" x14ac:dyDescent="0.2">
      <c r="B681" s="96"/>
      <c r="C681" s="96"/>
      <c r="D681" s="97"/>
      <c r="E681" s="96"/>
      <c r="F681" s="99"/>
    </row>
    <row r="682" spans="2:6" s="88" customFormat="1" x14ac:dyDescent="0.2">
      <c r="B682" s="96"/>
      <c r="C682" s="96"/>
      <c r="D682" s="97"/>
      <c r="E682" s="96"/>
      <c r="F682" s="99"/>
    </row>
    <row r="683" spans="2:6" s="88" customFormat="1" x14ac:dyDescent="0.2">
      <c r="B683" s="96"/>
      <c r="C683" s="96"/>
      <c r="D683" s="97"/>
      <c r="E683" s="96"/>
      <c r="F683" s="99"/>
    </row>
    <row r="684" spans="2:6" s="88" customFormat="1" x14ac:dyDescent="0.2">
      <c r="B684" s="96"/>
      <c r="C684" s="96"/>
      <c r="D684" s="97"/>
      <c r="E684" s="96"/>
      <c r="F684" s="99"/>
    </row>
    <row r="685" spans="2:6" s="88" customFormat="1" x14ac:dyDescent="0.2">
      <c r="B685" s="96"/>
      <c r="C685" s="96"/>
      <c r="D685" s="97"/>
      <c r="E685" s="96"/>
      <c r="F685" s="99"/>
    </row>
    <row r="686" spans="2:6" s="88" customFormat="1" x14ac:dyDescent="0.2">
      <c r="B686" s="96"/>
      <c r="C686" s="96"/>
      <c r="D686" s="97"/>
      <c r="E686" s="96"/>
      <c r="F686" s="99"/>
    </row>
    <row r="687" spans="2:6" s="88" customFormat="1" x14ac:dyDescent="0.2">
      <c r="B687" s="96"/>
      <c r="C687" s="96"/>
      <c r="D687" s="97"/>
      <c r="E687" s="96"/>
      <c r="F687" s="99"/>
    </row>
    <row r="688" spans="2:6" s="88" customFormat="1" x14ac:dyDescent="0.2">
      <c r="B688" s="96"/>
      <c r="C688" s="96"/>
      <c r="D688" s="97"/>
      <c r="E688" s="96"/>
      <c r="F688" s="99"/>
    </row>
    <row r="689" spans="2:6" s="88" customFormat="1" x14ac:dyDescent="0.2">
      <c r="B689" s="96"/>
      <c r="C689" s="96"/>
      <c r="D689" s="97"/>
      <c r="E689" s="96"/>
      <c r="F689" s="99"/>
    </row>
    <row r="690" spans="2:6" s="88" customFormat="1" x14ac:dyDescent="0.2">
      <c r="B690" s="96"/>
      <c r="C690" s="96"/>
      <c r="D690" s="97"/>
      <c r="E690" s="96"/>
      <c r="F690" s="99"/>
    </row>
    <row r="691" spans="2:6" s="88" customFormat="1" x14ac:dyDescent="0.2">
      <c r="B691" s="96"/>
      <c r="C691" s="96"/>
      <c r="D691" s="97"/>
      <c r="E691" s="96"/>
      <c r="F691" s="99"/>
    </row>
    <row r="692" spans="2:6" s="88" customFormat="1" x14ac:dyDescent="0.2">
      <c r="B692" s="96"/>
      <c r="C692" s="96"/>
      <c r="D692" s="97"/>
      <c r="E692" s="96"/>
      <c r="F692" s="99"/>
    </row>
    <row r="693" spans="2:6" s="88" customFormat="1" x14ac:dyDescent="0.2">
      <c r="B693" s="96"/>
      <c r="C693" s="96"/>
      <c r="D693" s="97"/>
      <c r="E693" s="96"/>
      <c r="F693" s="99"/>
    </row>
    <row r="694" spans="2:6" s="88" customFormat="1" x14ac:dyDescent="0.2">
      <c r="B694" s="96"/>
      <c r="C694" s="96"/>
      <c r="D694" s="97"/>
      <c r="E694" s="96"/>
      <c r="F694" s="99"/>
    </row>
    <row r="695" spans="2:6" s="88" customFormat="1" x14ac:dyDescent="0.2">
      <c r="B695" s="96"/>
      <c r="C695" s="96"/>
      <c r="D695" s="97"/>
      <c r="E695" s="96"/>
      <c r="F695" s="99"/>
    </row>
    <row r="696" spans="2:6" s="88" customFormat="1" x14ac:dyDescent="0.2">
      <c r="B696" s="96"/>
      <c r="C696" s="96"/>
      <c r="D696" s="97"/>
      <c r="E696" s="96"/>
      <c r="F696" s="99"/>
    </row>
    <row r="697" spans="2:6" s="88" customFormat="1" x14ac:dyDescent="0.2">
      <c r="B697" s="96"/>
      <c r="C697" s="96"/>
      <c r="D697" s="97"/>
      <c r="E697" s="96"/>
      <c r="F697" s="99"/>
    </row>
    <row r="698" spans="2:6" s="88" customFormat="1" x14ac:dyDescent="0.2">
      <c r="B698" s="96"/>
      <c r="C698" s="96"/>
      <c r="D698" s="97"/>
      <c r="E698" s="96"/>
      <c r="F698" s="99"/>
    </row>
    <row r="699" spans="2:6" s="88" customFormat="1" x14ac:dyDescent="0.2">
      <c r="B699" s="96"/>
      <c r="C699" s="96"/>
      <c r="D699" s="97"/>
      <c r="E699" s="96"/>
      <c r="F699" s="99"/>
    </row>
    <row r="700" spans="2:6" s="88" customFormat="1" x14ac:dyDescent="0.2">
      <c r="B700" s="96"/>
      <c r="C700" s="96"/>
      <c r="D700" s="97"/>
      <c r="E700" s="96"/>
      <c r="F700" s="99"/>
    </row>
    <row r="701" spans="2:6" s="88" customFormat="1" x14ac:dyDescent="0.2">
      <c r="B701" s="96"/>
      <c r="C701" s="96"/>
      <c r="D701" s="97"/>
      <c r="E701" s="96"/>
      <c r="F701" s="99"/>
    </row>
    <row r="702" spans="2:6" s="88" customFormat="1" x14ac:dyDescent="0.2">
      <c r="B702" s="96"/>
      <c r="C702" s="96"/>
      <c r="D702" s="97"/>
      <c r="E702" s="96"/>
      <c r="F702" s="99"/>
    </row>
    <row r="703" spans="2:6" s="88" customFormat="1" x14ac:dyDescent="0.2">
      <c r="B703" s="96"/>
      <c r="C703" s="96"/>
      <c r="D703" s="97"/>
      <c r="E703" s="96"/>
      <c r="F703" s="99"/>
    </row>
    <row r="704" spans="2:6" s="88" customFormat="1" x14ac:dyDescent="0.2">
      <c r="B704" s="96"/>
      <c r="C704" s="96"/>
      <c r="D704" s="97"/>
      <c r="E704" s="96"/>
      <c r="F704" s="99"/>
    </row>
    <row r="705" spans="2:6" s="88" customFormat="1" x14ac:dyDescent="0.2">
      <c r="B705" s="96"/>
      <c r="C705" s="96"/>
      <c r="D705" s="97"/>
      <c r="E705" s="96"/>
      <c r="F705" s="99"/>
    </row>
    <row r="706" spans="2:6" s="88" customFormat="1" x14ac:dyDescent="0.2">
      <c r="B706" s="96"/>
      <c r="C706" s="96"/>
      <c r="D706" s="97"/>
      <c r="E706" s="96"/>
      <c r="F706" s="99"/>
    </row>
    <row r="707" spans="2:6" s="88" customFormat="1" x14ac:dyDescent="0.2">
      <c r="B707" s="96"/>
      <c r="C707" s="96"/>
      <c r="D707" s="97"/>
      <c r="E707" s="96"/>
      <c r="F707" s="99"/>
    </row>
    <row r="708" spans="2:6" s="88" customFormat="1" x14ac:dyDescent="0.2">
      <c r="B708" s="96"/>
      <c r="C708" s="96"/>
      <c r="D708" s="97"/>
      <c r="E708" s="96"/>
      <c r="F708" s="99"/>
    </row>
    <row r="709" spans="2:6" s="88" customFormat="1" x14ac:dyDescent="0.2">
      <c r="B709" s="96"/>
      <c r="C709" s="96"/>
      <c r="D709" s="97"/>
      <c r="E709" s="96"/>
      <c r="F709" s="99"/>
    </row>
    <row r="710" spans="2:6" s="88" customFormat="1" x14ac:dyDescent="0.2">
      <c r="B710" s="96"/>
      <c r="C710" s="96"/>
      <c r="D710" s="97"/>
      <c r="E710" s="96"/>
      <c r="F710" s="99"/>
    </row>
    <row r="711" spans="2:6" s="88" customFormat="1" x14ac:dyDescent="0.2">
      <c r="B711" s="96"/>
      <c r="C711" s="96"/>
      <c r="D711" s="97"/>
      <c r="E711" s="96"/>
      <c r="F711" s="99"/>
    </row>
    <row r="712" spans="2:6" s="88" customFormat="1" x14ac:dyDescent="0.2">
      <c r="B712" s="96"/>
      <c r="C712" s="96"/>
      <c r="D712" s="97"/>
      <c r="E712" s="96"/>
      <c r="F712" s="99"/>
    </row>
    <row r="713" spans="2:6" s="88" customFormat="1" x14ac:dyDescent="0.2">
      <c r="B713" s="96"/>
      <c r="C713" s="96"/>
      <c r="D713" s="97"/>
      <c r="E713" s="96"/>
      <c r="F713" s="99"/>
    </row>
    <row r="714" spans="2:6" s="88" customFormat="1" x14ac:dyDescent="0.2">
      <c r="B714" s="96"/>
      <c r="C714" s="96"/>
      <c r="D714" s="97"/>
      <c r="E714" s="96"/>
      <c r="F714" s="99"/>
    </row>
    <row r="715" spans="2:6" s="88" customFormat="1" x14ac:dyDescent="0.2">
      <c r="B715" s="96"/>
      <c r="C715" s="96"/>
      <c r="D715" s="97"/>
      <c r="E715" s="96"/>
      <c r="F715" s="99"/>
    </row>
    <row r="716" spans="2:6" s="88" customFormat="1" x14ac:dyDescent="0.2">
      <c r="B716" s="96"/>
      <c r="C716" s="96"/>
      <c r="D716" s="97"/>
      <c r="E716" s="96"/>
      <c r="F716" s="99"/>
    </row>
    <row r="717" spans="2:6" s="88" customFormat="1" x14ac:dyDescent="0.2">
      <c r="B717" s="96"/>
      <c r="C717" s="96"/>
      <c r="D717" s="97"/>
      <c r="E717" s="96"/>
      <c r="F717" s="99"/>
    </row>
    <row r="718" spans="2:6" s="88" customFormat="1" x14ac:dyDescent="0.2">
      <c r="B718" s="96"/>
      <c r="C718" s="96"/>
      <c r="D718" s="97"/>
      <c r="E718" s="96"/>
      <c r="F718" s="99"/>
    </row>
    <row r="719" spans="2:6" s="88" customFormat="1" x14ac:dyDescent="0.2">
      <c r="B719" s="96"/>
      <c r="C719" s="96"/>
      <c r="D719" s="97"/>
      <c r="E719" s="96"/>
      <c r="F719" s="99"/>
    </row>
    <row r="720" spans="2:6" s="88" customFormat="1" x14ac:dyDescent="0.2">
      <c r="B720" s="96"/>
      <c r="C720" s="96"/>
      <c r="D720" s="97"/>
      <c r="E720" s="96"/>
      <c r="F720" s="99"/>
    </row>
    <row r="721" spans="2:6" s="88" customFormat="1" x14ac:dyDescent="0.2">
      <c r="B721" s="96"/>
      <c r="C721" s="96"/>
      <c r="D721" s="97"/>
      <c r="E721" s="96"/>
      <c r="F721" s="99"/>
    </row>
    <row r="722" spans="2:6" s="88" customFormat="1" x14ac:dyDescent="0.2">
      <c r="B722" s="96"/>
      <c r="C722" s="96"/>
      <c r="D722" s="97"/>
      <c r="E722" s="96"/>
      <c r="F722" s="99"/>
    </row>
    <row r="723" spans="2:6" s="88" customFormat="1" x14ac:dyDescent="0.2">
      <c r="B723" s="96"/>
      <c r="C723" s="96"/>
      <c r="D723" s="97"/>
      <c r="E723" s="96"/>
      <c r="F723" s="99"/>
    </row>
    <row r="724" spans="2:6" s="88" customFormat="1" x14ac:dyDescent="0.2">
      <c r="B724" s="96"/>
      <c r="C724" s="96"/>
      <c r="D724" s="97"/>
      <c r="E724" s="96"/>
      <c r="F724" s="99"/>
    </row>
    <row r="725" spans="2:6" s="88" customFormat="1" x14ac:dyDescent="0.2">
      <c r="B725" s="96"/>
      <c r="C725" s="96"/>
      <c r="D725" s="97"/>
      <c r="E725" s="96"/>
      <c r="F725" s="99"/>
    </row>
    <row r="726" spans="2:6" s="88" customFormat="1" x14ac:dyDescent="0.2">
      <c r="B726" s="96"/>
      <c r="C726" s="96"/>
      <c r="D726" s="97"/>
      <c r="E726" s="96"/>
      <c r="F726" s="99"/>
    </row>
    <row r="727" spans="2:6" s="88" customFormat="1" x14ac:dyDescent="0.2">
      <c r="B727" s="96"/>
      <c r="C727" s="96"/>
      <c r="D727" s="97"/>
      <c r="E727" s="96"/>
      <c r="F727" s="99"/>
    </row>
    <row r="728" spans="2:6" s="88" customFormat="1" x14ac:dyDescent="0.2">
      <c r="B728" s="96"/>
      <c r="C728" s="96"/>
      <c r="D728" s="97"/>
      <c r="E728" s="96"/>
      <c r="F728" s="99"/>
    </row>
    <row r="729" spans="2:6" s="88" customFormat="1" x14ac:dyDescent="0.2">
      <c r="B729" s="96"/>
      <c r="C729" s="96"/>
      <c r="D729" s="97"/>
      <c r="E729" s="96"/>
      <c r="F729" s="99"/>
    </row>
    <row r="730" spans="2:6" s="88" customFormat="1" x14ac:dyDescent="0.2">
      <c r="B730" s="96"/>
      <c r="C730" s="96"/>
      <c r="D730" s="97"/>
      <c r="E730" s="96"/>
      <c r="F730" s="99"/>
    </row>
    <row r="731" spans="2:6" s="88" customFormat="1" x14ac:dyDescent="0.2">
      <c r="B731" s="96"/>
      <c r="C731" s="96"/>
      <c r="D731" s="97"/>
      <c r="E731" s="96"/>
      <c r="F731" s="99"/>
    </row>
    <row r="732" spans="2:6" s="88" customFormat="1" x14ac:dyDescent="0.2">
      <c r="B732" s="96"/>
      <c r="C732" s="96"/>
      <c r="D732" s="97"/>
      <c r="E732" s="96"/>
      <c r="F732" s="99"/>
    </row>
    <row r="733" spans="2:6" s="88" customFormat="1" x14ac:dyDescent="0.2">
      <c r="B733" s="96"/>
      <c r="C733" s="96"/>
      <c r="D733" s="97"/>
      <c r="E733" s="96"/>
      <c r="F733" s="99"/>
    </row>
    <row r="734" spans="2:6" s="88" customFormat="1" x14ac:dyDescent="0.2">
      <c r="B734" s="96"/>
      <c r="C734" s="96"/>
      <c r="D734" s="97"/>
      <c r="E734" s="96"/>
      <c r="F734" s="99"/>
    </row>
    <row r="735" spans="2:6" s="88" customFormat="1" x14ac:dyDescent="0.2">
      <c r="B735" s="96"/>
      <c r="C735" s="96"/>
      <c r="D735" s="97"/>
      <c r="E735" s="96"/>
      <c r="F735" s="99"/>
    </row>
    <row r="736" spans="2:6" s="88" customFormat="1" x14ac:dyDescent="0.2">
      <c r="B736" s="96"/>
      <c r="C736" s="96"/>
      <c r="D736" s="97"/>
      <c r="E736" s="96"/>
      <c r="F736" s="99"/>
    </row>
    <row r="737" spans="2:6" s="88" customFormat="1" x14ac:dyDescent="0.2">
      <c r="B737" s="96"/>
      <c r="C737" s="96"/>
      <c r="D737" s="97"/>
      <c r="E737" s="96"/>
      <c r="F737" s="99"/>
    </row>
    <row r="738" spans="2:6" s="88" customFormat="1" x14ac:dyDescent="0.2">
      <c r="B738" s="96"/>
      <c r="C738" s="96"/>
      <c r="D738" s="97"/>
      <c r="E738" s="96"/>
      <c r="F738" s="99"/>
    </row>
    <row r="739" spans="2:6" s="88" customFormat="1" x14ac:dyDescent="0.2">
      <c r="B739" s="96"/>
      <c r="C739" s="96"/>
      <c r="D739" s="97"/>
      <c r="E739" s="96"/>
      <c r="F739" s="99"/>
    </row>
    <row r="740" spans="2:6" s="88" customFormat="1" x14ac:dyDescent="0.2">
      <c r="B740" s="96"/>
      <c r="C740" s="96"/>
      <c r="D740" s="97"/>
      <c r="E740" s="96"/>
      <c r="F740" s="99"/>
    </row>
    <row r="741" spans="2:6" s="88" customFormat="1" x14ac:dyDescent="0.2">
      <c r="B741" s="96"/>
      <c r="C741" s="96"/>
      <c r="D741" s="97"/>
      <c r="E741" s="96"/>
      <c r="F741" s="99"/>
    </row>
    <row r="742" spans="2:6" s="88" customFormat="1" x14ac:dyDescent="0.2">
      <c r="B742" s="96"/>
      <c r="C742" s="96"/>
      <c r="D742" s="97"/>
      <c r="E742" s="96"/>
      <c r="F742" s="99"/>
    </row>
    <row r="743" spans="2:6" s="88" customFormat="1" x14ac:dyDescent="0.2">
      <c r="B743" s="96"/>
      <c r="C743" s="96"/>
      <c r="D743" s="97"/>
      <c r="E743" s="96"/>
      <c r="F743" s="99"/>
    </row>
    <row r="744" spans="2:6" s="88" customFormat="1" x14ac:dyDescent="0.2">
      <c r="B744" s="96"/>
      <c r="C744" s="96"/>
      <c r="D744" s="97"/>
      <c r="E744" s="96"/>
      <c r="F744" s="99"/>
    </row>
    <row r="745" spans="2:6" s="88" customFormat="1" x14ac:dyDescent="0.2">
      <c r="B745" s="96"/>
      <c r="C745" s="96"/>
      <c r="D745" s="97"/>
      <c r="E745" s="96"/>
      <c r="F745" s="99"/>
    </row>
    <row r="746" spans="2:6" s="88" customFormat="1" x14ac:dyDescent="0.2">
      <c r="B746" s="96"/>
      <c r="C746" s="96"/>
      <c r="D746" s="97"/>
      <c r="E746" s="96"/>
      <c r="F746" s="99"/>
    </row>
    <row r="747" spans="2:6" s="88" customFormat="1" x14ac:dyDescent="0.2">
      <c r="B747" s="96"/>
      <c r="C747" s="96"/>
      <c r="D747" s="97"/>
      <c r="E747" s="96"/>
      <c r="F747" s="99"/>
    </row>
    <row r="748" spans="2:6" s="88" customFormat="1" x14ac:dyDescent="0.2">
      <c r="B748" s="96"/>
      <c r="C748" s="96"/>
      <c r="D748" s="97"/>
      <c r="E748" s="96"/>
      <c r="F748" s="99"/>
    </row>
    <row r="749" spans="2:6" s="88" customFormat="1" x14ac:dyDescent="0.2">
      <c r="B749" s="96"/>
      <c r="C749" s="96"/>
      <c r="D749" s="97"/>
      <c r="E749" s="96"/>
      <c r="F749" s="99"/>
    </row>
    <row r="750" spans="2:6" s="88" customFormat="1" x14ac:dyDescent="0.2">
      <c r="B750" s="96"/>
      <c r="C750" s="96"/>
      <c r="D750" s="97"/>
      <c r="E750" s="96"/>
      <c r="F750" s="99"/>
    </row>
    <row r="751" spans="2:6" s="88" customFormat="1" x14ac:dyDescent="0.2">
      <c r="B751" s="96"/>
      <c r="C751" s="96"/>
      <c r="D751" s="97"/>
      <c r="E751" s="96"/>
      <c r="F751" s="99"/>
    </row>
    <row r="752" spans="2:6" s="88" customFormat="1" x14ac:dyDescent="0.2">
      <c r="B752" s="96"/>
      <c r="C752" s="96"/>
      <c r="D752" s="97"/>
      <c r="E752" s="96"/>
      <c r="F752" s="99"/>
    </row>
    <row r="753" spans="2:6" s="88" customFormat="1" x14ac:dyDescent="0.2">
      <c r="B753" s="96"/>
      <c r="C753" s="96"/>
      <c r="D753" s="97"/>
      <c r="E753" s="96"/>
      <c r="F753" s="99"/>
    </row>
    <row r="754" spans="2:6" s="88" customFormat="1" x14ac:dyDescent="0.2">
      <c r="B754" s="96"/>
      <c r="C754" s="96"/>
      <c r="D754" s="97"/>
      <c r="E754" s="96"/>
      <c r="F754" s="99"/>
    </row>
    <row r="755" spans="2:6" s="88" customFormat="1" x14ac:dyDescent="0.2">
      <c r="B755" s="96"/>
      <c r="C755" s="96"/>
      <c r="D755" s="97"/>
      <c r="E755" s="96"/>
      <c r="F755" s="99"/>
    </row>
    <row r="756" spans="2:6" s="88" customFormat="1" x14ac:dyDescent="0.2">
      <c r="B756" s="96"/>
      <c r="C756" s="96"/>
      <c r="D756" s="97"/>
      <c r="E756" s="96"/>
      <c r="F756" s="99"/>
    </row>
    <row r="757" spans="2:6" s="88" customFormat="1" x14ac:dyDescent="0.2">
      <c r="B757" s="96"/>
      <c r="C757" s="96"/>
      <c r="D757" s="97"/>
      <c r="E757" s="96"/>
      <c r="F757" s="99"/>
    </row>
    <row r="758" spans="2:6" s="88" customFormat="1" x14ac:dyDescent="0.2">
      <c r="B758" s="96"/>
      <c r="C758" s="96"/>
      <c r="D758" s="97"/>
      <c r="E758" s="96"/>
      <c r="F758" s="99"/>
    </row>
    <row r="759" spans="2:6" s="88" customFormat="1" x14ac:dyDescent="0.2">
      <c r="B759" s="96"/>
      <c r="C759" s="96"/>
      <c r="D759" s="97"/>
      <c r="E759" s="96"/>
      <c r="F759" s="99"/>
    </row>
    <row r="760" spans="2:6" s="88" customFormat="1" x14ac:dyDescent="0.2">
      <c r="B760" s="96"/>
      <c r="C760" s="96"/>
      <c r="D760" s="97"/>
      <c r="E760" s="96"/>
      <c r="F760" s="99"/>
    </row>
    <row r="761" spans="2:6" s="88" customFormat="1" x14ac:dyDescent="0.2">
      <c r="B761" s="96"/>
      <c r="C761" s="96"/>
      <c r="D761" s="97"/>
      <c r="E761" s="96"/>
      <c r="F761" s="99"/>
    </row>
    <row r="762" spans="2:6" s="88" customFormat="1" x14ac:dyDescent="0.2">
      <c r="B762" s="96"/>
      <c r="C762" s="96"/>
      <c r="D762" s="97"/>
      <c r="E762" s="96"/>
      <c r="F762" s="99"/>
    </row>
    <row r="763" spans="2:6" s="88" customFormat="1" x14ac:dyDescent="0.2">
      <c r="B763" s="96"/>
      <c r="C763" s="96"/>
      <c r="D763" s="97"/>
      <c r="E763" s="96"/>
      <c r="F763" s="99"/>
    </row>
    <row r="764" spans="2:6" s="88" customFormat="1" x14ac:dyDescent="0.2">
      <c r="B764" s="96"/>
      <c r="C764" s="96"/>
      <c r="D764" s="97"/>
      <c r="E764" s="96"/>
      <c r="F764" s="99"/>
    </row>
    <row r="765" spans="2:6" s="88" customFormat="1" x14ac:dyDescent="0.2">
      <c r="B765" s="96"/>
      <c r="C765" s="96"/>
      <c r="D765" s="97"/>
      <c r="E765" s="96"/>
      <c r="F765" s="99"/>
    </row>
    <row r="766" spans="2:6" s="88" customFormat="1" x14ac:dyDescent="0.2">
      <c r="B766" s="96"/>
      <c r="C766" s="96"/>
      <c r="D766" s="97"/>
      <c r="E766" s="96"/>
      <c r="F766" s="99"/>
    </row>
    <row r="767" spans="2:6" s="88" customFormat="1" x14ac:dyDescent="0.2">
      <c r="B767" s="96"/>
      <c r="C767" s="96"/>
      <c r="D767" s="97"/>
      <c r="E767" s="96"/>
      <c r="F767" s="99"/>
    </row>
    <row r="768" spans="2:6" s="88" customFormat="1" x14ac:dyDescent="0.2">
      <c r="B768" s="96"/>
      <c r="C768" s="96"/>
      <c r="D768" s="97"/>
      <c r="E768" s="96"/>
      <c r="F768" s="99"/>
    </row>
    <row r="769" spans="2:6" s="88" customFormat="1" x14ac:dyDescent="0.2">
      <c r="B769" s="96"/>
      <c r="C769" s="96"/>
      <c r="D769" s="97"/>
      <c r="E769" s="96"/>
      <c r="F769" s="99"/>
    </row>
    <row r="770" spans="2:6" s="88" customFormat="1" x14ac:dyDescent="0.2">
      <c r="B770" s="96"/>
      <c r="C770" s="96"/>
      <c r="D770" s="97"/>
      <c r="E770" s="96"/>
      <c r="F770" s="99"/>
    </row>
    <row r="771" spans="2:6" s="88" customFormat="1" x14ac:dyDescent="0.2">
      <c r="B771" s="96"/>
      <c r="C771" s="96"/>
      <c r="D771" s="97"/>
      <c r="E771" s="96"/>
      <c r="F771" s="99"/>
    </row>
    <row r="772" spans="2:6" s="88" customFormat="1" x14ac:dyDescent="0.2">
      <c r="B772" s="96"/>
      <c r="C772" s="96"/>
      <c r="D772" s="97"/>
      <c r="E772" s="96"/>
      <c r="F772" s="99"/>
    </row>
    <row r="773" spans="2:6" s="88" customFormat="1" x14ac:dyDescent="0.2">
      <c r="B773" s="96"/>
      <c r="C773" s="96"/>
      <c r="D773" s="97"/>
      <c r="E773" s="96"/>
      <c r="F773" s="99"/>
    </row>
    <row r="774" spans="2:6" s="88" customFormat="1" x14ac:dyDescent="0.2">
      <c r="B774" s="96"/>
      <c r="C774" s="96"/>
      <c r="D774" s="97"/>
      <c r="E774" s="96"/>
      <c r="F774" s="99"/>
    </row>
    <row r="775" spans="2:6" s="88" customFormat="1" x14ac:dyDescent="0.2">
      <c r="B775" s="96"/>
      <c r="C775" s="96"/>
      <c r="D775" s="97"/>
      <c r="E775" s="96"/>
      <c r="F775" s="99"/>
    </row>
    <row r="776" spans="2:6" s="88" customFormat="1" x14ac:dyDescent="0.2">
      <c r="B776" s="96"/>
      <c r="C776" s="96"/>
      <c r="D776" s="97"/>
      <c r="E776" s="96"/>
      <c r="F776" s="99"/>
    </row>
    <row r="777" spans="2:6" s="88" customFormat="1" x14ac:dyDescent="0.2">
      <c r="B777" s="96"/>
      <c r="C777" s="96"/>
      <c r="D777" s="97"/>
      <c r="E777" s="96"/>
      <c r="F777" s="99"/>
    </row>
    <row r="778" spans="2:6" s="88" customFormat="1" x14ac:dyDescent="0.2">
      <c r="B778" s="96"/>
      <c r="C778" s="96"/>
      <c r="D778" s="97"/>
      <c r="E778" s="96"/>
      <c r="F778" s="99"/>
    </row>
  </sheetData>
  <sheetProtection algorithmName="SHA-512" hashValue="GJ1DTLN4w2YTwh7NwGdefAJ0toGq0iiU212zvC8YboXjlNuvJcem+aGi43ClRZQ3aC4EBi54udOS7PJF+hR2Fg==" saltValue="Uud0ZSDHvZovp7LxeLmI1A==" spinCount="100000" sheet="1" objects="1" scenarios="1"/>
  <mergeCells count="76">
    <mergeCell ref="B191:F191"/>
    <mergeCell ref="B192:F192"/>
    <mergeCell ref="B194:C194"/>
    <mergeCell ref="B195:C195"/>
    <mergeCell ref="A177:A181"/>
    <mergeCell ref="B177:B178"/>
    <mergeCell ref="B179:B180"/>
    <mergeCell ref="B185:C185"/>
    <mergeCell ref="B184:C184"/>
    <mergeCell ref="C133:C140"/>
    <mergeCell ref="C141:C154"/>
    <mergeCell ref="C155:C157"/>
    <mergeCell ref="C173:C175"/>
    <mergeCell ref="B182:E182"/>
    <mergeCell ref="B158:E158"/>
    <mergeCell ref="B159:B160"/>
    <mergeCell ref="B161:B162"/>
    <mergeCell ref="B164:C164"/>
    <mergeCell ref="B165:F165"/>
    <mergeCell ref="B167:B174"/>
    <mergeCell ref="C167:C171"/>
    <mergeCell ref="B166:E166"/>
    <mergeCell ref="B176:E176"/>
    <mergeCell ref="B133:B157"/>
    <mergeCell ref="C122:C127"/>
    <mergeCell ref="C128:C129"/>
    <mergeCell ref="B88:E88"/>
    <mergeCell ref="B89:B91"/>
    <mergeCell ref="C89:C90"/>
    <mergeCell ref="B92:E92"/>
    <mergeCell ref="B93:B105"/>
    <mergeCell ref="C93:C103"/>
    <mergeCell ref="C104:C105"/>
    <mergeCell ref="B106:E106"/>
    <mergeCell ref="B107:B129"/>
    <mergeCell ref="C109:C115"/>
    <mergeCell ref="C116:C121"/>
    <mergeCell ref="B80:B87"/>
    <mergeCell ref="C81:C84"/>
    <mergeCell ref="B51:B53"/>
    <mergeCell ref="C51:C53"/>
    <mergeCell ref="B54:E54"/>
    <mergeCell ref="B55:B59"/>
    <mergeCell ref="C55:C58"/>
    <mergeCell ref="B60:E60"/>
    <mergeCell ref="B61:B65"/>
    <mergeCell ref="C61:C64"/>
    <mergeCell ref="B66:E66"/>
    <mergeCell ref="B67:B79"/>
    <mergeCell ref="C67:C72"/>
    <mergeCell ref="A48:A50"/>
    <mergeCell ref="B48:B50"/>
    <mergeCell ref="C49:C50"/>
    <mergeCell ref="B22:E22"/>
    <mergeCell ref="B23:B28"/>
    <mergeCell ref="A25:A28"/>
    <mergeCell ref="A29:A30"/>
    <mergeCell ref="B29:B30"/>
    <mergeCell ref="A31:A33"/>
    <mergeCell ref="B31:B35"/>
    <mergeCell ref="B36:B37"/>
    <mergeCell ref="B38:E38"/>
    <mergeCell ref="B39:B47"/>
    <mergeCell ref="A40:A41"/>
    <mergeCell ref="C45:C47"/>
    <mergeCell ref="B12:B18"/>
    <mergeCell ref="C13:C18"/>
    <mergeCell ref="B19:E19"/>
    <mergeCell ref="B20:B21"/>
    <mergeCell ref="C20:C21"/>
    <mergeCell ref="B7:E7"/>
    <mergeCell ref="B8:B10"/>
    <mergeCell ref="C8:C9"/>
    <mergeCell ref="B1:H3"/>
    <mergeCell ref="B11:E11"/>
    <mergeCell ref="B4:H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O39"/>
  <sheetViews>
    <sheetView showGridLines="0" zoomScale="70" zoomScaleNormal="70" workbookViewId="0">
      <selection sqref="A1:N1"/>
    </sheetView>
  </sheetViews>
  <sheetFormatPr baseColWidth="10" defaultRowHeight="12.75" x14ac:dyDescent="0.2"/>
  <cols>
    <col min="1" max="1" width="13.28515625" style="1" customWidth="1"/>
    <col min="2" max="2" width="32.140625" style="31" customWidth="1"/>
    <col min="3" max="3" width="20.7109375" style="32" customWidth="1"/>
    <col min="4" max="4" width="10.42578125" style="32" customWidth="1"/>
    <col min="5" max="5" width="21.85546875" style="32" customWidth="1"/>
    <col min="6" max="6" width="11.7109375" style="32" customWidth="1"/>
    <col min="7" max="7" width="19.28515625" style="32" customWidth="1"/>
    <col min="8" max="8" width="12.28515625" style="32" customWidth="1"/>
    <col min="9" max="9" width="19.42578125" style="32" customWidth="1"/>
    <col min="10" max="10" width="10.28515625" style="32" customWidth="1"/>
    <col min="11" max="11" width="19.140625" style="32" customWidth="1"/>
    <col min="12" max="12" width="10.42578125" style="32" customWidth="1"/>
    <col min="13" max="13" width="21.140625" style="32" customWidth="1"/>
    <col min="14" max="14" width="19.28515625" style="1" customWidth="1"/>
    <col min="15" max="256" width="11.42578125" style="1"/>
    <col min="257" max="257" width="13.28515625" style="1" customWidth="1"/>
    <col min="258" max="258" width="32.140625" style="1" customWidth="1"/>
    <col min="259" max="259" width="20.7109375" style="1" customWidth="1"/>
    <col min="260" max="260" width="10.42578125" style="1" customWidth="1"/>
    <col min="261" max="261" width="18.5703125" style="1" customWidth="1"/>
    <col min="262" max="262" width="11.7109375" style="1" customWidth="1"/>
    <col min="263" max="263" width="19.28515625" style="1" customWidth="1"/>
    <col min="264" max="264" width="10.28515625" style="1" customWidth="1"/>
    <col min="265" max="265" width="19.42578125" style="1" customWidth="1"/>
    <col min="266" max="266" width="10.28515625" style="1" customWidth="1"/>
    <col min="267" max="267" width="19.5703125" style="1" customWidth="1"/>
    <col min="268" max="268" width="10.42578125" style="1" customWidth="1"/>
    <col min="269" max="269" width="21.140625" style="1" customWidth="1"/>
    <col min="270" max="270" width="11.7109375" style="1" customWidth="1"/>
    <col min="271" max="512" width="11.42578125" style="1"/>
    <col min="513" max="513" width="13.28515625" style="1" customWidth="1"/>
    <col min="514" max="514" width="32.140625" style="1" customWidth="1"/>
    <col min="515" max="515" width="20.7109375" style="1" customWidth="1"/>
    <col min="516" max="516" width="10.42578125" style="1" customWidth="1"/>
    <col min="517" max="517" width="18.5703125" style="1" customWidth="1"/>
    <col min="518" max="518" width="11.7109375" style="1" customWidth="1"/>
    <col min="519" max="519" width="19.28515625" style="1" customWidth="1"/>
    <col min="520" max="520" width="10.28515625" style="1" customWidth="1"/>
    <col min="521" max="521" width="19.42578125" style="1" customWidth="1"/>
    <col min="522" max="522" width="10.28515625" style="1" customWidth="1"/>
    <col min="523" max="523" width="19.5703125" style="1" customWidth="1"/>
    <col min="524" max="524" width="10.42578125" style="1" customWidth="1"/>
    <col min="525" max="525" width="21.140625" style="1" customWidth="1"/>
    <col min="526" max="526" width="11.7109375" style="1" customWidth="1"/>
    <col min="527" max="768" width="11.42578125" style="1"/>
    <col min="769" max="769" width="13.28515625" style="1" customWidth="1"/>
    <col min="770" max="770" width="32.140625" style="1" customWidth="1"/>
    <col min="771" max="771" width="20.7109375" style="1" customWidth="1"/>
    <col min="772" max="772" width="10.42578125" style="1" customWidth="1"/>
    <col min="773" max="773" width="18.5703125" style="1" customWidth="1"/>
    <col min="774" max="774" width="11.7109375" style="1" customWidth="1"/>
    <col min="775" max="775" width="19.28515625" style="1" customWidth="1"/>
    <col min="776" max="776" width="10.28515625" style="1" customWidth="1"/>
    <col min="777" max="777" width="19.42578125" style="1" customWidth="1"/>
    <col min="778" max="778" width="10.28515625" style="1" customWidth="1"/>
    <col min="779" max="779" width="19.5703125" style="1" customWidth="1"/>
    <col min="780" max="780" width="10.42578125" style="1" customWidth="1"/>
    <col min="781" max="781" width="21.140625" style="1" customWidth="1"/>
    <col min="782" max="782" width="11.7109375" style="1" customWidth="1"/>
    <col min="783" max="1024" width="11.42578125" style="1"/>
    <col min="1025" max="1025" width="13.28515625" style="1" customWidth="1"/>
    <col min="1026" max="1026" width="32.140625" style="1" customWidth="1"/>
    <col min="1027" max="1027" width="20.7109375" style="1" customWidth="1"/>
    <col min="1028" max="1028" width="10.42578125" style="1" customWidth="1"/>
    <col min="1029" max="1029" width="18.5703125" style="1" customWidth="1"/>
    <col min="1030" max="1030" width="11.7109375" style="1" customWidth="1"/>
    <col min="1031" max="1031" width="19.28515625" style="1" customWidth="1"/>
    <col min="1032" max="1032" width="10.28515625" style="1" customWidth="1"/>
    <col min="1033" max="1033" width="19.42578125" style="1" customWidth="1"/>
    <col min="1034" max="1034" width="10.28515625" style="1" customWidth="1"/>
    <col min="1035" max="1035" width="19.5703125" style="1" customWidth="1"/>
    <col min="1036" max="1036" width="10.42578125" style="1" customWidth="1"/>
    <col min="1037" max="1037" width="21.140625" style="1" customWidth="1"/>
    <col min="1038" max="1038" width="11.7109375" style="1" customWidth="1"/>
    <col min="1039" max="1280" width="11.42578125" style="1"/>
    <col min="1281" max="1281" width="13.28515625" style="1" customWidth="1"/>
    <col min="1282" max="1282" width="32.140625" style="1" customWidth="1"/>
    <col min="1283" max="1283" width="20.7109375" style="1" customWidth="1"/>
    <col min="1284" max="1284" width="10.42578125" style="1" customWidth="1"/>
    <col min="1285" max="1285" width="18.5703125" style="1" customWidth="1"/>
    <col min="1286" max="1286" width="11.7109375" style="1" customWidth="1"/>
    <col min="1287" max="1287" width="19.28515625" style="1" customWidth="1"/>
    <col min="1288" max="1288" width="10.28515625" style="1" customWidth="1"/>
    <col min="1289" max="1289" width="19.42578125" style="1" customWidth="1"/>
    <col min="1290" max="1290" width="10.28515625" style="1" customWidth="1"/>
    <col min="1291" max="1291" width="19.5703125" style="1" customWidth="1"/>
    <col min="1292" max="1292" width="10.42578125" style="1" customWidth="1"/>
    <col min="1293" max="1293" width="21.140625" style="1" customWidth="1"/>
    <col min="1294" max="1294" width="11.7109375" style="1" customWidth="1"/>
    <col min="1295" max="1536" width="11.42578125" style="1"/>
    <col min="1537" max="1537" width="13.28515625" style="1" customWidth="1"/>
    <col min="1538" max="1538" width="32.140625" style="1" customWidth="1"/>
    <col min="1539" max="1539" width="20.7109375" style="1" customWidth="1"/>
    <col min="1540" max="1540" width="10.42578125" style="1" customWidth="1"/>
    <col min="1541" max="1541" width="18.5703125" style="1" customWidth="1"/>
    <col min="1542" max="1542" width="11.7109375" style="1" customWidth="1"/>
    <col min="1543" max="1543" width="19.28515625" style="1" customWidth="1"/>
    <col min="1544" max="1544" width="10.28515625" style="1" customWidth="1"/>
    <col min="1545" max="1545" width="19.42578125" style="1" customWidth="1"/>
    <col min="1546" max="1546" width="10.28515625" style="1" customWidth="1"/>
    <col min="1547" max="1547" width="19.5703125" style="1" customWidth="1"/>
    <col min="1548" max="1548" width="10.42578125" style="1" customWidth="1"/>
    <col min="1549" max="1549" width="21.140625" style="1" customWidth="1"/>
    <col min="1550" max="1550" width="11.7109375" style="1" customWidth="1"/>
    <col min="1551" max="1792" width="11.42578125" style="1"/>
    <col min="1793" max="1793" width="13.28515625" style="1" customWidth="1"/>
    <col min="1794" max="1794" width="32.140625" style="1" customWidth="1"/>
    <col min="1795" max="1795" width="20.7109375" style="1" customWidth="1"/>
    <col min="1796" max="1796" width="10.42578125" style="1" customWidth="1"/>
    <col min="1797" max="1797" width="18.5703125" style="1" customWidth="1"/>
    <col min="1798" max="1798" width="11.7109375" style="1" customWidth="1"/>
    <col min="1799" max="1799" width="19.28515625" style="1" customWidth="1"/>
    <col min="1800" max="1800" width="10.28515625" style="1" customWidth="1"/>
    <col min="1801" max="1801" width="19.42578125" style="1" customWidth="1"/>
    <col min="1802" max="1802" width="10.28515625" style="1" customWidth="1"/>
    <col min="1803" max="1803" width="19.5703125" style="1" customWidth="1"/>
    <col min="1804" max="1804" width="10.42578125" style="1" customWidth="1"/>
    <col min="1805" max="1805" width="21.140625" style="1" customWidth="1"/>
    <col min="1806" max="1806" width="11.7109375" style="1" customWidth="1"/>
    <col min="1807" max="2048" width="11.42578125" style="1"/>
    <col min="2049" max="2049" width="13.28515625" style="1" customWidth="1"/>
    <col min="2050" max="2050" width="32.140625" style="1" customWidth="1"/>
    <col min="2051" max="2051" width="20.7109375" style="1" customWidth="1"/>
    <col min="2052" max="2052" width="10.42578125" style="1" customWidth="1"/>
    <col min="2053" max="2053" width="18.5703125" style="1" customWidth="1"/>
    <col min="2054" max="2054" width="11.7109375" style="1" customWidth="1"/>
    <col min="2055" max="2055" width="19.28515625" style="1" customWidth="1"/>
    <col min="2056" max="2056" width="10.28515625" style="1" customWidth="1"/>
    <col min="2057" max="2057" width="19.42578125" style="1" customWidth="1"/>
    <col min="2058" max="2058" width="10.28515625" style="1" customWidth="1"/>
    <col min="2059" max="2059" width="19.5703125" style="1" customWidth="1"/>
    <col min="2060" max="2060" width="10.42578125" style="1" customWidth="1"/>
    <col min="2061" max="2061" width="21.140625" style="1" customWidth="1"/>
    <col min="2062" max="2062" width="11.7109375" style="1" customWidth="1"/>
    <col min="2063" max="2304" width="11.42578125" style="1"/>
    <col min="2305" max="2305" width="13.28515625" style="1" customWidth="1"/>
    <col min="2306" max="2306" width="32.140625" style="1" customWidth="1"/>
    <col min="2307" max="2307" width="20.7109375" style="1" customWidth="1"/>
    <col min="2308" max="2308" width="10.42578125" style="1" customWidth="1"/>
    <col min="2309" max="2309" width="18.5703125" style="1" customWidth="1"/>
    <col min="2310" max="2310" width="11.7109375" style="1" customWidth="1"/>
    <col min="2311" max="2311" width="19.28515625" style="1" customWidth="1"/>
    <col min="2312" max="2312" width="10.28515625" style="1" customWidth="1"/>
    <col min="2313" max="2313" width="19.42578125" style="1" customWidth="1"/>
    <col min="2314" max="2314" width="10.28515625" style="1" customWidth="1"/>
    <col min="2315" max="2315" width="19.5703125" style="1" customWidth="1"/>
    <col min="2316" max="2316" width="10.42578125" style="1" customWidth="1"/>
    <col min="2317" max="2317" width="21.140625" style="1" customWidth="1"/>
    <col min="2318" max="2318" width="11.7109375" style="1" customWidth="1"/>
    <col min="2319" max="2560" width="11.42578125" style="1"/>
    <col min="2561" max="2561" width="13.28515625" style="1" customWidth="1"/>
    <col min="2562" max="2562" width="32.140625" style="1" customWidth="1"/>
    <col min="2563" max="2563" width="20.7109375" style="1" customWidth="1"/>
    <col min="2564" max="2564" width="10.42578125" style="1" customWidth="1"/>
    <col min="2565" max="2565" width="18.5703125" style="1" customWidth="1"/>
    <col min="2566" max="2566" width="11.7109375" style="1" customWidth="1"/>
    <col min="2567" max="2567" width="19.28515625" style="1" customWidth="1"/>
    <col min="2568" max="2568" width="10.28515625" style="1" customWidth="1"/>
    <col min="2569" max="2569" width="19.42578125" style="1" customWidth="1"/>
    <col min="2570" max="2570" width="10.28515625" style="1" customWidth="1"/>
    <col min="2571" max="2571" width="19.5703125" style="1" customWidth="1"/>
    <col min="2572" max="2572" width="10.42578125" style="1" customWidth="1"/>
    <col min="2573" max="2573" width="21.140625" style="1" customWidth="1"/>
    <col min="2574" max="2574" width="11.7109375" style="1" customWidth="1"/>
    <col min="2575" max="2816" width="11.42578125" style="1"/>
    <col min="2817" max="2817" width="13.28515625" style="1" customWidth="1"/>
    <col min="2818" max="2818" width="32.140625" style="1" customWidth="1"/>
    <col min="2819" max="2819" width="20.7109375" style="1" customWidth="1"/>
    <col min="2820" max="2820" width="10.42578125" style="1" customWidth="1"/>
    <col min="2821" max="2821" width="18.5703125" style="1" customWidth="1"/>
    <col min="2822" max="2822" width="11.7109375" style="1" customWidth="1"/>
    <col min="2823" max="2823" width="19.28515625" style="1" customWidth="1"/>
    <col min="2824" max="2824" width="10.28515625" style="1" customWidth="1"/>
    <col min="2825" max="2825" width="19.42578125" style="1" customWidth="1"/>
    <col min="2826" max="2826" width="10.28515625" style="1" customWidth="1"/>
    <col min="2827" max="2827" width="19.5703125" style="1" customWidth="1"/>
    <col min="2828" max="2828" width="10.42578125" style="1" customWidth="1"/>
    <col min="2829" max="2829" width="21.140625" style="1" customWidth="1"/>
    <col min="2830" max="2830" width="11.7109375" style="1" customWidth="1"/>
    <col min="2831" max="3072" width="11.42578125" style="1"/>
    <col min="3073" max="3073" width="13.28515625" style="1" customWidth="1"/>
    <col min="3074" max="3074" width="32.140625" style="1" customWidth="1"/>
    <col min="3075" max="3075" width="20.7109375" style="1" customWidth="1"/>
    <col min="3076" max="3076" width="10.42578125" style="1" customWidth="1"/>
    <col min="3077" max="3077" width="18.5703125" style="1" customWidth="1"/>
    <col min="3078" max="3078" width="11.7109375" style="1" customWidth="1"/>
    <col min="3079" max="3079" width="19.28515625" style="1" customWidth="1"/>
    <col min="3080" max="3080" width="10.28515625" style="1" customWidth="1"/>
    <col min="3081" max="3081" width="19.42578125" style="1" customWidth="1"/>
    <col min="3082" max="3082" width="10.28515625" style="1" customWidth="1"/>
    <col min="3083" max="3083" width="19.5703125" style="1" customWidth="1"/>
    <col min="3084" max="3084" width="10.42578125" style="1" customWidth="1"/>
    <col min="3085" max="3085" width="21.140625" style="1" customWidth="1"/>
    <col min="3086" max="3086" width="11.7109375" style="1" customWidth="1"/>
    <col min="3087" max="3328" width="11.42578125" style="1"/>
    <col min="3329" max="3329" width="13.28515625" style="1" customWidth="1"/>
    <col min="3330" max="3330" width="32.140625" style="1" customWidth="1"/>
    <col min="3331" max="3331" width="20.7109375" style="1" customWidth="1"/>
    <col min="3332" max="3332" width="10.42578125" style="1" customWidth="1"/>
    <col min="3333" max="3333" width="18.5703125" style="1" customWidth="1"/>
    <col min="3334" max="3334" width="11.7109375" style="1" customWidth="1"/>
    <col min="3335" max="3335" width="19.28515625" style="1" customWidth="1"/>
    <col min="3336" max="3336" width="10.28515625" style="1" customWidth="1"/>
    <col min="3337" max="3337" width="19.42578125" style="1" customWidth="1"/>
    <col min="3338" max="3338" width="10.28515625" style="1" customWidth="1"/>
    <col min="3339" max="3339" width="19.5703125" style="1" customWidth="1"/>
    <col min="3340" max="3340" width="10.42578125" style="1" customWidth="1"/>
    <col min="3341" max="3341" width="21.140625" style="1" customWidth="1"/>
    <col min="3342" max="3342" width="11.7109375" style="1" customWidth="1"/>
    <col min="3343" max="3584" width="11.42578125" style="1"/>
    <col min="3585" max="3585" width="13.28515625" style="1" customWidth="1"/>
    <col min="3586" max="3586" width="32.140625" style="1" customWidth="1"/>
    <col min="3587" max="3587" width="20.7109375" style="1" customWidth="1"/>
    <col min="3588" max="3588" width="10.42578125" style="1" customWidth="1"/>
    <col min="3589" max="3589" width="18.5703125" style="1" customWidth="1"/>
    <col min="3590" max="3590" width="11.7109375" style="1" customWidth="1"/>
    <col min="3591" max="3591" width="19.28515625" style="1" customWidth="1"/>
    <col min="3592" max="3592" width="10.28515625" style="1" customWidth="1"/>
    <col min="3593" max="3593" width="19.42578125" style="1" customWidth="1"/>
    <col min="3594" max="3594" width="10.28515625" style="1" customWidth="1"/>
    <col min="3595" max="3595" width="19.5703125" style="1" customWidth="1"/>
    <col min="3596" max="3596" width="10.42578125" style="1" customWidth="1"/>
    <col min="3597" max="3597" width="21.140625" style="1" customWidth="1"/>
    <col min="3598" max="3598" width="11.7109375" style="1" customWidth="1"/>
    <col min="3599" max="3840" width="11.42578125" style="1"/>
    <col min="3841" max="3841" width="13.28515625" style="1" customWidth="1"/>
    <col min="3842" max="3842" width="32.140625" style="1" customWidth="1"/>
    <col min="3843" max="3843" width="20.7109375" style="1" customWidth="1"/>
    <col min="3844" max="3844" width="10.42578125" style="1" customWidth="1"/>
    <col min="3845" max="3845" width="18.5703125" style="1" customWidth="1"/>
    <col min="3846" max="3846" width="11.7109375" style="1" customWidth="1"/>
    <col min="3847" max="3847" width="19.28515625" style="1" customWidth="1"/>
    <col min="3848" max="3848" width="10.28515625" style="1" customWidth="1"/>
    <col min="3849" max="3849" width="19.42578125" style="1" customWidth="1"/>
    <col min="3850" max="3850" width="10.28515625" style="1" customWidth="1"/>
    <col min="3851" max="3851" width="19.5703125" style="1" customWidth="1"/>
    <col min="3852" max="3852" width="10.42578125" style="1" customWidth="1"/>
    <col min="3853" max="3853" width="21.140625" style="1" customWidth="1"/>
    <col min="3854" max="3854" width="11.7109375" style="1" customWidth="1"/>
    <col min="3855" max="4096" width="11.42578125" style="1"/>
    <col min="4097" max="4097" width="13.28515625" style="1" customWidth="1"/>
    <col min="4098" max="4098" width="32.140625" style="1" customWidth="1"/>
    <col min="4099" max="4099" width="20.7109375" style="1" customWidth="1"/>
    <col min="4100" max="4100" width="10.42578125" style="1" customWidth="1"/>
    <col min="4101" max="4101" width="18.5703125" style="1" customWidth="1"/>
    <col min="4102" max="4102" width="11.7109375" style="1" customWidth="1"/>
    <col min="4103" max="4103" width="19.28515625" style="1" customWidth="1"/>
    <col min="4104" max="4104" width="10.28515625" style="1" customWidth="1"/>
    <col min="4105" max="4105" width="19.42578125" style="1" customWidth="1"/>
    <col min="4106" max="4106" width="10.28515625" style="1" customWidth="1"/>
    <col min="4107" max="4107" width="19.5703125" style="1" customWidth="1"/>
    <col min="4108" max="4108" width="10.42578125" style="1" customWidth="1"/>
    <col min="4109" max="4109" width="21.140625" style="1" customWidth="1"/>
    <col min="4110" max="4110" width="11.7109375" style="1" customWidth="1"/>
    <col min="4111" max="4352" width="11.42578125" style="1"/>
    <col min="4353" max="4353" width="13.28515625" style="1" customWidth="1"/>
    <col min="4354" max="4354" width="32.140625" style="1" customWidth="1"/>
    <col min="4355" max="4355" width="20.7109375" style="1" customWidth="1"/>
    <col min="4356" max="4356" width="10.42578125" style="1" customWidth="1"/>
    <col min="4357" max="4357" width="18.5703125" style="1" customWidth="1"/>
    <col min="4358" max="4358" width="11.7109375" style="1" customWidth="1"/>
    <col min="4359" max="4359" width="19.28515625" style="1" customWidth="1"/>
    <col min="4360" max="4360" width="10.28515625" style="1" customWidth="1"/>
    <col min="4361" max="4361" width="19.42578125" style="1" customWidth="1"/>
    <col min="4362" max="4362" width="10.28515625" style="1" customWidth="1"/>
    <col min="4363" max="4363" width="19.5703125" style="1" customWidth="1"/>
    <col min="4364" max="4364" width="10.42578125" style="1" customWidth="1"/>
    <col min="4365" max="4365" width="21.140625" style="1" customWidth="1"/>
    <col min="4366" max="4366" width="11.7109375" style="1" customWidth="1"/>
    <col min="4367" max="4608" width="11.42578125" style="1"/>
    <col min="4609" max="4609" width="13.28515625" style="1" customWidth="1"/>
    <col min="4610" max="4610" width="32.140625" style="1" customWidth="1"/>
    <col min="4611" max="4611" width="20.7109375" style="1" customWidth="1"/>
    <col min="4612" max="4612" width="10.42578125" style="1" customWidth="1"/>
    <col min="4613" max="4613" width="18.5703125" style="1" customWidth="1"/>
    <col min="4614" max="4614" width="11.7109375" style="1" customWidth="1"/>
    <col min="4615" max="4615" width="19.28515625" style="1" customWidth="1"/>
    <col min="4616" max="4616" width="10.28515625" style="1" customWidth="1"/>
    <col min="4617" max="4617" width="19.42578125" style="1" customWidth="1"/>
    <col min="4618" max="4618" width="10.28515625" style="1" customWidth="1"/>
    <col min="4619" max="4619" width="19.5703125" style="1" customWidth="1"/>
    <col min="4620" max="4620" width="10.42578125" style="1" customWidth="1"/>
    <col min="4621" max="4621" width="21.140625" style="1" customWidth="1"/>
    <col min="4622" max="4622" width="11.7109375" style="1" customWidth="1"/>
    <col min="4623" max="4864" width="11.42578125" style="1"/>
    <col min="4865" max="4865" width="13.28515625" style="1" customWidth="1"/>
    <col min="4866" max="4866" width="32.140625" style="1" customWidth="1"/>
    <col min="4867" max="4867" width="20.7109375" style="1" customWidth="1"/>
    <col min="4868" max="4868" width="10.42578125" style="1" customWidth="1"/>
    <col min="4869" max="4869" width="18.5703125" style="1" customWidth="1"/>
    <col min="4870" max="4870" width="11.7109375" style="1" customWidth="1"/>
    <col min="4871" max="4871" width="19.28515625" style="1" customWidth="1"/>
    <col min="4872" max="4872" width="10.28515625" style="1" customWidth="1"/>
    <col min="4873" max="4873" width="19.42578125" style="1" customWidth="1"/>
    <col min="4874" max="4874" width="10.28515625" style="1" customWidth="1"/>
    <col min="4875" max="4875" width="19.5703125" style="1" customWidth="1"/>
    <col min="4876" max="4876" width="10.42578125" style="1" customWidth="1"/>
    <col min="4877" max="4877" width="21.140625" style="1" customWidth="1"/>
    <col min="4878" max="4878" width="11.7109375" style="1" customWidth="1"/>
    <col min="4879" max="5120" width="11.42578125" style="1"/>
    <col min="5121" max="5121" width="13.28515625" style="1" customWidth="1"/>
    <col min="5122" max="5122" width="32.140625" style="1" customWidth="1"/>
    <col min="5123" max="5123" width="20.7109375" style="1" customWidth="1"/>
    <col min="5124" max="5124" width="10.42578125" style="1" customWidth="1"/>
    <col min="5125" max="5125" width="18.5703125" style="1" customWidth="1"/>
    <col min="5126" max="5126" width="11.7109375" style="1" customWidth="1"/>
    <col min="5127" max="5127" width="19.28515625" style="1" customWidth="1"/>
    <col min="5128" max="5128" width="10.28515625" style="1" customWidth="1"/>
    <col min="5129" max="5129" width="19.42578125" style="1" customWidth="1"/>
    <col min="5130" max="5130" width="10.28515625" style="1" customWidth="1"/>
    <col min="5131" max="5131" width="19.5703125" style="1" customWidth="1"/>
    <col min="5132" max="5132" width="10.42578125" style="1" customWidth="1"/>
    <col min="5133" max="5133" width="21.140625" style="1" customWidth="1"/>
    <col min="5134" max="5134" width="11.7109375" style="1" customWidth="1"/>
    <col min="5135" max="5376" width="11.42578125" style="1"/>
    <col min="5377" max="5377" width="13.28515625" style="1" customWidth="1"/>
    <col min="5378" max="5378" width="32.140625" style="1" customWidth="1"/>
    <col min="5379" max="5379" width="20.7109375" style="1" customWidth="1"/>
    <col min="5380" max="5380" width="10.42578125" style="1" customWidth="1"/>
    <col min="5381" max="5381" width="18.5703125" style="1" customWidth="1"/>
    <col min="5382" max="5382" width="11.7109375" style="1" customWidth="1"/>
    <col min="5383" max="5383" width="19.28515625" style="1" customWidth="1"/>
    <col min="5384" max="5384" width="10.28515625" style="1" customWidth="1"/>
    <col min="5385" max="5385" width="19.42578125" style="1" customWidth="1"/>
    <col min="5386" max="5386" width="10.28515625" style="1" customWidth="1"/>
    <col min="5387" max="5387" width="19.5703125" style="1" customWidth="1"/>
    <col min="5388" max="5388" width="10.42578125" style="1" customWidth="1"/>
    <col min="5389" max="5389" width="21.140625" style="1" customWidth="1"/>
    <col min="5390" max="5390" width="11.7109375" style="1" customWidth="1"/>
    <col min="5391" max="5632" width="11.42578125" style="1"/>
    <col min="5633" max="5633" width="13.28515625" style="1" customWidth="1"/>
    <col min="5634" max="5634" width="32.140625" style="1" customWidth="1"/>
    <col min="5635" max="5635" width="20.7109375" style="1" customWidth="1"/>
    <col min="5636" max="5636" width="10.42578125" style="1" customWidth="1"/>
    <col min="5637" max="5637" width="18.5703125" style="1" customWidth="1"/>
    <col min="5638" max="5638" width="11.7109375" style="1" customWidth="1"/>
    <col min="5639" max="5639" width="19.28515625" style="1" customWidth="1"/>
    <col min="5640" max="5640" width="10.28515625" style="1" customWidth="1"/>
    <col min="5641" max="5641" width="19.42578125" style="1" customWidth="1"/>
    <col min="5642" max="5642" width="10.28515625" style="1" customWidth="1"/>
    <col min="5643" max="5643" width="19.5703125" style="1" customWidth="1"/>
    <col min="5644" max="5644" width="10.42578125" style="1" customWidth="1"/>
    <col min="5645" max="5645" width="21.140625" style="1" customWidth="1"/>
    <col min="5646" max="5646" width="11.7109375" style="1" customWidth="1"/>
    <col min="5647" max="5888" width="11.42578125" style="1"/>
    <col min="5889" max="5889" width="13.28515625" style="1" customWidth="1"/>
    <col min="5890" max="5890" width="32.140625" style="1" customWidth="1"/>
    <col min="5891" max="5891" width="20.7109375" style="1" customWidth="1"/>
    <col min="5892" max="5892" width="10.42578125" style="1" customWidth="1"/>
    <col min="5893" max="5893" width="18.5703125" style="1" customWidth="1"/>
    <col min="5894" max="5894" width="11.7109375" style="1" customWidth="1"/>
    <col min="5895" max="5895" width="19.28515625" style="1" customWidth="1"/>
    <col min="5896" max="5896" width="10.28515625" style="1" customWidth="1"/>
    <col min="5897" max="5897" width="19.42578125" style="1" customWidth="1"/>
    <col min="5898" max="5898" width="10.28515625" style="1" customWidth="1"/>
    <col min="5899" max="5899" width="19.5703125" style="1" customWidth="1"/>
    <col min="5900" max="5900" width="10.42578125" style="1" customWidth="1"/>
    <col min="5901" max="5901" width="21.140625" style="1" customWidth="1"/>
    <col min="5902" max="5902" width="11.7109375" style="1" customWidth="1"/>
    <col min="5903" max="6144" width="11.42578125" style="1"/>
    <col min="6145" max="6145" width="13.28515625" style="1" customWidth="1"/>
    <col min="6146" max="6146" width="32.140625" style="1" customWidth="1"/>
    <col min="6147" max="6147" width="20.7109375" style="1" customWidth="1"/>
    <col min="6148" max="6148" width="10.42578125" style="1" customWidth="1"/>
    <col min="6149" max="6149" width="18.5703125" style="1" customWidth="1"/>
    <col min="6150" max="6150" width="11.7109375" style="1" customWidth="1"/>
    <col min="6151" max="6151" width="19.28515625" style="1" customWidth="1"/>
    <col min="6152" max="6152" width="10.28515625" style="1" customWidth="1"/>
    <col min="6153" max="6153" width="19.42578125" style="1" customWidth="1"/>
    <col min="6154" max="6154" width="10.28515625" style="1" customWidth="1"/>
    <col min="6155" max="6155" width="19.5703125" style="1" customWidth="1"/>
    <col min="6156" max="6156" width="10.42578125" style="1" customWidth="1"/>
    <col min="6157" max="6157" width="21.140625" style="1" customWidth="1"/>
    <col min="6158" max="6158" width="11.7109375" style="1" customWidth="1"/>
    <col min="6159" max="6400" width="11.42578125" style="1"/>
    <col min="6401" max="6401" width="13.28515625" style="1" customWidth="1"/>
    <col min="6402" max="6402" width="32.140625" style="1" customWidth="1"/>
    <col min="6403" max="6403" width="20.7109375" style="1" customWidth="1"/>
    <col min="6404" max="6404" width="10.42578125" style="1" customWidth="1"/>
    <col min="6405" max="6405" width="18.5703125" style="1" customWidth="1"/>
    <col min="6406" max="6406" width="11.7109375" style="1" customWidth="1"/>
    <col min="6407" max="6407" width="19.28515625" style="1" customWidth="1"/>
    <col min="6408" max="6408" width="10.28515625" style="1" customWidth="1"/>
    <col min="6409" max="6409" width="19.42578125" style="1" customWidth="1"/>
    <col min="6410" max="6410" width="10.28515625" style="1" customWidth="1"/>
    <col min="6411" max="6411" width="19.5703125" style="1" customWidth="1"/>
    <col min="6412" max="6412" width="10.42578125" style="1" customWidth="1"/>
    <col min="6413" max="6413" width="21.140625" style="1" customWidth="1"/>
    <col min="6414" max="6414" width="11.7109375" style="1" customWidth="1"/>
    <col min="6415" max="6656" width="11.42578125" style="1"/>
    <col min="6657" max="6657" width="13.28515625" style="1" customWidth="1"/>
    <col min="6658" max="6658" width="32.140625" style="1" customWidth="1"/>
    <col min="6659" max="6659" width="20.7109375" style="1" customWidth="1"/>
    <col min="6660" max="6660" width="10.42578125" style="1" customWidth="1"/>
    <col min="6661" max="6661" width="18.5703125" style="1" customWidth="1"/>
    <col min="6662" max="6662" width="11.7109375" style="1" customWidth="1"/>
    <col min="6663" max="6663" width="19.28515625" style="1" customWidth="1"/>
    <col min="6664" max="6664" width="10.28515625" style="1" customWidth="1"/>
    <col min="6665" max="6665" width="19.42578125" style="1" customWidth="1"/>
    <col min="6666" max="6666" width="10.28515625" style="1" customWidth="1"/>
    <col min="6667" max="6667" width="19.5703125" style="1" customWidth="1"/>
    <col min="6668" max="6668" width="10.42578125" style="1" customWidth="1"/>
    <col min="6669" max="6669" width="21.140625" style="1" customWidth="1"/>
    <col min="6670" max="6670" width="11.7109375" style="1" customWidth="1"/>
    <col min="6671" max="6912" width="11.42578125" style="1"/>
    <col min="6913" max="6913" width="13.28515625" style="1" customWidth="1"/>
    <col min="6914" max="6914" width="32.140625" style="1" customWidth="1"/>
    <col min="6915" max="6915" width="20.7109375" style="1" customWidth="1"/>
    <col min="6916" max="6916" width="10.42578125" style="1" customWidth="1"/>
    <col min="6917" max="6917" width="18.5703125" style="1" customWidth="1"/>
    <col min="6918" max="6918" width="11.7109375" style="1" customWidth="1"/>
    <col min="6919" max="6919" width="19.28515625" style="1" customWidth="1"/>
    <col min="6920" max="6920" width="10.28515625" style="1" customWidth="1"/>
    <col min="6921" max="6921" width="19.42578125" style="1" customWidth="1"/>
    <col min="6922" max="6922" width="10.28515625" style="1" customWidth="1"/>
    <col min="6923" max="6923" width="19.5703125" style="1" customWidth="1"/>
    <col min="6924" max="6924" width="10.42578125" style="1" customWidth="1"/>
    <col min="6925" max="6925" width="21.140625" style="1" customWidth="1"/>
    <col min="6926" max="6926" width="11.7109375" style="1" customWidth="1"/>
    <col min="6927" max="7168" width="11.42578125" style="1"/>
    <col min="7169" max="7169" width="13.28515625" style="1" customWidth="1"/>
    <col min="7170" max="7170" width="32.140625" style="1" customWidth="1"/>
    <col min="7171" max="7171" width="20.7109375" style="1" customWidth="1"/>
    <col min="7172" max="7172" width="10.42578125" style="1" customWidth="1"/>
    <col min="7173" max="7173" width="18.5703125" style="1" customWidth="1"/>
    <col min="7174" max="7174" width="11.7109375" style="1" customWidth="1"/>
    <col min="7175" max="7175" width="19.28515625" style="1" customWidth="1"/>
    <col min="7176" max="7176" width="10.28515625" style="1" customWidth="1"/>
    <col min="7177" max="7177" width="19.42578125" style="1" customWidth="1"/>
    <col min="7178" max="7178" width="10.28515625" style="1" customWidth="1"/>
    <col min="7179" max="7179" width="19.5703125" style="1" customWidth="1"/>
    <col min="7180" max="7180" width="10.42578125" style="1" customWidth="1"/>
    <col min="7181" max="7181" width="21.140625" style="1" customWidth="1"/>
    <col min="7182" max="7182" width="11.7109375" style="1" customWidth="1"/>
    <col min="7183" max="7424" width="11.42578125" style="1"/>
    <col min="7425" max="7425" width="13.28515625" style="1" customWidth="1"/>
    <col min="7426" max="7426" width="32.140625" style="1" customWidth="1"/>
    <col min="7427" max="7427" width="20.7109375" style="1" customWidth="1"/>
    <col min="7428" max="7428" width="10.42578125" style="1" customWidth="1"/>
    <col min="7429" max="7429" width="18.5703125" style="1" customWidth="1"/>
    <col min="7430" max="7430" width="11.7109375" style="1" customWidth="1"/>
    <col min="7431" max="7431" width="19.28515625" style="1" customWidth="1"/>
    <col min="7432" max="7432" width="10.28515625" style="1" customWidth="1"/>
    <col min="7433" max="7433" width="19.42578125" style="1" customWidth="1"/>
    <col min="7434" max="7434" width="10.28515625" style="1" customWidth="1"/>
    <col min="7435" max="7435" width="19.5703125" style="1" customWidth="1"/>
    <col min="7436" max="7436" width="10.42578125" style="1" customWidth="1"/>
    <col min="7437" max="7437" width="21.140625" style="1" customWidth="1"/>
    <col min="7438" max="7438" width="11.7109375" style="1" customWidth="1"/>
    <col min="7439" max="7680" width="11.42578125" style="1"/>
    <col min="7681" max="7681" width="13.28515625" style="1" customWidth="1"/>
    <col min="7682" max="7682" width="32.140625" style="1" customWidth="1"/>
    <col min="7683" max="7683" width="20.7109375" style="1" customWidth="1"/>
    <col min="7684" max="7684" width="10.42578125" style="1" customWidth="1"/>
    <col min="7685" max="7685" width="18.5703125" style="1" customWidth="1"/>
    <col min="7686" max="7686" width="11.7109375" style="1" customWidth="1"/>
    <col min="7687" max="7687" width="19.28515625" style="1" customWidth="1"/>
    <col min="7688" max="7688" width="10.28515625" style="1" customWidth="1"/>
    <col min="7689" max="7689" width="19.42578125" style="1" customWidth="1"/>
    <col min="7690" max="7690" width="10.28515625" style="1" customWidth="1"/>
    <col min="7691" max="7691" width="19.5703125" style="1" customWidth="1"/>
    <col min="7692" max="7692" width="10.42578125" style="1" customWidth="1"/>
    <col min="7693" max="7693" width="21.140625" style="1" customWidth="1"/>
    <col min="7694" max="7694" width="11.7109375" style="1" customWidth="1"/>
    <col min="7695" max="7936" width="11.42578125" style="1"/>
    <col min="7937" max="7937" width="13.28515625" style="1" customWidth="1"/>
    <col min="7938" max="7938" width="32.140625" style="1" customWidth="1"/>
    <col min="7939" max="7939" width="20.7109375" style="1" customWidth="1"/>
    <col min="7940" max="7940" width="10.42578125" style="1" customWidth="1"/>
    <col min="7941" max="7941" width="18.5703125" style="1" customWidth="1"/>
    <col min="7942" max="7942" width="11.7109375" style="1" customWidth="1"/>
    <col min="7943" max="7943" width="19.28515625" style="1" customWidth="1"/>
    <col min="7944" max="7944" width="10.28515625" style="1" customWidth="1"/>
    <col min="7945" max="7945" width="19.42578125" style="1" customWidth="1"/>
    <col min="7946" max="7946" width="10.28515625" style="1" customWidth="1"/>
    <col min="7947" max="7947" width="19.5703125" style="1" customWidth="1"/>
    <col min="7948" max="7948" width="10.42578125" style="1" customWidth="1"/>
    <col min="7949" max="7949" width="21.140625" style="1" customWidth="1"/>
    <col min="7950" max="7950" width="11.7109375" style="1" customWidth="1"/>
    <col min="7951" max="8192" width="11.42578125" style="1"/>
    <col min="8193" max="8193" width="13.28515625" style="1" customWidth="1"/>
    <col min="8194" max="8194" width="32.140625" style="1" customWidth="1"/>
    <col min="8195" max="8195" width="20.7109375" style="1" customWidth="1"/>
    <col min="8196" max="8196" width="10.42578125" style="1" customWidth="1"/>
    <col min="8197" max="8197" width="18.5703125" style="1" customWidth="1"/>
    <col min="8198" max="8198" width="11.7109375" style="1" customWidth="1"/>
    <col min="8199" max="8199" width="19.28515625" style="1" customWidth="1"/>
    <col min="8200" max="8200" width="10.28515625" style="1" customWidth="1"/>
    <col min="8201" max="8201" width="19.42578125" style="1" customWidth="1"/>
    <col min="8202" max="8202" width="10.28515625" style="1" customWidth="1"/>
    <col min="8203" max="8203" width="19.5703125" style="1" customWidth="1"/>
    <col min="8204" max="8204" width="10.42578125" style="1" customWidth="1"/>
    <col min="8205" max="8205" width="21.140625" style="1" customWidth="1"/>
    <col min="8206" max="8206" width="11.7109375" style="1" customWidth="1"/>
    <col min="8207" max="8448" width="11.42578125" style="1"/>
    <col min="8449" max="8449" width="13.28515625" style="1" customWidth="1"/>
    <col min="8450" max="8450" width="32.140625" style="1" customWidth="1"/>
    <col min="8451" max="8451" width="20.7109375" style="1" customWidth="1"/>
    <col min="8452" max="8452" width="10.42578125" style="1" customWidth="1"/>
    <col min="8453" max="8453" width="18.5703125" style="1" customWidth="1"/>
    <col min="8454" max="8454" width="11.7109375" style="1" customWidth="1"/>
    <col min="8455" max="8455" width="19.28515625" style="1" customWidth="1"/>
    <col min="8456" max="8456" width="10.28515625" style="1" customWidth="1"/>
    <col min="8457" max="8457" width="19.42578125" style="1" customWidth="1"/>
    <col min="8458" max="8458" width="10.28515625" style="1" customWidth="1"/>
    <col min="8459" max="8459" width="19.5703125" style="1" customWidth="1"/>
    <col min="8460" max="8460" width="10.42578125" style="1" customWidth="1"/>
    <col min="8461" max="8461" width="21.140625" style="1" customWidth="1"/>
    <col min="8462" max="8462" width="11.7109375" style="1" customWidth="1"/>
    <col min="8463" max="8704" width="11.42578125" style="1"/>
    <col min="8705" max="8705" width="13.28515625" style="1" customWidth="1"/>
    <col min="8706" max="8706" width="32.140625" style="1" customWidth="1"/>
    <col min="8707" max="8707" width="20.7109375" style="1" customWidth="1"/>
    <col min="8708" max="8708" width="10.42578125" style="1" customWidth="1"/>
    <col min="8709" max="8709" width="18.5703125" style="1" customWidth="1"/>
    <col min="8710" max="8710" width="11.7109375" style="1" customWidth="1"/>
    <col min="8711" max="8711" width="19.28515625" style="1" customWidth="1"/>
    <col min="8712" max="8712" width="10.28515625" style="1" customWidth="1"/>
    <col min="8713" max="8713" width="19.42578125" style="1" customWidth="1"/>
    <col min="8714" max="8714" width="10.28515625" style="1" customWidth="1"/>
    <col min="8715" max="8715" width="19.5703125" style="1" customWidth="1"/>
    <col min="8716" max="8716" width="10.42578125" style="1" customWidth="1"/>
    <col min="8717" max="8717" width="21.140625" style="1" customWidth="1"/>
    <col min="8718" max="8718" width="11.7109375" style="1" customWidth="1"/>
    <col min="8719" max="8960" width="11.42578125" style="1"/>
    <col min="8961" max="8961" width="13.28515625" style="1" customWidth="1"/>
    <col min="8962" max="8962" width="32.140625" style="1" customWidth="1"/>
    <col min="8963" max="8963" width="20.7109375" style="1" customWidth="1"/>
    <col min="8964" max="8964" width="10.42578125" style="1" customWidth="1"/>
    <col min="8965" max="8965" width="18.5703125" style="1" customWidth="1"/>
    <col min="8966" max="8966" width="11.7109375" style="1" customWidth="1"/>
    <col min="8967" max="8967" width="19.28515625" style="1" customWidth="1"/>
    <col min="8968" max="8968" width="10.28515625" style="1" customWidth="1"/>
    <col min="8969" max="8969" width="19.42578125" style="1" customWidth="1"/>
    <col min="8970" max="8970" width="10.28515625" style="1" customWidth="1"/>
    <col min="8971" max="8971" width="19.5703125" style="1" customWidth="1"/>
    <col min="8972" max="8972" width="10.42578125" style="1" customWidth="1"/>
    <col min="8973" max="8973" width="21.140625" style="1" customWidth="1"/>
    <col min="8974" max="8974" width="11.7109375" style="1" customWidth="1"/>
    <col min="8975" max="9216" width="11.42578125" style="1"/>
    <col min="9217" max="9217" width="13.28515625" style="1" customWidth="1"/>
    <col min="9218" max="9218" width="32.140625" style="1" customWidth="1"/>
    <col min="9219" max="9219" width="20.7109375" style="1" customWidth="1"/>
    <col min="9220" max="9220" width="10.42578125" style="1" customWidth="1"/>
    <col min="9221" max="9221" width="18.5703125" style="1" customWidth="1"/>
    <col min="9222" max="9222" width="11.7109375" style="1" customWidth="1"/>
    <col min="9223" max="9223" width="19.28515625" style="1" customWidth="1"/>
    <col min="9224" max="9224" width="10.28515625" style="1" customWidth="1"/>
    <col min="9225" max="9225" width="19.42578125" style="1" customWidth="1"/>
    <col min="9226" max="9226" width="10.28515625" style="1" customWidth="1"/>
    <col min="9227" max="9227" width="19.5703125" style="1" customWidth="1"/>
    <col min="9228" max="9228" width="10.42578125" style="1" customWidth="1"/>
    <col min="9229" max="9229" width="21.140625" style="1" customWidth="1"/>
    <col min="9230" max="9230" width="11.7109375" style="1" customWidth="1"/>
    <col min="9231" max="9472" width="11.42578125" style="1"/>
    <col min="9473" max="9473" width="13.28515625" style="1" customWidth="1"/>
    <col min="9474" max="9474" width="32.140625" style="1" customWidth="1"/>
    <col min="9475" max="9475" width="20.7109375" style="1" customWidth="1"/>
    <col min="9476" max="9476" width="10.42578125" style="1" customWidth="1"/>
    <col min="9477" max="9477" width="18.5703125" style="1" customWidth="1"/>
    <col min="9478" max="9478" width="11.7109375" style="1" customWidth="1"/>
    <col min="9479" max="9479" width="19.28515625" style="1" customWidth="1"/>
    <col min="9480" max="9480" width="10.28515625" style="1" customWidth="1"/>
    <col min="9481" max="9481" width="19.42578125" style="1" customWidth="1"/>
    <col min="9482" max="9482" width="10.28515625" style="1" customWidth="1"/>
    <col min="9483" max="9483" width="19.5703125" style="1" customWidth="1"/>
    <col min="9484" max="9484" width="10.42578125" style="1" customWidth="1"/>
    <col min="9485" max="9485" width="21.140625" style="1" customWidth="1"/>
    <col min="9486" max="9486" width="11.7109375" style="1" customWidth="1"/>
    <col min="9487" max="9728" width="11.42578125" style="1"/>
    <col min="9729" max="9729" width="13.28515625" style="1" customWidth="1"/>
    <col min="9730" max="9730" width="32.140625" style="1" customWidth="1"/>
    <col min="9731" max="9731" width="20.7109375" style="1" customWidth="1"/>
    <col min="9732" max="9732" width="10.42578125" style="1" customWidth="1"/>
    <col min="9733" max="9733" width="18.5703125" style="1" customWidth="1"/>
    <col min="9734" max="9734" width="11.7109375" style="1" customWidth="1"/>
    <col min="9735" max="9735" width="19.28515625" style="1" customWidth="1"/>
    <col min="9736" max="9736" width="10.28515625" style="1" customWidth="1"/>
    <col min="9737" max="9737" width="19.42578125" style="1" customWidth="1"/>
    <col min="9738" max="9738" width="10.28515625" style="1" customWidth="1"/>
    <col min="9739" max="9739" width="19.5703125" style="1" customWidth="1"/>
    <col min="9740" max="9740" width="10.42578125" style="1" customWidth="1"/>
    <col min="9741" max="9741" width="21.140625" style="1" customWidth="1"/>
    <col min="9742" max="9742" width="11.7109375" style="1" customWidth="1"/>
    <col min="9743" max="9984" width="11.42578125" style="1"/>
    <col min="9985" max="9985" width="13.28515625" style="1" customWidth="1"/>
    <col min="9986" max="9986" width="32.140625" style="1" customWidth="1"/>
    <col min="9987" max="9987" width="20.7109375" style="1" customWidth="1"/>
    <col min="9988" max="9988" width="10.42578125" style="1" customWidth="1"/>
    <col min="9989" max="9989" width="18.5703125" style="1" customWidth="1"/>
    <col min="9990" max="9990" width="11.7109375" style="1" customWidth="1"/>
    <col min="9991" max="9991" width="19.28515625" style="1" customWidth="1"/>
    <col min="9992" max="9992" width="10.28515625" style="1" customWidth="1"/>
    <col min="9993" max="9993" width="19.42578125" style="1" customWidth="1"/>
    <col min="9994" max="9994" width="10.28515625" style="1" customWidth="1"/>
    <col min="9995" max="9995" width="19.5703125" style="1" customWidth="1"/>
    <col min="9996" max="9996" width="10.42578125" style="1" customWidth="1"/>
    <col min="9997" max="9997" width="21.140625" style="1" customWidth="1"/>
    <col min="9998" max="9998" width="11.7109375" style="1" customWidth="1"/>
    <col min="9999" max="10240" width="11.42578125" style="1"/>
    <col min="10241" max="10241" width="13.28515625" style="1" customWidth="1"/>
    <col min="10242" max="10242" width="32.140625" style="1" customWidth="1"/>
    <col min="10243" max="10243" width="20.7109375" style="1" customWidth="1"/>
    <col min="10244" max="10244" width="10.42578125" style="1" customWidth="1"/>
    <col min="10245" max="10245" width="18.5703125" style="1" customWidth="1"/>
    <col min="10246" max="10246" width="11.7109375" style="1" customWidth="1"/>
    <col min="10247" max="10247" width="19.28515625" style="1" customWidth="1"/>
    <col min="10248" max="10248" width="10.28515625" style="1" customWidth="1"/>
    <col min="10249" max="10249" width="19.42578125" style="1" customWidth="1"/>
    <col min="10250" max="10250" width="10.28515625" style="1" customWidth="1"/>
    <col min="10251" max="10251" width="19.5703125" style="1" customWidth="1"/>
    <col min="10252" max="10252" width="10.42578125" style="1" customWidth="1"/>
    <col min="10253" max="10253" width="21.140625" style="1" customWidth="1"/>
    <col min="10254" max="10254" width="11.7109375" style="1" customWidth="1"/>
    <col min="10255" max="10496" width="11.42578125" style="1"/>
    <col min="10497" max="10497" width="13.28515625" style="1" customWidth="1"/>
    <col min="10498" max="10498" width="32.140625" style="1" customWidth="1"/>
    <col min="10499" max="10499" width="20.7109375" style="1" customWidth="1"/>
    <col min="10500" max="10500" width="10.42578125" style="1" customWidth="1"/>
    <col min="10501" max="10501" width="18.5703125" style="1" customWidth="1"/>
    <col min="10502" max="10502" width="11.7109375" style="1" customWidth="1"/>
    <col min="10503" max="10503" width="19.28515625" style="1" customWidth="1"/>
    <col min="10504" max="10504" width="10.28515625" style="1" customWidth="1"/>
    <col min="10505" max="10505" width="19.42578125" style="1" customWidth="1"/>
    <col min="10506" max="10506" width="10.28515625" style="1" customWidth="1"/>
    <col min="10507" max="10507" width="19.5703125" style="1" customWidth="1"/>
    <col min="10508" max="10508" width="10.42578125" style="1" customWidth="1"/>
    <col min="10509" max="10509" width="21.140625" style="1" customWidth="1"/>
    <col min="10510" max="10510" width="11.7109375" style="1" customWidth="1"/>
    <col min="10511" max="10752" width="11.42578125" style="1"/>
    <col min="10753" max="10753" width="13.28515625" style="1" customWidth="1"/>
    <col min="10754" max="10754" width="32.140625" style="1" customWidth="1"/>
    <col min="10755" max="10755" width="20.7109375" style="1" customWidth="1"/>
    <col min="10756" max="10756" width="10.42578125" style="1" customWidth="1"/>
    <col min="10757" max="10757" width="18.5703125" style="1" customWidth="1"/>
    <col min="10758" max="10758" width="11.7109375" style="1" customWidth="1"/>
    <col min="10759" max="10759" width="19.28515625" style="1" customWidth="1"/>
    <col min="10760" max="10760" width="10.28515625" style="1" customWidth="1"/>
    <col min="10761" max="10761" width="19.42578125" style="1" customWidth="1"/>
    <col min="10762" max="10762" width="10.28515625" style="1" customWidth="1"/>
    <col min="10763" max="10763" width="19.5703125" style="1" customWidth="1"/>
    <col min="10764" max="10764" width="10.42578125" style="1" customWidth="1"/>
    <col min="10765" max="10765" width="21.140625" style="1" customWidth="1"/>
    <col min="10766" max="10766" width="11.7109375" style="1" customWidth="1"/>
    <col min="10767" max="11008" width="11.42578125" style="1"/>
    <col min="11009" max="11009" width="13.28515625" style="1" customWidth="1"/>
    <col min="11010" max="11010" width="32.140625" style="1" customWidth="1"/>
    <col min="11011" max="11011" width="20.7109375" style="1" customWidth="1"/>
    <col min="11012" max="11012" width="10.42578125" style="1" customWidth="1"/>
    <col min="11013" max="11013" width="18.5703125" style="1" customWidth="1"/>
    <col min="11014" max="11014" width="11.7109375" style="1" customWidth="1"/>
    <col min="11015" max="11015" width="19.28515625" style="1" customWidth="1"/>
    <col min="11016" max="11016" width="10.28515625" style="1" customWidth="1"/>
    <col min="11017" max="11017" width="19.42578125" style="1" customWidth="1"/>
    <col min="11018" max="11018" width="10.28515625" style="1" customWidth="1"/>
    <col min="11019" max="11019" width="19.5703125" style="1" customWidth="1"/>
    <col min="11020" max="11020" width="10.42578125" style="1" customWidth="1"/>
    <col min="11021" max="11021" width="21.140625" style="1" customWidth="1"/>
    <col min="11022" max="11022" width="11.7109375" style="1" customWidth="1"/>
    <col min="11023" max="11264" width="11.42578125" style="1"/>
    <col min="11265" max="11265" width="13.28515625" style="1" customWidth="1"/>
    <col min="11266" max="11266" width="32.140625" style="1" customWidth="1"/>
    <col min="11267" max="11267" width="20.7109375" style="1" customWidth="1"/>
    <col min="11268" max="11268" width="10.42578125" style="1" customWidth="1"/>
    <col min="11269" max="11269" width="18.5703125" style="1" customWidth="1"/>
    <col min="11270" max="11270" width="11.7109375" style="1" customWidth="1"/>
    <col min="11271" max="11271" width="19.28515625" style="1" customWidth="1"/>
    <col min="11272" max="11272" width="10.28515625" style="1" customWidth="1"/>
    <col min="11273" max="11273" width="19.42578125" style="1" customWidth="1"/>
    <col min="11274" max="11274" width="10.28515625" style="1" customWidth="1"/>
    <col min="11275" max="11275" width="19.5703125" style="1" customWidth="1"/>
    <col min="11276" max="11276" width="10.42578125" style="1" customWidth="1"/>
    <col min="11277" max="11277" width="21.140625" style="1" customWidth="1"/>
    <col min="11278" max="11278" width="11.7109375" style="1" customWidth="1"/>
    <col min="11279" max="11520" width="11.42578125" style="1"/>
    <col min="11521" max="11521" width="13.28515625" style="1" customWidth="1"/>
    <col min="11522" max="11522" width="32.140625" style="1" customWidth="1"/>
    <col min="11523" max="11523" width="20.7109375" style="1" customWidth="1"/>
    <col min="11524" max="11524" width="10.42578125" style="1" customWidth="1"/>
    <col min="11525" max="11525" width="18.5703125" style="1" customWidth="1"/>
    <col min="11526" max="11526" width="11.7109375" style="1" customWidth="1"/>
    <col min="11527" max="11527" width="19.28515625" style="1" customWidth="1"/>
    <col min="11528" max="11528" width="10.28515625" style="1" customWidth="1"/>
    <col min="11529" max="11529" width="19.42578125" style="1" customWidth="1"/>
    <col min="11530" max="11530" width="10.28515625" style="1" customWidth="1"/>
    <col min="11531" max="11531" width="19.5703125" style="1" customWidth="1"/>
    <col min="11532" max="11532" width="10.42578125" style="1" customWidth="1"/>
    <col min="11533" max="11533" width="21.140625" style="1" customWidth="1"/>
    <col min="11534" max="11534" width="11.7109375" style="1" customWidth="1"/>
    <col min="11535" max="11776" width="11.42578125" style="1"/>
    <col min="11777" max="11777" width="13.28515625" style="1" customWidth="1"/>
    <col min="11778" max="11778" width="32.140625" style="1" customWidth="1"/>
    <col min="11779" max="11779" width="20.7109375" style="1" customWidth="1"/>
    <col min="11780" max="11780" width="10.42578125" style="1" customWidth="1"/>
    <col min="11781" max="11781" width="18.5703125" style="1" customWidth="1"/>
    <col min="11782" max="11782" width="11.7109375" style="1" customWidth="1"/>
    <col min="11783" max="11783" width="19.28515625" style="1" customWidth="1"/>
    <col min="11784" max="11784" width="10.28515625" style="1" customWidth="1"/>
    <col min="11785" max="11785" width="19.42578125" style="1" customWidth="1"/>
    <col min="11786" max="11786" width="10.28515625" style="1" customWidth="1"/>
    <col min="11787" max="11787" width="19.5703125" style="1" customWidth="1"/>
    <col min="11788" max="11788" width="10.42578125" style="1" customWidth="1"/>
    <col min="11789" max="11789" width="21.140625" style="1" customWidth="1"/>
    <col min="11790" max="11790" width="11.7109375" style="1" customWidth="1"/>
    <col min="11791" max="12032" width="11.42578125" style="1"/>
    <col min="12033" max="12033" width="13.28515625" style="1" customWidth="1"/>
    <col min="12034" max="12034" width="32.140625" style="1" customWidth="1"/>
    <col min="12035" max="12035" width="20.7109375" style="1" customWidth="1"/>
    <col min="12036" max="12036" width="10.42578125" style="1" customWidth="1"/>
    <col min="12037" max="12037" width="18.5703125" style="1" customWidth="1"/>
    <col min="12038" max="12038" width="11.7109375" style="1" customWidth="1"/>
    <col min="12039" max="12039" width="19.28515625" style="1" customWidth="1"/>
    <col min="12040" max="12040" width="10.28515625" style="1" customWidth="1"/>
    <col min="12041" max="12041" width="19.42578125" style="1" customWidth="1"/>
    <col min="12042" max="12042" width="10.28515625" style="1" customWidth="1"/>
    <col min="12043" max="12043" width="19.5703125" style="1" customWidth="1"/>
    <col min="12044" max="12044" width="10.42578125" style="1" customWidth="1"/>
    <col min="12045" max="12045" width="21.140625" style="1" customWidth="1"/>
    <col min="12046" max="12046" width="11.7109375" style="1" customWidth="1"/>
    <col min="12047" max="12288" width="11.42578125" style="1"/>
    <col min="12289" max="12289" width="13.28515625" style="1" customWidth="1"/>
    <col min="12290" max="12290" width="32.140625" style="1" customWidth="1"/>
    <col min="12291" max="12291" width="20.7109375" style="1" customWidth="1"/>
    <col min="12292" max="12292" width="10.42578125" style="1" customWidth="1"/>
    <col min="12293" max="12293" width="18.5703125" style="1" customWidth="1"/>
    <col min="12294" max="12294" width="11.7109375" style="1" customWidth="1"/>
    <col min="12295" max="12295" width="19.28515625" style="1" customWidth="1"/>
    <col min="12296" max="12296" width="10.28515625" style="1" customWidth="1"/>
    <col min="12297" max="12297" width="19.42578125" style="1" customWidth="1"/>
    <col min="12298" max="12298" width="10.28515625" style="1" customWidth="1"/>
    <col min="12299" max="12299" width="19.5703125" style="1" customWidth="1"/>
    <col min="12300" max="12300" width="10.42578125" style="1" customWidth="1"/>
    <col min="12301" max="12301" width="21.140625" style="1" customWidth="1"/>
    <col min="12302" max="12302" width="11.7109375" style="1" customWidth="1"/>
    <col min="12303" max="12544" width="11.42578125" style="1"/>
    <col min="12545" max="12545" width="13.28515625" style="1" customWidth="1"/>
    <col min="12546" max="12546" width="32.140625" style="1" customWidth="1"/>
    <col min="12547" max="12547" width="20.7109375" style="1" customWidth="1"/>
    <col min="12548" max="12548" width="10.42578125" style="1" customWidth="1"/>
    <col min="12549" max="12549" width="18.5703125" style="1" customWidth="1"/>
    <col min="12550" max="12550" width="11.7109375" style="1" customWidth="1"/>
    <col min="12551" max="12551" width="19.28515625" style="1" customWidth="1"/>
    <col min="12552" max="12552" width="10.28515625" style="1" customWidth="1"/>
    <col min="12553" max="12553" width="19.42578125" style="1" customWidth="1"/>
    <col min="12554" max="12554" width="10.28515625" style="1" customWidth="1"/>
    <col min="12555" max="12555" width="19.5703125" style="1" customWidth="1"/>
    <col min="12556" max="12556" width="10.42578125" style="1" customWidth="1"/>
    <col min="12557" max="12557" width="21.140625" style="1" customWidth="1"/>
    <col min="12558" max="12558" width="11.7109375" style="1" customWidth="1"/>
    <col min="12559" max="12800" width="11.42578125" style="1"/>
    <col min="12801" max="12801" width="13.28515625" style="1" customWidth="1"/>
    <col min="12802" max="12802" width="32.140625" style="1" customWidth="1"/>
    <col min="12803" max="12803" width="20.7109375" style="1" customWidth="1"/>
    <col min="12804" max="12804" width="10.42578125" style="1" customWidth="1"/>
    <col min="12805" max="12805" width="18.5703125" style="1" customWidth="1"/>
    <col min="12806" max="12806" width="11.7109375" style="1" customWidth="1"/>
    <col min="12807" max="12807" width="19.28515625" style="1" customWidth="1"/>
    <col min="12808" max="12808" width="10.28515625" style="1" customWidth="1"/>
    <col min="12809" max="12809" width="19.42578125" style="1" customWidth="1"/>
    <col min="12810" max="12810" width="10.28515625" style="1" customWidth="1"/>
    <col min="12811" max="12811" width="19.5703125" style="1" customWidth="1"/>
    <col min="12812" max="12812" width="10.42578125" style="1" customWidth="1"/>
    <col min="12813" max="12813" width="21.140625" style="1" customWidth="1"/>
    <col min="12814" max="12814" width="11.7109375" style="1" customWidth="1"/>
    <col min="12815" max="13056" width="11.42578125" style="1"/>
    <col min="13057" max="13057" width="13.28515625" style="1" customWidth="1"/>
    <col min="13058" max="13058" width="32.140625" style="1" customWidth="1"/>
    <col min="13059" max="13059" width="20.7109375" style="1" customWidth="1"/>
    <col min="13060" max="13060" width="10.42578125" style="1" customWidth="1"/>
    <col min="13061" max="13061" width="18.5703125" style="1" customWidth="1"/>
    <col min="13062" max="13062" width="11.7109375" style="1" customWidth="1"/>
    <col min="13063" max="13063" width="19.28515625" style="1" customWidth="1"/>
    <col min="13064" max="13064" width="10.28515625" style="1" customWidth="1"/>
    <col min="13065" max="13065" width="19.42578125" style="1" customWidth="1"/>
    <col min="13066" max="13066" width="10.28515625" style="1" customWidth="1"/>
    <col min="13067" max="13067" width="19.5703125" style="1" customWidth="1"/>
    <col min="13068" max="13068" width="10.42578125" style="1" customWidth="1"/>
    <col min="13069" max="13069" width="21.140625" style="1" customWidth="1"/>
    <col min="13070" max="13070" width="11.7109375" style="1" customWidth="1"/>
    <col min="13071" max="13312" width="11.42578125" style="1"/>
    <col min="13313" max="13313" width="13.28515625" style="1" customWidth="1"/>
    <col min="13314" max="13314" width="32.140625" style="1" customWidth="1"/>
    <col min="13315" max="13315" width="20.7109375" style="1" customWidth="1"/>
    <col min="13316" max="13316" width="10.42578125" style="1" customWidth="1"/>
    <col min="13317" max="13317" width="18.5703125" style="1" customWidth="1"/>
    <col min="13318" max="13318" width="11.7109375" style="1" customWidth="1"/>
    <col min="13319" max="13319" width="19.28515625" style="1" customWidth="1"/>
    <col min="13320" max="13320" width="10.28515625" style="1" customWidth="1"/>
    <col min="13321" max="13321" width="19.42578125" style="1" customWidth="1"/>
    <col min="13322" max="13322" width="10.28515625" style="1" customWidth="1"/>
    <col min="13323" max="13323" width="19.5703125" style="1" customWidth="1"/>
    <col min="13324" max="13324" width="10.42578125" style="1" customWidth="1"/>
    <col min="13325" max="13325" width="21.140625" style="1" customWidth="1"/>
    <col min="13326" max="13326" width="11.7109375" style="1" customWidth="1"/>
    <col min="13327" max="13568" width="11.42578125" style="1"/>
    <col min="13569" max="13569" width="13.28515625" style="1" customWidth="1"/>
    <col min="13570" max="13570" width="32.140625" style="1" customWidth="1"/>
    <col min="13571" max="13571" width="20.7109375" style="1" customWidth="1"/>
    <col min="13572" max="13572" width="10.42578125" style="1" customWidth="1"/>
    <col min="13573" max="13573" width="18.5703125" style="1" customWidth="1"/>
    <col min="13574" max="13574" width="11.7109375" style="1" customWidth="1"/>
    <col min="13575" max="13575" width="19.28515625" style="1" customWidth="1"/>
    <col min="13576" max="13576" width="10.28515625" style="1" customWidth="1"/>
    <col min="13577" max="13577" width="19.42578125" style="1" customWidth="1"/>
    <col min="13578" max="13578" width="10.28515625" style="1" customWidth="1"/>
    <col min="13579" max="13579" width="19.5703125" style="1" customWidth="1"/>
    <col min="13580" max="13580" width="10.42578125" style="1" customWidth="1"/>
    <col min="13581" max="13581" width="21.140625" style="1" customWidth="1"/>
    <col min="13582" max="13582" width="11.7109375" style="1" customWidth="1"/>
    <col min="13583" max="13824" width="11.42578125" style="1"/>
    <col min="13825" max="13825" width="13.28515625" style="1" customWidth="1"/>
    <col min="13826" max="13826" width="32.140625" style="1" customWidth="1"/>
    <col min="13827" max="13827" width="20.7109375" style="1" customWidth="1"/>
    <col min="13828" max="13828" width="10.42578125" style="1" customWidth="1"/>
    <col min="13829" max="13829" width="18.5703125" style="1" customWidth="1"/>
    <col min="13830" max="13830" width="11.7109375" style="1" customWidth="1"/>
    <col min="13831" max="13831" width="19.28515625" style="1" customWidth="1"/>
    <col min="13832" max="13832" width="10.28515625" style="1" customWidth="1"/>
    <col min="13833" max="13833" width="19.42578125" style="1" customWidth="1"/>
    <col min="13834" max="13834" width="10.28515625" style="1" customWidth="1"/>
    <col min="13835" max="13835" width="19.5703125" style="1" customWidth="1"/>
    <col min="13836" max="13836" width="10.42578125" style="1" customWidth="1"/>
    <col min="13837" max="13837" width="21.140625" style="1" customWidth="1"/>
    <col min="13838" max="13838" width="11.7109375" style="1" customWidth="1"/>
    <col min="13839" max="14080" width="11.42578125" style="1"/>
    <col min="14081" max="14081" width="13.28515625" style="1" customWidth="1"/>
    <col min="14082" max="14082" width="32.140625" style="1" customWidth="1"/>
    <col min="14083" max="14083" width="20.7109375" style="1" customWidth="1"/>
    <col min="14084" max="14084" width="10.42578125" style="1" customWidth="1"/>
    <col min="14085" max="14085" width="18.5703125" style="1" customWidth="1"/>
    <col min="14086" max="14086" width="11.7109375" style="1" customWidth="1"/>
    <col min="14087" max="14087" width="19.28515625" style="1" customWidth="1"/>
    <col min="14088" max="14088" width="10.28515625" style="1" customWidth="1"/>
    <col min="14089" max="14089" width="19.42578125" style="1" customWidth="1"/>
    <col min="14090" max="14090" width="10.28515625" style="1" customWidth="1"/>
    <col min="14091" max="14091" width="19.5703125" style="1" customWidth="1"/>
    <col min="14092" max="14092" width="10.42578125" style="1" customWidth="1"/>
    <col min="14093" max="14093" width="21.140625" style="1" customWidth="1"/>
    <col min="14094" max="14094" width="11.7109375" style="1" customWidth="1"/>
    <col min="14095" max="14336" width="11.42578125" style="1"/>
    <col min="14337" max="14337" width="13.28515625" style="1" customWidth="1"/>
    <col min="14338" max="14338" width="32.140625" style="1" customWidth="1"/>
    <col min="14339" max="14339" width="20.7109375" style="1" customWidth="1"/>
    <col min="14340" max="14340" width="10.42578125" style="1" customWidth="1"/>
    <col min="14341" max="14341" width="18.5703125" style="1" customWidth="1"/>
    <col min="14342" max="14342" width="11.7109375" style="1" customWidth="1"/>
    <col min="14343" max="14343" width="19.28515625" style="1" customWidth="1"/>
    <col min="14344" max="14344" width="10.28515625" style="1" customWidth="1"/>
    <col min="14345" max="14345" width="19.42578125" style="1" customWidth="1"/>
    <col min="14346" max="14346" width="10.28515625" style="1" customWidth="1"/>
    <col min="14347" max="14347" width="19.5703125" style="1" customWidth="1"/>
    <col min="14348" max="14348" width="10.42578125" style="1" customWidth="1"/>
    <col min="14349" max="14349" width="21.140625" style="1" customWidth="1"/>
    <col min="14350" max="14350" width="11.7109375" style="1" customWidth="1"/>
    <col min="14351" max="14592" width="11.42578125" style="1"/>
    <col min="14593" max="14593" width="13.28515625" style="1" customWidth="1"/>
    <col min="14594" max="14594" width="32.140625" style="1" customWidth="1"/>
    <col min="14595" max="14595" width="20.7109375" style="1" customWidth="1"/>
    <col min="14596" max="14596" width="10.42578125" style="1" customWidth="1"/>
    <col min="14597" max="14597" width="18.5703125" style="1" customWidth="1"/>
    <col min="14598" max="14598" width="11.7109375" style="1" customWidth="1"/>
    <col min="14599" max="14599" width="19.28515625" style="1" customWidth="1"/>
    <col min="14600" max="14600" width="10.28515625" style="1" customWidth="1"/>
    <col min="14601" max="14601" width="19.42578125" style="1" customWidth="1"/>
    <col min="14602" max="14602" width="10.28515625" style="1" customWidth="1"/>
    <col min="14603" max="14603" width="19.5703125" style="1" customWidth="1"/>
    <col min="14604" max="14604" width="10.42578125" style="1" customWidth="1"/>
    <col min="14605" max="14605" width="21.140625" style="1" customWidth="1"/>
    <col min="14606" max="14606" width="11.7109375" style="1" customWidth="1"/>
    <col min="14607" max="14848" width="11.42578125" style="1"/>
    <col min="14849" max="14849" width="13.28515625" style="1" customWidth="1"/>
    <col min="14850" max="14850" width="32.140625" style="1" customWidth="1"/>
    <col min="14851" max="14851" width="20.7109375" style="1" customWidth="1"/>
    <col min="14852" max="14852" width="10.42578125" style="1" customWidth="1"/>
    <col min="14853" max="14853" width="18.5703125" style="1" customWidth="1"/>
    <col min="14854" max="14854" width="11.7109375" style="1" customWidth="1"/>
    <col min="14855" max="14855" width="19.28515625" style="1" customWidth="1"/>
    <col min="14856" max="14856" width="10.28515625" style="1" customWidth="1"/>
    <col min="14857" max="14857" width="19.42578125" style="1" customWidth="1"/>
    <col min="14858" max="14858" width="10.28515625" style="1" customWidth="1"/>
    <col min="14859" max="14859" width="19.5703125" style="1" customWidth="1"/>
    <col min="14860" max="14860" width="10.42578125" style="1" customWidth="1"/>
    <col min="14861" max="14861" width="21.140625" style="1" customWidth="1"/>
    <col min="14862" max="14862" width="11.7109375" style="1" customWidth="1"/>
    <col min="14863" max="15104" width="11.42578125" style="1"/>
    <col min="15105" max="15105" width="13.28515625" style="1" customWidth="1"/>
    <col min="15106" max="15106" width="32.140625" style="1" customWidth="1"/>
    <col min="15107" max="15107" width="20.7109375" style="1" customWidth="1"/>
    <col min="15108" max="15108" width="10.42578125" style="1" customWidth="1"/>
    <col min="15109" max="15109" width="18.5703125" style="1" customWidth="1"/>
    <col min="15110" max="15110" width="11.7109375" style="1" customWidth="1"/>
    <col min="15111" max="15111" width="19.28515625" style="1" customWidth="1"/>
    <col min="15112" max="15112" width="10.28515625" style="1" customWidth="1"/>
    <col min="15113" max="15113" width="19.42578125" style="1" customWidth="1"/>
    <col min="15114" max="15114" width="10.28515625" style="1" customWidth="1"/>
    <col min="15115" max="15115" width="19.5703125" style="1" customWidth="1"/>
    <col min="15116" max="15116" width="10.42578125" style="1" customWidth="1"/>
    <col min="15117" max="15117" width="21.140625" style="1" customWidth="1"/>
    <col min="15118" max="15118" width="11.7109375" style="1" customWidth="1"/>
    <col min="15119" max="15360" width="11.42578125" style="1"/>
    <col min="15361" max="15361" width="13.28515625" style="1" customWidth="1"/>
    <col min="15362" max="15362" width="32.140625" style="1" customWidth="1"/>
    <col min="15363" max="15363" width="20.7109375" style="1" customWidth="1"/>
    <col min="15364" max="15364" width="10.42578125" style="1" customWidth="1"/>
    <col min="15365" max="15365" width="18.5703125" style="1" customWidth="1"/>
    <col min="15366" max="15366" width="11.7109375" style="1" customWidth="1"/>
    <col min="15367" max="15367" width="19.28515625" style="1" customWidth="1"/>
    <col min="15368" max="15368" width="10.28515625" style="1" customWidth="1"/>
    <col min="15369" max="15369" width="19.42578125" style="1" customWidth="1"/>
    <col min="15370" max="15370" width="10.28515625" style="1" customWidth="1"/>
    <col min="15371" max="15371" width="19.5703125" style="1" customWidth="1"/>
    <col min="15372" max="15372" width="10.42578125" style="1" customWidth="1"/>
    <col min="15373" max="15373" width="21.140625" style="1" customWidth="1"/>
    <col min="15374" max="15374" width="11.7109375" style="1" customWidth="1"/>
    <col min="15375" max="15616" width="11.42578125" style="1"/>
    <col min="15617" max="15617" width="13.28515625" style="1" customWidth="1"/>
    <col min="15618" max="15618" width="32.140625" style="1" customWidth="1"/>
    <col min="15619" max="15619" width="20.7109375" style="1" customWidth="1"/>
    <col min="15620" max="15620" width="10.42578125" style="1" customWidth="1"/>
    <col min="15621" max="15621" width="18.5703125" style="1" customWidth="1"/>
    <col min="15622" max="15622" width="11.7109375" style="1" customWidth="1"/>
    <col min="15623" max="15623" width="19.28515625" style="1" customWidth="1"/>
    <col min="15624" max="15624" width="10.28515625" style="1" customWidth="1"/>
    <col min="15625" max="15625" width="19.42578125" style="1" customWidth="1"/>
    <col min="15626" max="15626" width="10.28515625" style="1" customWidth="1"/>
    <col min="15627" max="15627" width="19.5703125" style="1" customWidth="1"/>
    <col min="15628" max="15628" width="10.42578125" style="1" customWidth="1"/>
    <col min="15629" max="15629" width="21.140625" style="1" customWidth="1"/>
    <col min="15630" max="15630" width="11.7109375" style="1" customWidth="1"/>
    <col min="15631" max="15872" width="11.42578125" style="1"/>
    <col min="15873" max="15873" width="13.28515625" style="1" customWidth="1"/>
    <col min="15874" max="15874" width="32.140625" style="1" customWidth="1"/>
    <col min="15875" max="15875" width="20.7109375" style="1" customWidth="1"/>
    <col min="15876" max="15876" width="10.42578125" style="1" customWidth="1"/>
    <col min="15877" max="15877" width="18.5703125" style="1" customWidth="1"/>
    <col min="15878" max="15878" width="11.7109375" style="1" customWidth="1"/>
    <col min="15879" max="15879" width="19.28515625" style="1" customWidth="1"/>
    <col min="15880" max="15880" width="10.28515625" style="1" customWidth="1"/>
    <col min="15881" max="15881" width="19.42578125" style="1" customWidth="1"/>
    <col min="15882" max="15882" width="10.28515625" style="1" customWidth="1"/>
    <col min="15883" max="15883" width="19.5703125" style="1" customWidth="1"/>
    <col min="15884" max="15884" width="10.42578125" style="1" customWidth="1"/>
    <col min="15885" max="15885" width="21.140625" style="1" customWidth="1"/>
    <col min="15886" max="15886" width="11.7109375" style="1" customWidth="1"/>
    <col min="15887" max="16128" width="11.42578125" style="1"/>
    <col min="16129" max="16129" width="13.28515625" style="1" customWidth="1"/>
    <col min="16130" max="16130" width="32.140625" style="1" customWidth="1"/>
    <col min="16131" max="16131" width="20.7109375" style="1" customWidth="1"/>
    <col min="16132" max="16132" width="10.42578125" style="1" customWidth="1"/>
    <col min="16133" max="16133" width="18.5703125" style="1" customWidth="1"/>
    <col min="16134" max="16134" width="11.7109375" style="1" customWidth="1"/>
    <col min="16135" max="16135" width="19.28515625" style="1" customWidth="1"/>
    <col min="16136" max="16136" width="10.28515625" style="1" customWidth="1"/>
    <col min="16137" max="16137" width="19.42578125" style="1" customWidth="1"/>
    <col min="16138" max="16138" width="10.28515625" style="1" customWidth="1"/>
    <col min="16139" max="16139" width="19.5703125" style="1" customWidth="1"/>
    <col min="16140" max="16140" width="10.42578125" style="1" customWidth="1"/>
    <col min="16141" max="16141" width="21.140625" style="1" customWidth="1"/>
    <col min="16142" max="16142" width="11.7109375" style="1" customWidth="1"/>
    <col min="16143" max="16384" width="11.42578125" style="1"/>
  </cols>
  <sheetData>
    <row r="1" spans="1:14" ht="67.5" customHeight="1" x14ac:dyDescent="0.2">
      <c r="A1" s="591" t="s">
        <v>1407</v>
      </c>
      <c r="B1" s="592"/>
      <c r="C1" s="592"/>
      <c r="D1" s="592"/>
      <c r="E1" s="592"/>
      <c r="F1" s="592"/>
      <c r="G1" s="592"/>
      <c r="H1" s="592"/>
      <c r="I1" s="592"/>
      <c r="J1" s="592"/>
      <c r="K1" s="592"/>
      <c r="L1" s="592"/>
      <c r="M1" s="592"/>
      <c r="N1" s="592"/>
    </row>
    <row r="2" spans="1:14" s="4" customFormat="1" ht="103.5" customHeight="1" x14ac:dyDescent="0.2">
      <c r="A2" s="2" t="s">
        <v>12</v>
      </c>
      <c r="B2" s="2" t="s">
        <v>12</v>
      </c>
      <c r="C2" s="3" t="s">
        <v>13</v>
      </c>
      <c r="D2" s="3" t="s">
        <v>14</v>
      </c>
      <c r="E2" s="3" t="s">
        <v>15</v>
      </c>
      <c r="F2" s="3" t="s">
        <v>16</v>
      </c>
      <c r="G2" s="3" t="s">
        <v>17</v>
      </c>
      <c r="H2" s="3" t="s">
        <v>18</v>
      </c>
      <c r="I2" s="3" t="s">
        <v>19</v>
      </c>
      <c r="J2" s="3" t="s">
        <v>20</v>
      </c>
      <c r="K2" s="3" t="s">
        <v>21</v>
      </c>
      <c r="L2" s="3" t="s">
        <v>22</v>
      </c>
      <c r="M2" s="3" t="s">
        <v>23</v>
      </c>
      <c r="N2" s="3" t="s">
        <v>24</v>
      </c>
    </row>
    <row r="3" spans="1:14" s="16" customFormat="1" ht="15" x14ac:dyDescent="0.25">
      <c r="A3" s="5">
        <v>304</v>
      </c>
      <c r="B3" s="6" t="s">
        <v>25</v>
      </c>
      <c r="C3" s="7">
        <f>'SGTO POAI SEPT 30'!BG8</f>
        <v>75702140</v>
      </c>
      <c r="D3" s="8">
        <v>1</v>
      </c>
      <c r="E3" s="7">
        <v>20100000</v>
      </c>
      <c r="F3" s="9">
        <f>E3/C3</f>
        <v>0.26551429061318477</v>
      </c>
      <c r="G3" s="7">
        <f>'SGTO POAI SEPT 30'!BH8</f>
        <v>19560000</v>
      </c>
      <c r="H3" s="10">
        <f>G3/C3</f>
        <v>0.25838107086536788</v>
      </c>
      <c r="I3" s="11">
        <v>0</v>
      </c>
      <c r="J3" s="10">
        <v>0</v>
      </c>
      <c r="K3" s="12"/>
      <c r="L3" s="13">
        <v>0</v>
      </c>
      <c r="M3" s="14">
        <f t="shared" ref="M3:M15" si="0">C3-E3</f>
        <v>55602140</v>
      </c>
      <c r="N3" s="15">
        <f t="shared" ref="N3:N20" si="1">M3/C3</f>
        <v>0.73448570938681523</v>
      </c>
    </row>
    <row r="4" spans="1:14" s="16" customFormat="1" ht="15" x14ac:dyDescent="0.25">
      <c r="A4" s="5">
        <v>305</v>
      </c>
      <c r="B4" s="6" t="s">
        <v>26</v>
      </c>
      <c r="C4" s="7">
        <f>'SGTO POAI SEPT 30'!BG16</f>
        <v>677628511</v>
      </c>
      <c r="D4" s="8">
        <v>1</v>
      </c>
      <c r="E4" s="7">
        <v>461418332</v>
      </c>
      <c r="F4" s="9">
        <f>E4/C4</f>
        <v>0.68093110680816671</v>
      </c>
      <c r="G4" s="7">
        <f>'SGTO POAI SEPT 30'!BH16</f>
        <v>434418332</v>
      </c>
      <c r="H4" s="10">
        <f t="shared" ref="H4:H15" si="2">G4/C4</f>
        <v>0.64108626621821707</v>
      </c>
      <c r="I4" s="17">
        <f>'SGTO POAI SEPT 30'!BI16</f>
        <v>250818332</v>
      </c>
      <c r="J4" s="10">
        <f>I4/G4</f>
        <v>0.57736590176862057</v>
      </c>
      <c r="K4" s="18">
        <v>250818332</v>
      </c>
      <c r="L4" s="10">
        <f>K4/G4</f>
        <v>0.57736590176862057</v>
      </c>
      <c r="M4" s="14">
        <f t="shared" si="0"/>
        <v>216210179</v>
      </c>
      <c r="N4" s="15">
        <f t="shared" si="1"/>
        <v>0.31906889319183324</v>
      </c>
    </row>
    <row r="5" spans="1:14" s="16" customFormat="1" ht="15" x14ac:dyDescent="0.25">
      <c r="A5" s="5">
        <v>307</v>
      </c>
      <c r="B5" s="6" t="s">
        <v>27</v>
      </c>
      <c r="C5" s="7">
        <f>'SGTO POAI SEPT 30'!BG33</f>
        <v>2541134000</v>
      </c>
      <c r="D5" s="8">
        <v>1</v>
      </c>
      <c r="E5" s="7">
        <v>1632039199</v>
      </c>
      <c r="F5" s="9">
        <f t="shared" ref="F5:F15" si="3">E5/C5</f>
        <v>0.64224838162804476</v>
      </c>
      <c r="G5" s="7">
        <f>'SGTO POAI SEPT 30'!BH33</f>
        <v>1132039199</v>
      </c>
      <c r="H5" s="10">
        <f t="shared" si="2"/>
        <v>0.44548583388361257</v>
      </c>
      <c r="I5" s="17">
        <f>'SGTO POAI SEPT 30'!BI33</f>
        <v>645852584</v>
      </c>
      <c r="J5" s="10">
        <f t="shared" ref="J5:J15" si="4">I5/G5</f>
        <v>0.57052139587615114</v>
      </c>
      <c r="K5" s="18">
        <v>645852584</v>
      </c>
      <c r="L5" s="10">
        <f t="shared" ref="L5:L15" si="5">K5/G5</f>
        <v>0.57052139587615114</v>
      </c>
      <c r="M5" s="14">
        <f t="shared" si="0"/>
        <v>909094801</v>
      </c>
      <c r="N5" s="15">
        <f t="shared" si="1"/>
        <v>0.35775161837195518</v>
      </c>
    </row>
    <row r="6" spans="1:14" s="16" customFormat="1" ht="15" x14ac:dyDescent="0.25">
      <c r="A6" s="5">
        <v>308</v>
      </c>
      <c r="B6" s="6" t="s">
        <v>28</v>
      </c>
      <c r="C6" s="14">
        <f>'SGTO POAI SEPT 30'!BG39</f>
        <v>5387573974.4699993</v>
      </c>
      <c r="D6" s="8">
        <v>1</v>
      </c>
      <c r="E6" s="14">
        <v>1118908858.55</v>
      </c>
      <c r="F6" s="9">
        <f t="shared" si="3"/>
        <v>0.20768324738595764</v>
      </c>
      <c r="G6" s="14">
        <f>'SGTO POAI SEPT 30'!BH39</f>
        <v>906775998</v>
      </c>
      <c r="H6" s="10">
        <f t="shared" si="2"/>
        <v>0.16830877910854186</v>
      </c>
      <c r="I6" s="17">
        <f>'SGTO POAI SEPT 30'!BI39</f>
        <v>440188008</v>
      </c>
      <c r="J6" s="10">
        <f t="shared" si="4"/>
        <v>0.4854429417749101</v>
      </c>
      <c r="K6" s="18">
        <v>440188008</v>
      </c>
      <c r="L6" s="10">
        <f t="shared" si="5"/>
        <v>0.4854429417749101</v>
      </c>
      <c r="M6" s="14">
        <f t="shared" si="0"/>
        <v>4268665115.9199991</v>
      </c>
      <c r="N6" s="15">
        <f t="shared" si="1"/>
        <v>0.79231675261404233</v>
      </c>
    </row>
    <row r="7" spans="1:14" s="16" customFormat="1" ht="15" x14ac:dyDescent="0.25">
      <c r="A7" s="5">
        <v>309</v>
      </c>
      <c r="B7" s="6" t="s">
        <v>29</v>
      </c>
      <c r="C7" s="14">
        <f>'SGTO POAI SEPT 30'!BG79</f>
        <v>3830220594.3099999</v>
      </c>
      <c r="D7" s="8">
        <v>1</v>
      </c>
      <c r="E7" s="14">
        <v>1082363359</v>
      </c>
      <c r="F7" s="9">
        <f t="shared" si="3"/>
        <v>0.28258512332368257</v>
      </c>
      <c r="G7" s="14">
        <f>'SGTO POAI SEPT 30'!BH79</f>
        <v>634043541</v>
      </c>
      <c r="H7" s="10">
        <f t="shared" si="2"/>
        <v>0.16553708210485474</v>
      </c>
      <c r="I7" s="17">
        <f>'SGTO POAI SEPT 30'!BI79</f>
        <v>227165658</v>
      </c>
      <c r="J7" s="10">
        <f t="shared" si="4"/>
        <v>0.35828084872802135</v>
      </c>
      <c r="K7" s="18">
        <v>227165658</v>
      </c>
      <c r="L7" s="10">
        <f t="shared" si="5"/>
        <v>0.35828084872802135</v>
      </c>
      <c r="M7" s="14">
        <f t="shared" si="0"/>
        <v>2747857235.3099999</v>
      </c>
      <c r="N7" s="15">
        <f t="shared" si="1"/>
        <v>0.71741487667631743</v>
      </c>
    </row>
    <row r="8" spans="1:14" s="16" customFormat="1" ht="15" x14ac:dyDescent="0.25">
      <c r="A8" s="5">
        <v>310</v>
      </c>
      <c r="B8" s="6" t="s">
        <v>30</v>
      </c>
      <c r="C8" s="7">
        <f>'SGTO POAI SEPT 30'!BG117</f>
        <v>3003874935.3200002</v>
      </c>
      <c r="D8" s="8">
        <v>1</v>
      </c>
      <c r="E8" s="7">
        <v>1431183099.1600001</v>
      </c>
      <c r="F8" s="9">
        <f t="shared" si="3"/>
        <v>0.47644563438109228</v>
      </c>
      <c r="G8" s="14">
        <f>'SGTO POAI SEPT 30'!BH117</f>
        <v>580820000</v>
      </c>
      <c r="H8" s="10">
        <f t="shared" si="2"/>
        <v>0.19335691814949871</v>
      </c>
      <c r="I8" s="17">
        <f>'SGTO POAI SEPT 30'!BI117</f>
        <v>357720000</v>
      </c>
      <c r="J8" s="10">
        <f t="shared" si="4"/>
        <v>0.61588788264866912</v>
      </c>
      <c r="K8" s="18">
        <v>357720000</v>
      </c>
      <c r="L8" s="10">
        <f t="shared" si="5"/>
        <v>0.61588788264866912</v>
      </c>
      <c r="M8" s="14">
        <f t="shared" si="0"/>
        <v>1572691836.1600001</v>
      </c>
      <c r="N8" s="15">
        <f t="shared" si="1"/>
        <v>0.52355436561890767</v>
      </c>
    </row>
    <row r="9" spans="1:14" s="16" customFormat="1" ht="19.5" customHeight="1" x14ac:dyDescent="0.25">
      <c r="A9" s="5">
        <v>311</v>
      </c>
      <c r="B9" s="19" t="s">
        <v>31</v>
      </c>
      <c r="C9" s="7">
        <f>'SGTO POAI SEPT 30'!BG130</f>
        <v>2722170340.8499999</v>
      </c>
      <c r="D9" s="8">
        <v>1</v>
      </c>
      <c r="E9" s="7">
        <v>2146749989</v>
      </c>
      <c r="F9" s="9">
        <f t="shared" si="3"/>
        <v>0.78861706660490449</v>
      </c>
      <c r="G9" s="14">
        <f>'SGTO POAI SEPT 30'!BH130</f>
        <v>1621949989</v>
      </c>
      <c r="H9" s="10">
        <f t="shared" si="2"/>
        <v>0.59582971890493264</v>
      </c>
      <c r="I9" s="17">
        <f>'SGTO POAI SEPT 30'!BI130</f>
        <v>420679998</v>
      </c>
      <c r="J9" s="10">
        <f t="shared" si="4"/>
        <v>0.25936681207992535</v>
      </c>
      <c r="K9" s="18">
        <v>420679998</v>
      </c>
      <c r="L9" s="10">
        <f t="shared" si="5"/>
        <v>0.25936681207992535</v>
      </c>
      <c r="M9" s="14">
        <f t="shared" si="0"/>
        <v>575420351.8499999</v>
      </c>
      <c r="N9" s="15">
        <f t="shared" si="1"/>
        <v>0.21138293339509548</v>
      </c>
    </row>
    <row r="10" spans="1:14" s="16" customFormat="1" ht="30" x14ac:dyDescent="0.25">
      <c r="A10" s="5">
        <v>312</v>
      </c>
      <c r="B10" s="19" t="s">
        <v>32</v>
      </c>
      <c r="C10" s="7">
        <f>'SGTO POAI SEPT 30'!BG147</f>
        <v>1618563166</v>
      </c>
      <c r="D10" s="8">
        <v>1</v>
      </c>
      <c r="E10" s="7">
        <v>707657654</v>
      </c>
      <c r="F10" s="9">
        <f t="shared" si="3"/>
        <v>0.43721349210538007</v>
      </c>
      <c r="G10" s="14">
        <f>'SGTO POAI SEPT 30'!BH147</f>
        <v>687857654</v>
      </c>
      <c r="H10" s="10">
        <f t="shared" si="2"/>
        <v>0.42498041994859037</v>
      </c>
      <c r="I10" s="17">
        <f>'SGTO POAI SEPT 30'!BI147</f>
        <v>352216664</v>
      </c>
      <c r="J10" s="10">
        <f t="shared" si="4"/>
        <v>0.51204876757829898</v>
      </c>
      <c r="K10" s="18">
        <v>352216664</v>
      </c>
      <c r="L10" s="10">
        <f t="shared" si="5"/>
        <v>0.51204876757829898</v>
      </c>
      <c r="M10" s="14">
        <f t="shared" si="0"/>
        <v>910905512</v>
      </c>
      <c r="N10" s="15">
        <f t="shared" si="1"/>
        <v>0.56278650789461993</v>
      </c>
    </row>
    <row r="11" spans="1:14" s="24" customFormat="1" ht="15" x14ac:dyDescent="0.25">
      <c r="A11" s="20">
        <v>313</v>
      </c>
      <c r="B11" s="6" t="s">
        <v>33</v>
      </c>
      <c r="C11" s="21">
        <f>'SGTO POAI SEPT 30'!BG195</f>
        <v>1291267429</v>
      </c>
      <c r="D11" s="8">
        <v>1</v>
      </c>
      <c r="E11" s="22">
        <v>788512367.33000004</v>
      </c>
      <c r="F11" s="9">
        <f t="shared" si="3"/>
        <v>0.61064993170365178</v>
      </c>
      <c r="G11" s="14">
        <f>'SGTO POAI SEPT 30'!BH195</f>
        <v>488543665.32999998</v>
      </c>
      <c r="H11" s="10">
        <f t="shared" si="2"/>
        <v>0.3783442951924717</v>
      </c>
      <c r="I11" s="17">
        <f>'SGTO POAI SEPT 30'!BI195</f>
        <v>302730666.32999998</v>
      </c>
      <c r="J11" s="10">
        <f t="shared" si="4"/>
        <v>0.61965938321094061</v>
      </c>
      <c r="K11" s="18">
        <v>302730666.32999998</v>
      </c>
      <c r="L11" s="10">
        <f t="shared" si="5"/>
        <v>0.61965938321094061</v>
      </c>
      <c r="M11" s="23">
        <f t="shared" si="0"/>
        <v>502755061.66999996</v>
      </c>
      <c r="N11" s="15">
        <f t="shared" si="1"/>
        <v>0.38935006829634822</v>
      </c>
    </row>
    <row r="12" spans="1:14" s="24" customFormat="1" ht="15" x14ac:dyDescent="0.25">
      <c r="A12" s="20">
        <v>314</v>
      </c>
      <c r="B12" s="6" t="s">
        <v>34</v>
      </c>
      <c r="C12" s="23">
        <f>'SGTO POAI SEPT 30'!BG203</f>
        <v>179058544424.88</v>
      </c>
      <c r="D12" s="8">
        <v>1</v>
      </c>
      <c r="E12" s="23">
        <v>129079775528.45</v>
      </c>
      <c r="F12" s="9">
        <f t="shared" si="3"/>
        <v>0.72088029053873226</v>
      </c>
      <c r="G12" s="14">
        <f>'SGTO POAI SEPT 30'!BH203</f>
        <v>127325536038</v>
      </c>
      <c r="H12" s="10">
        <f t="shared" si="2"/>
        <v>0.71108327417135109</v>
      </c>
      <c r="I12" s="17">
        <f>'SGTO POAI SEPT 30'!BI203</f>
        <v>119626101892</v>
      </c>
      <c r="J12" s="10">
        <f t="shared" si="4"/>
        <v>0.93952953676392048</v>
      </c>
      <c r="K12" s="18">
        <v>119626101892</v>
      </c>
      <c r="L12" s="10">
        <f t="shared" si="5"/>
        <v>0.93952953676392048</v>
      </c>
      <c r="M12" s="23">
        <f t="shared" si="0"/>
        <v>49978768896.430008</v>
      </c>
      <c r="N12" s="15">
        <f t="shared" si="1"/>
        <v>0.27911970946126774</v>
      </c>
    </row>
    <row r="13" spans="1:14" s="16" customFormat="1" ht="15" x14ac:dyDescent="0.25">
      <c r="A13" s="5">
        <v>316</v>
      </c>
      <c r="B13" s="6" t="s">
        <v>35</v>
      </c>
      <c r="C13" s="21">
        <f>'SGTO POAI SEPT 30'!BG231</f>
        <v>5743774901.3899994</v>
      </c>
      <c r="D13" s="8">
        <v>1</v>
      </c>
      <c r="E13" s="21">
        <v>3576281670</v>
      </c>
      <c r="F13" s="9">
        <f t="shared" si="3"/>
        <v>0.62263611151170573</v>
      </c>
      <c r="G13" s="14">
        <f>'SGTO POAI SEPT 30'!BH231</f>
        <v>1733575872</v>
      </c>
      <c r="H13" s="10">
        <f t="shared" si="2"/>
        <v>0.30181821219708188</v>
      </c>
      <c r="I13" s="17">
        <f>'SGTO POAI SEPT 30'!BI231</f>
        <v>1387887570</v>
      </c>
      <c r="J13" s="10">
        <f t="shared" si="4"/>
        <v>0.80059234350026764</v>
      </c>
      <c r="K13" s="18">
        <v>1387887570</v>
      </c>
      <c r="L13" s="10">
        <f t="shared" si="5"/>
        <v>0.80059234350026764</v>
      </c>
      <c r="M13" s="14">
        <f t="shared" si="0"/>
        <v>2167493231.3899994</v>
      </c>
      <c r="N13" s="15">
        <f t="shared" si="1"/>
        <v>0.37736388848829433</v>
      </c>
    </row>
    <row r="14" spans="1:14" s="16" customFormat="1" ht="15" x14ac:dyDescent="0.25">
      <c r="A14" s="5">
        <v>318</v>
      </c>
      <c r="B14" s="6" t="s">
        <v>36</v>
      </c>
      <c r="C14" s="7">
        <f>'SGTO POAI SEPT 30'!BG275</f>
        <v>40878834321.080002</v>
      </c>
      <c r="D14" s="8">
        <v>1</v>
      </c>
      <c r="E14" s="7">
        <v>29887920329</v>
      </c>
      <c r="F14" s="9">
        <f t="shared" si="3"/>
        <v>0.7311343590242172</v>
      </c>
      <c r="G14" s="14">
        <f>'SGTO POAI SEPT 30'!BH275</f>
        <v>28027173458.330002</v>
      </c>
      <c r="H14" s="10">
        <f t="shared" si="2"/>
        <v>0.68561576972064542</v>
      </c>
      <c r="I14" s="17">
        <f>'SGTO POAI SEPT 30'!BI275</f>
        <v>14487638149.5</v>
      </c>
      <c r="J14" s="10">
        <f t="shared" si="4"/>
        <v>0.51691399316594677</v>
      </c>
      <c r="K14" s="18">
        <v>14487638149.5</v>
      </c>
      <c r="L14" s="10">
        <f t="shared" si="5"/>
        <v>0.51691399316594677</v>
      </c>
      <c r="M14" s="14">
        <f t="shared" si="0"/>
        <v>10990913992.080002</v>
      </c>
      <c r="N14" s="15">
        <f t="shared" si="1"/>
        <v>0.26886564097578275</v>
      </c>
    </row>
    <row r="15" spans="1:14" s="16" customFormat="1" ht="30" x14ac:dyDescent="0.25">
      <c r="A15" s="5">
        <v>324</v>
      </c>
      <c r="B15" s="19" t="s">
        <v>37</v>
      </c>
      <c r="C15" s="7">
        <f>'SGTO POAI SEPT 30'!BG341</f>
        <v>632885000</v>
      </c>
      <c r="D15" s="8">
        <v>1</v>
      </c>
      <c r="E15" s="7">
        <v>353198056</v>
      </c>
      <c r="F15" s="9">
        <f t="shared" si="3"/>
        <v>0.55807620025755078</v>
      </c>
      <c r="G15" s="14">
        <f>'SGTO POAI SEPT 30'!BH341</f>
        <v>254853263</v>
      </c>
      <c r="H15" s="10">
        <f t="shared" si="2"/>
        <v>0.40268494750231082</v>
      </c>
      <c r="I15" s="17">
        <f>'SGTO POAI SEPT 30'!BI341</f>
        <v>161461132</v>
      </c>
      <c r="J15" s="10">
        <f t="shared" si="4"/>
        <v>0.6335454767161447</v>
      </c>
      <c r="K15" s="18">
        <v>161461132</v>
      </c>
      <c r="L15" s="10">
        <f t="shared" si="5"/>
        <v>0.6335454767161447</v>
      </c>
      <c r="M15" s="14">
        <f t="shared" si="0"/>
        <v>279686944</v>
      </c>
      <c r="N15" s="15">
        <f t="shared" si="1"/>
        <v>0.44192379974244927</v>
      </c>
    </row>
    <row r="16" spans="1:14" s="30" customFormat="1" ht="32.25" customHeight="1" x14ac:dyDescent="0.25">
      <c r="A16" s="25"/>
      <c r="B16" s="25" t="s">
        <v>38</v>
      </c>
      <c r="C16" s="26">
        <f>SUM(C3:C15)</f>
        <v>247462173738.30005</v>
      </c>
      <c r="D16" s="27">
        <v>1</v>
      </c>
      <c r="E16" s="26">
        <f>SUM(E3:E15)</f>
        <v>172286108441.48999</v>
      </c>
      <c r="F16" s="28">
        <f>E16/C16</f>
        <v>0.69621189306972064</v>
      </c>
      <c r="G16" s="26">
        <f>SUM(G3:G15)</f>
        <v>163847147009.66</v>
      </c>
      <c r="H16" s="28">
        <f>G16/C16</f>
        <v>0.6621098672758533</v>
      </c>
      <c r="I16" s="26">
        <f>SUM(I3:I15)</f>
        <v>138660460653.83002</v>
      </c>
      <c r="J16" s="28">
        <f>I16/G16</f>
        <v>0.84627937186880009</v>
      </c>
      <c r="K16" s="26">
        <f>SUM(K3:K15)</f>
        <v>138660460653.83002</v>
      </c>
      <c r="L16" s="28">
        <f>K16/G16</f>
        <v>0.84627937186880009</v>
      </c>
      <c r="M16" s="26">
        <f>SUM(M3:M15)</f>
        <v>75176065296.810013</v>
      </c>
      <c r="N16" s="29">
        <f t="shared" si="1"/>
        <v>0.30378810693027913</v>
      </c>
    </row>
    <row r="17" spans="1:15" s="16" customFormat="1" ht="15" x14ac:dyDescent="0.25">
      <c r="A17" s="5">
        <v>319</v>
      </c>
      <c r="B17" s="6" t="s">
        <v>39</v>
      </c>
      <c r="C17" s="21">
        <f>'SGTO POAI SEPT 30'!BG359</f>
        <v>4341489310.7799997</v>
      </c>
      <c r="D17" s="8">
        <v>1</v>
      </c>
      <c r="E17" s="21"/>
      <c r="F17" s="9">
        <f>E17/C17</f>
        <v>0</v>
      </c>
      <c r="G17" s="21">
        <f>'SGTO POAI SEPT 30'!BH359</f>
        <v>1581586420.25</v>
      </c>
      <c r="H17" s="10">
        <f>G17/C17</f>
        <v>0.36429582270832528</v>
      </c>
      <c r="I17" s="17">
        <f>'SGTO POAI SEPT 30'!BI359</f>
        <v>1056494012.25</v>
      </c>
      <c r="J17" s="10">
        <f>I17/G17</f>
        <v>0.66799638560566355</v>
      </c>
      <c r="K17" s="18">
        <f>I17</f>
        <v>1056494012.25</v>
      </c>
      <c r="L17" s="10">
        <f>K17/G17</f>
        <v>0.66799638560566355</v>
      </c>
      <c r="M17" s="14">
        <f>C17-E17</f>
        <v>4341489310.7799997</v>
      </c>
      <c r="N17" s="15">
        <f t="shared" si="1"/>
        <v>1</v>
      </c>
    </row>
    <row r="18" spans="1:15" s="16" customFormat="1" ht="15" x14ac:dyDescent="0.25">
      <c r="A18" s="5">
        <v>320</v>
      </c>
      <c r="B18" s="6" t="s">
        <v>40</v>
      </c>
      <c r="C18" s="7">
        <f>'SGTO POAI SEPT 30'!BG379</f>
        <v>1903518104</v>
      </c>
      <c r="D18" s="8">
        <v>1</v>
      </c>
      <c r="E18" s="7"/>
      <c r="F18" s="9">
        <f>E18/C18</f>
        <v>0</v>
      </c>
      <c r="G18" s="7">
        <f>'SGTO POAI SEPT 30'!BH379</f>
        <v>1118665528.99</v>
      </c>
      <c r="H18" s="10">
        <f>G18/C18</f>
        <v>0.58768315711800556</v>
      </c>
      <c r="I18" s="17">
        <f>'SGTO POAI SEPT 30'!BI379</f>
        <v>860512826.03999996</v>
      </c>
      <c r="J18" s="10">
        <f>I18/G18</f>
        <v>0.76923155647508312</v>
      </c>
      <c r="K18" s="18">
        <f>I18</f>
        <v>860512826.03999996</v>
      </c>
      <c r="L18" s="10">
        <f>K18/G18</f>
        <v>0.76923155647508312</v>
      </c>
      <c r="M18" s="14">
        <f>C18-E18</f>
        <v>1903518104</v>
      </c>
      <c r="N18" s="15">
        <f t="shared" si="1"/>
        <v>1</v>
      </c>
    </row>
    <row r="19" spans="1:15" s="16" customFormat="1" ht="15" x14ac:dyDescent="0.25">
      <c r="A19" s="5">
        <v>321</v>
      </c>
      <c r="B19" s="19" t="s">
        <v>41</v>
      </c>
      <c r="C19" s="7">
        <v>107000000</v>
      </c>
      <c r="D19" s="8">
        <v>1</v>
      </c>
      <c r="E19" s="7"/>
      <c r="F19" s="9">
        <f>E19/C19</f>
        <v>0</v>
      </c>
      <c r="G19" s="7">
        <f>'SGTO POAI SEPT 30'!BH397</f>
        <v>50006000</v>
      </c>
      <c r="H19" s="10">
        <f>G19/C19</f>
        <v>0.46734579439252338</v>
      </c>
      <c r="I19" s="17">
        <f>'SGTO POAI SEPT 30'!BI397</f>
        <v>26112000</v>
      </c>
      <c r="J19" s="10">
        <f>I19/G19</f>
        <v>0.52217733871935368</v>
      </c>
      <c r="K19" s="17"/>
      <c r="L19" s="10">
        <f>K19/G19</f>
        <v>0</v>
      </c>
      <c r="M19" s="14">
        <f>C19-E19</f>
        <v>107000000</v>
      </c>
      <c r="N19" s="15">
        <f t="shared" si="1"/>
        <v>1</v>
      </c>
    </row>
    <row r="20" spans="1:15" s="30" customFormat="1" ht="32.25" customHeight="1" x14ac:dyDescent="0.25">
      <c r="A20" s="25"/>
      <c r="B20" s="25" t="s">
        <v>42</v>
      </c>
      <c r="C20" s="26">
        <f>SUM(C17:C19)</f>
        <v>6352007414.7799997</v>
      </c>
      <c r="D20" s="27">
        <v>1</v>
      </c>
      <c r="E20" s="26">
        <f>SUM(E17:E19)</f>
        <v>0</v>
      </c>
      <c r="F20" s="28">
        <f>E20/C20</f>
        <v>0</v>
      </c>
      <c r="G20" s="26">
        <f>SUM(G17:G19)</f>
        <v>2750257949.2399998</v>
      </c>
      <c r="H20" s="28">
        <f>G20/C20</f>
        <v>0.4329746125359733</v>
      </c>
      <c r="I20" s="26">
        <f>SUM(I17:I19)</f>
        <v>1943118838.29</v>
      </c>
      <c r="J20" s="28">
        <f>I20/G20</f>
        <v>0.70652239686352225</v>
      </c>
      <c r="K20" s="26">
        <f>SUM(K17:K19)</f>
        <v>1917006838.29</v>
      </c>
      <c r="L20" s="28">
        <f>K20/G20</f>
        <v>0.69702801470667197</v>
      </c>
      <c r="M20" s="26">
        <f>SUM(M17:M19)</f>
        <v>6352007414.7799997</v>
      </c>
      <c r="N20" s="29">
        <f t="shared" si="1"/>
        <v>1</v>
      </c>
    </row>
    <row r="21" spans="1:15" ht="7.5" customHeight="1" x14ac:dyDescent="0.2"/>
    <row r="22" spans="1:15" s="30" customFormat="1" ht="32.25" customHeight="1" x14ac:dyDescent="0.25">
      <c r="A22" s="25"/>
      <c r="B22" s="25" t="s">
        <v>43</v>
      </c>
      <c r="C22" s="26">
        <f>C16+C20</f>
        <v>253814181153.08005</v>
      </c>
      <c r="D22" s="27">
        <v>1</v>
      </c>
      <c r="E22" s="26">
        <f>E16+E20</f>
        <v>172286108441.48999</v>
      </c>
      <c r="F22" s="28">
        <f>E22/C22</f>
        <v>0.67878834688744616</v>
      </c>
      <c r="G22" s="26">
        <f>G16+G20</f>
        <v>166597404958.89999</v>
      </c>
      <c r="H22" s="28">
        <f>G22/C22</f>
        <v>0.65637547989653899</v>
      </c>
      <c r="I22" s="26">
        <f>I16+I20</f>
        <v>140603579492.12003</v>
      </c>
      <c r="J22" s="28">
        <f>I22/G22</f>
        <v>0.84397220669077821</v>
      </c>
      <c r="K22" s="26">
        <f>K16+K20</f>
        <v>140577467492.12003</v>
      </c>
      <c r="L22" s="28">
        <f>K22/G22</f>
        <v>0.84381546955548825</v>
      </c>
      <c r="M22" s="26">
        <f>M16+M20</f>
        <v>81528072711.590012</v>
      </c>
      <c r="N22" s="29">
        <f>M22/C22</f>
        <v>0.32121165311255367</v>
      </c>
    </row>
    <row r="24" spans="1:15" s="32" customFormat="1" x14ac:dyDescent="0.2">
      <c r="A24" s="1"/>
      <c r="B24" s="31"/>
      <c r="C24" s="275"/>
      <c r="D24" s="275"/>
      <c r="E24" s="275"/>
      <c r="F24" s="33"/>
      <c r="N24" s="1"/>
    </row>
    <row r="25" spans="1:15" s="32" customFormat="1" x14ac:dyDescent="0.2">
      <c r="A25" s="1"/>
      <c r="B25" s="31"/>
      <c r="C25" s="489"/>
      <c r="D25" s="34"/>
      <c r="E25" s="34"/>
      <c r="F25" s="34"/>
      <c r="G25" s="490"/>
      <c r="H25" s="490"/>
      <c r="I25" s="490"/>
      <c r="N25" s="1"/>
    </row>
    <row r="26" spans="1:15" s="32" customFormat="1" x14ac:dyDescent="0.2">
      <c r="A26" s="1"/>
      <c r="B26" s="31"/>
      <c r="C26" s="35"/>
      <c r="D26" s="34"/>
      <c r="E26" s="36"/>
      <c r="F26" s="36"/>
      <c r="G26" s="35"/>
      <c r="I26" s="35"/>
      <c r="N26" s="1"/>
    </row>
    <row r="27" spans="1:15" s="32" customFormat="1" x14ac:dyDescent="0.2">
      <c r="A27" s="1"/>
      <c r="B27" s="31"/>
      <c r="C27" s="35"/>
      <c r="D27" s="34"/>
      <c r="E27" s="36"/>
      <c r="F27" s="36"/>
      <c r="N27" s="1"/>
    </row>
    <row r="28" spans="1:15" s="32" customFormat="1" ht="30.75" customHeight="1" x14ac:dyDescent="0.2">
      <c r="A28" s="1"/>
      <c r="B28" s="593" t="s">
        <v>54</v>
      </c>
      <c r="C28" s="593"/>
      <c r="D28" s="593"/>
      <c r="M28" s="593" t="s">
        <v>53</v>
      </c>
      <c r="N28" s="593"/>
      <c r="O28" s="593"/>
    </row>
    <row r="29" spans="1:15" s="32" customFormat="1" ht="15" x14ac:dyDescent="0.25">
      <c r="A29" s="1"/>
      <c r="B29" s="142" t="s">
        <v>44</v>
      </c>
      <c r="C29" s="143" t="s">
        <v>45</v>
      </c>
      <c r="D29" s="144" t="s">
        <v>46</v>
      </c>
      <c r="E29" s="39"/>
      <c r="M29" s="142" t="s">
        <v>44</v>
      </c>
      <c r="N29" s="143" t="s">
        <v>45</v>
      </c>
      <c r="O29" s="144" t="s">
        <v>46</v>
      </c>
    </row>
    <row r="30" spans="1:15" s="32" customFormat="1" ht="15.75" x14ac:dyDescent="0.25">
      <c r="A30" s="1"/>
      <c r="B30" s="145" t="s">
        <v>47</v>
      </c>
      <c r="C30" s="146">
        <f>C16</f>
        <v>247462173738.30005</v>
      </c>
      <c r="D30" s="147">
        <f>C30/C30</f>
        <v>1</v>
      </c>
      <c r="E30" s="39"/>
      <c r="M30" s="145" t="s">
        <v>47</v>
      </c>
      <c r="N30" s="146">
        <f>C22</f>
        <v>253814181153.08005</v>
      </c>
      <c r="O30" s="147">
        <f>N30/N30</f>
        <v>1</v>
      </c>
    </row>
    <row r="31" spans="1:15" s="32" customFormat="1" ht="15.75" x14ac:dyDescent="0.25">
      <c r="A31" s="1"/>
      <c r="B31" s="145" t="s">
        <v>48</v>
      </c>
      <c r="C31" s="146">
        <f>E16</f>
        <v>172286108441.48999</v>
      </c>
      <c r="D31" s="148">
        <f>C31/C30</f>
        <v>0.69621189306972064</v>
      </c>
      <c r="E31" s="39"/>
      <c r="M31" s="145" t="s">
        <v>48</v>
      </c>
      <c r="N31" s="146">
        <f>E22</f>
        <v>172286108441.48999</v>
      </c>
      <c r="O31" s="148">
        <f>N31/N30</f>
        <v>0.67878834688744616</v>
      </c>
    </row>
    <row r="32" spans="1:15" s="32" customFormat="1" ht="15.75" x14ac:dyDescent="0.25">
      <c r="A32" s="1"/>
      <c r="B32" s="145" t="s">
        <v>49</v>
      </c>
      <c r="C32" s="146">
        <f>G16</f>
        <v>163847147009.66</v>
      </c>
      <c r="D32" s="149">
        <f>C32/C30</f>
        <v>0.6621098672758533</v>
      </c>
      <c r="E32" s="39"/>
      <c r="M32" s="145" t="s">
        <v>49</v>
      </c>
      <c r="N32" s="146">
        <f>G22</f>
        <v>166597404958.89999</v>
      </c>
      <c r="O32" s="149">
        <f>N32/N30</f>
        <v>0.65637547989653899</v>
      </c>
    </row>
    <row r="33" spans="1:15" s="32" customFormat="1" ht="15.75" x14ac:dyDescent="0.25">
      <c r="A33" s="1"/>
      <c r="B33" s="145" t="s">
        <v>50</v>
      </c>
      <c r="C33" s="146">
        <f>I16</f>
        <v>138660460653.83002</v>
      </c>
      <c r="D33" s="149">
        <f>C33/C32</f>
        <v>0.84627937186880009</v>
      </c>
      <c r="E33" s="39"/>
      <c r="M33" s="145" t="s">
        <v>50</v>
      </c>
      <c r="N33" s="146">
        <f>I22</f>
        <v>140603579492.12003</v>
      </c>
      <c r="O33" s="149">
        <f>N33/N32</f>
        <v>0.84397220669077821</v>
      </c>
    </row>
    <row r="34" spans="1:15" s="32" customFormat="1" ht="15.75" x14ac:dyDescent="0.25">
      <c r="A34" s="1"/>
      <c r="B34" s="145" t="s">
        <v>51</v>
      </c>
      <c r="C34" s="146">
        <f>K16</f>
        <v>138660460653.83002</v>
      </c>
      <c r="D34" s="149">
        <f>C34/C32</f>
        <v>0.84627937186880009</v>
      </c>
      <c r="E34" s="39"/>
      <c r="M34" s="145" t="s">
        <v>51</v>
      </c>
      <c r="N34" s="146">
        <f>K22</f>
        <v>140577467492.12003</v>
      </c>
      <c r="O34" s="149">
        <f>N34/N32</f>
        <v>0.84381546955548825</v>
      </c>
    </row>
    <row r="35" spans="1:15" ht="15.75" x14ac:dyDescent="0.25">
      <c r="B35" s="150" t="s">
        <v>52</v>
      </c>
      <c r="C35" s="146">
        <f>M16</f>
        <v>75176065296.810013</v>
      </c>
      <c r="D35" s="149">
        <f>C35/C30</f>
        <v>0.30378810693027913</v>
      </c>
      <c r="E35" s="39"/>
      <c r="M35" s="150" t="s">
        <v>52</v>
      </c>
      <c r="N35" s="146">
        <f>M22</f>
        <v>81528072711.590012</v>
      </c>
      <c r="O35" s="149">
        <f>N35/N30</f>
        <v>0.32121165311255367</v>
      </c>
    </row>
    <row r="36" spans="1:15" x14ac:dyDescent="0.2">
      <c r="B36" s="40"/>
      <c r="C36" s="39"/>
      <c r="D36" s="39"/>
      <c r="E36" s="39"/>
    </row>
    <row r="37" spans="1:15" x14ac:dyDescent="0.2">
      <c r="B37" s="41"/>
      <c r="C37" s="34"/>
      <c r="D37" s="42"/>
      <c r="E37" s="39"/>
    </row>
    <row r="38" spans="1:15" x14ac:dyDescent="0.2">
      <c r="B38" s="37"/>
      <c r="C38" s="38"/>
      <c r="D38" s="38"/>
    </row>
    <row r="39" spans="1:15" x14ac:dyDescent="0.2">
      <c r="B39" s="37"/>
      <c r="C39" s="38"/>
      <c r="D39" s="38"/>
    </row>
  </sheetData>
  <sheetProtection password="A60F" sheet="1" objects="1" scenarios="1"/>
  <mergeCells count="3">
    <mergeCell ref="A1:N1"/>
    <mergeCell ref="B28:D28"/>
    <mergeCell ref="M28:O28"/>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SGTO POAI SEPT 30</vt:lpstr>
      <vt:lpstr>LISTA PROYECTOS</vt:lpstr>
      <vt:lpstr>UNIDADES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Fanny Villamil H</cp:lastModifiedBy>
  <dcterms:created xsi:type="dcterms:W3CDTF">2020-07-04T13:49:41Z</dcterms:created>
  <dcterms:modified xsi:type="dcterms:W3CDTF">2021-02-13T01:55:22Z</dcterms:modified>
</cp:coreProperties>
</file>