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ON QUINDIO 2020\SGTO PDD SEP 2020\"/>
    </mc:Choice>
  </mc:AlternateContent>
  <bookViews>
    <workbookView xWindow="0" yWindow="0" windowWidth="24000" windowHeight="9135"/>
  </bookViews>
  <sheets>
    <sheet name="SGTO POAI SEPT 30" sheetId="8" r:id="rId1"/>
    <sheet name="LISTA PROYECTOS" sheetId="7" r:id="rId2"/>
  </sheet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CODIGO_DIVIPOLA">#REF!</definedName>
    <definedName name="DboREGISTRO_LEY_617">#REF!</definedName>
    <definedName name="ññ">#REF!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32" i="8" l="1"/>
  <c r="AE232" i="8"/>
  <c r="AC268" i="8"/>
  <c r="AC267" i="8" s="1"/>
  <c r="AC271" i="8"/>
  <c r="AC270" i="8" s="1"/>
  <c r="AE204" i="8"/>
  <c r="AD204" i="8"/>
  <c r="AB204" i="8"/>
  <c r="X204" i="8"/>
  <c r="W204" i="8"/>
  <c r="U204" i="8"/>
  <c r="T204" i="8"/>
  <c r="S204" i="8"/>
  <c r="AE226" i="8"/>
  <c r="AD226" i="8"/>
  <c r="AB226" i="8"/>
  <c r="AA226" i="8"/>
  <c r="Z226" i="8"/>
  <c r="Y226" i="8"/>
  <c r="X226" i="8"/>
  <c r="W226" i="8"/>
  <c r="V226" i="8"/>
  <c r="U226" i="8"/>
  <c r="T226" i="8"/>
  <c r="S226" i="8"/>
  <c r="AE75" i="8"/>
  <c r="AD75" i="8"/>
  <c r="AC75" i="8"/>
  <c r="AB75" i="8"/>
  <c r="AA75" i="8"/>
  <c r="Z75" i="8"/>
  <c r="Y75" i="8"/>
  <c r="X75" i="8"/>
  <c r="W75" i="8"/>
  <c r="V75" i="8"/>
  <c r="U75" i="8"/>
  <c r="T75" i="8"/>
  <c r="S75" i="8"/>
  <c r="AE73" i="8"/>
  <c r="AD73" i="8"/>
  <c r="AC73" i="8"/>
  <c r="AB73" i="8"/>
  <c r="AA73" i="8"/>
  <c r="Z73" i="8"/>
  <c r="Y73" i="8"/>
  <c r="X73" i="8"/>
  <c r="W73" i="8"/>
  <c r="V73" i="8"/>
  <c r="U73" i="8"/>
  <c r="T73" i="8"/>
  <c r="S73" i="8"/>
  <c r="AE66" i="8"/>
  <c r="AD66" i="8"/>
  <c r="AC66" i="8"/>
  <c r="AB66" i="8"/>
  <c r="AA66" i="8"/>
  <c r="Z66" i="8"/>
  <c r="Y66" i="8"/>
  <c r="X66" i="8"/>
  <c r="W66" i="8"/>
  <c r="V66" i="8"/>
  <c r="U66" i="8"/>
  <c r="T66" i="8"/>
  <c r="AE64" i="8"/>
  <c r="AD64" i="8"/>
  <c r="AC64" i="8"/>
  <c r="AB64" i="8"/>
  <c r="AA64" i="8"/>
  <c r="Z64" i="8"/>
  <c r="Y64" i="8"/>
  <c r="X64" i="8"/>
  <c r="W64" i="8"/>
  <c r="V64" i="8"/>
  <c r="U64" i="8"/>
  <c r="T64" i="8"/>
  <c r="AE62" i="8"/>
  <c r="AD62" i="8"/>
  <c r="AC62" i="8"/>
  <c r="AB62" i="8"/>
  <c r="AA62" i="8"/>
  <c r="Z62" i="8"/>
  <c r="Y62" i="8"/>
  <c r="X62" i="8"/>
  <c r="W62" i="8"/>
  <c r="V62" i="8"/>
  <c r="U62" i="8"/>
  <c r="T62" i="8"/>
  <c r="S62" i="8"/>
  <c r="AE60" i="8"/>
  <c r="AD60" i="8"/>
  <c r="AC60" i="8"/>
  <c r="AB60" i="8"/>
  <c r="AA60" i="8"/>
  <c r="Z60" i="8"/>
  <c r="Y60" i="8"/>
  <c r="X60" i="8"/>
  <c r="W60" i="8"/>
  <c r="V60" i="8"/>
  <c r="U60" i="8"/>
  <c r="T60" i="8"/>
  <c r="S60" i="8"/>
  <c r="AE58" i="8"/>
  <c r="AD58" i="8"/>
  <c r="AB58" i="8"/>
  <c r="AA58" i="8"/>
  <c r="Z58" i="8"/>
  <c r="Y58" i="8"/>
  <c r="X58" i="8"/>
  <c r="W58" i="8"/>
  <c r="V58" i="8"/>
  <c r="T58" i="8"/>
  <c r="S58" i="8"/>
  <c r="AE55" i="8"/>
  <c r="AD55" i="8"/>
  <c r="AC55" i="8"/>
  <c r="AB55" i="8"/>
  <c r="AA55" i="8"/>
  <c r="Z55" i="8"/>
  <c r="Y55" i="8"/>
  <c r="X55" i="8"/>
  <c r="W55" i="8"/>
  <c r="V55" i="8"/>
  <c r="U55" i="8"/>
  <c r="T55" i="8"/>
  <c r="S55" i="8"/>
  <c r="AE53" i="8"/>
  <c r="AD53" i="8"/>
  <c r="AB53" i="8"/>
  <c r="AA53" i="8"/>
  <c r="Z53" i="8"/>
  <c r="Y53" i="8"/>
  <c r="X53" i="8"/>
  <c r="W53" i="8"/>
  <c r="V53" i="8"/>
  <c r="U53" i="8"/>
  <c r="T53" i="8"/>
  <c r="S53" i="8"/>
  <c r="AE50" i="8"/>
  <c r="AD50" i="8"/>
  <c r="AC50" i="8"/>
  <c r="AB50" i="8"/>
  <c r="AA50" i="8"/>
  <c r="Z50" i="8"/>
  <c r="Y50" i="8"/>
  <c r="X50" i="8"/>
  <c r="W50" i="8"/>
  <c r="V50" i="8"/>
  <c r="U50" i="8"/>
  <c r="T50" i="8"/>
  <c r="AE48" i="8"/>
  <c r="AD48" i="8"/>
  <c r="AC48" i="8"/>
  <c r="AB48" i="8"/>
  <c r="AA48" i="8"/>
  <c r="Z48" i="8"/>
  <c r="Y48" i="8"/>
  <c r="X48" i="8"/>
  <c r="W48" i="8"/>
  <c r="V48" i="8"/>
  <c r="U48" i="8"/>
  <c r="T48" i="8"/>
  <c r="AE46" i="8"/>
  <c r="AD46" i="8"/>
  <c r="AB46" i="8"/>
  <c r="AA46" i="8"/>
  <c r="Z46" i="8"/>
  <c r="Y46" i="8"/>
  <c r="X46" i="8"/>
  <c r="W46" i="8"/>
  <c r="V46" i="8"/>
  <c r="U46" i="8"/>
  <c r="T46" i="8"/>
  <c r="S46" i="8"/>
  <c r="AE44" i="8"/>
  <c r="AD44" i="8"/>
  <c r="AC44" i="8"/>
  <c r="AB44" i="8"/>
  <c r="AA44" i="8"/>
  <c r="Z44" i="8"/>
  <c r="Y44" i="8"/>
  <c r="X44" i="8"/>
  <c r="W44" i="8"/>
  <c r="V44" i="8"/>
  <c r="U44" i="8"/>
  <c r="T44" i="8"/>
  <c r="AE42" i="8"/>
  <c r="AD42" i="8"/>
  <c r="AC42" i="8"/>
  <c r="AB42" i="8"/>
  <c r="AA42" i="8"/>
  <c r="Z42" i="8"/>
  <c r="Y42" i="8"/>
  <c r="X42" i="8"/>
  <c r="W42" i="8"/>
  <c r="V42" i="8"/>
  <c r="U42" i="8"/>
  <c r="T42" i="8"/>
  <c r="AE40" i="8"/>
  <c r="AD40" i="8"/>
  <c r="AC40" i="8"/>
  <c r="AB40" i="8"/>
  <c r="AA40" i="8"/>
  <c r="Z40" i="8"/>
  <c r="Y40" i="8"/>
  <c r="X40" i="8"/>
  <c r="W40" i="8"/>
  <c r="V40" i="8"/>
  <c r="U40" i="8"/>
  <c r="T40" i="8"/>
  <c r="S40" i="8"/>
  <c r="AB203" i="8" l="1"/>
  <c r="AB202" i="8" s="1"/>
  <c r="AE203" i="8"/>
  <c r="AE202" i="8" s="1"/>
  <c r="W72" i="8"/>
  <c r="W203" i="8"/>
  <c r="W202" i="8" s="1"/>
  <c r="AE52" i="8"/>
  <c r="W52" i="8"/>
  <c r="T57" i="8"/>
  <c r="AE72" i="8"/>
  <c r="S203" i="8"/>
  <c r="S202" i="8" s="1"/>
  <c r="T52" i="8"/>
  <c r="V72" i="8"/>
  <c r="Z72" i="8"/>
  <c r="AD72" i="8"/>
  <c r="Y39" i="8"/>
  <c r="U203" i="8"/>
  <c r="U202" i="8" s="1"/>
  <c r="T203" i="8"/>
  <c r="T202" i="8" s="1"/>
  <c r="U39" i="8"/>
  <c r="X52" i="8"/>
  <c r="AB52" i="8"/>
  <c r="X57" i="8"/>
  <c r="X203" i="8"/>
  <c r="X202" i="8" s="1"/>
  <c r="S52" i="8"/>
  <c r="AA52" i="8"/>
  <c r="U72" i="8"/>
  <c r="Y72" i="8"/>
  <c r="AC72" i="8"/>
  <c r="S72" i="8"/>
  <c r="AA72" i="8"/>
  <c r="AD203" i="8"/>
  <c r="AD202" i="8" s="1"/>
  <c r="AB57" i="8"/>
  <c r="T72" i="8"/>
  <c r="X72" i="8"/>
  <c r="AB72" i="8"/>
  <c r="AE57" i="8"/>
  <c r="Y57" i="8"/>
  <c r="W57" i="8"/>
  <c r="AA57" i="8"/>
  <c r="V57" i="8"/>
  <c r="Z57" i="8"/>
  <c r="AD57" i="8"/>
  <c r="V52" i="8"/>
  <c r="Z52" i="8"/>
  <c r="AD52" i="8"/>
  <c r="U52" i="8"/>
  <c r="Y52" i="8"/>
  <c r="T39" i="8"/>
  <c r="X39" i="8"/>
  <c r="AB39" i="8"/>
  <c r="W39" i="8"/>
  <c r="AA39" i="8"/>
  <c r="AE39" i="8"/>
  <c r="V39" i="8"/>
  <c r="Z39" i="8"/>
  <c r="AD39" i="8"/>
  <c r="AA38" i="8" l="1"/>
  <c r="X38" i="8"/>
  <c r="T38" i="8"/>
  <c r="Y38" i="8"/>
  <c r="V38" i="8"/>
  <c r="AB38" i="8"/>
  <c r="AE38" i="8"/>
  <c r="AD38" i="8"/>
  <c r="Z38" i="8"/>
  <c r="W38" i="8"/>
  <c r="AC102" i="8" l="1"/>
  <c r="T353" i="8" l="1"/>
  <c r="U353" i="8"/>
  <c r="V353" i="8"/>
  <c r="W353" i="8"/>
  <c r="X353" i="8"/>
  <c r="Y353" i="8"/>
  <c r="Z353" i="8"/>
  <c r="AA353" i="8"/>
  <c r="AB353" i="8"/>
  <c r="AD353" i="8"/>
  <c r="AE353" i="8"/>
  <c r="S353" i="8"/>
  <c r="X281" i="8" l="1"/>
  <c r="AF171" i="8" l="1"/>
  <c r="AC170" i="8"/>
  <c r="AC169" i="8" s="1"/>
  <c r="AC107" i="8" l="1"/>
  <c r="E175" i="7" l="1"/>
  <c r="D175" i="7"/>
  <c r="T276" i="8" l="1"/>
  <c r="U276" i="8"/>
  <c r="V276" i="8"/>
  <c r="Y276" i="8"/>
  <c r="Z276" i="8"/>
  <c r="AA276" i="8"/>
  <c r="AB276" i="8"/>
  <c r="AD276" i="8"/>
  <c r="AE276" i="8"/>
  <c r="AF192" i="8" l="1"/>
  <c r="F87" i="7" s="1"/>
  <c r="AF190" i="8"/>
  <c r="F86" i="7" s="1"/>
  <c r="AF188" i="8"/>
  <c r="F85" i="7" s="1"/>
  <c r="AF186" i="8"/>
  <c r="F84" i="7" s="1"/>
  <c r="AF185" i="8"/>
  <c r="F83" i="7" s="1"/>
  <c r="AF182" i="8"/>
  <c r="F81" i="7" s="1"/>
  <c r="AF180" i="8"/>
  <c r="F80" i="7" s="1"/>
  <c r="AF176" i="8"/>
  <c r="AF168" i="8"/>
  <c r="F76" i="7" s="1"/>
  <c r="AF164" i="8"/>
  <c r="AF159" i="8"/>
  <c r="F72" i="7" s="1"/>
  <c r="AF158" i="8"/>
  <c r="AF157" i="8"/>
  <c r="AF153" i="8"/>
  <c r="AF151" i="8"/>
  <c r="F68" i="7" s="1"/>
  <c r="AD148" i="8"/>
  <c r="AE148" i="8"/>
  <c r="AD199" i="8" l="1"/>
  <c r="AF402" i="8" l="1"/>
  <c r="AF401" i="8"/>
  <c r="AF400" i="8"/>
  <c r="AF399" i="8"/>
  <c r="AE398" i="8"/>
  <c r="AE397" i="8" s="1"/>
  <c r="AE396" i="8" s="1"/>
  <c r="AD398" i="8"/>
  <c r="AD397" i="8" s="1"/>
  <c r="AC398" i="8"/>
  <c r="AC397" i="8" s="1"/>
  <c r="AC396" i="8" s="1"/>
  <c r="AB398" i="8"/>
  <c r="AB397" i="8" s="1"/>
  <c r="AB396" i="8" s="1"/>
  <c r="AA398" i="8"/>
  <c r="AA397" i="8" s="1"/>
  <c r="AA396" i="8" s="1"/>
  <c r="Z398" i="8"/>
  <c r="Z397" i="8" s="1"/>
  <c r="Z396" i="8" s="1"/>
  <c r="Y398" i="8"/>
  <c r="Y397" i="8" s="1"/>
  <c r="X398" i="8"/>
  <c r="X397" i="8" s="1"/>
  <c r="X396" i="8" s="1"/>
  <c r="W398" i="8"/>
  <c r="W397" i="8" s="1"/>
  <c r="W396" i="8" s="1"/>
  <c r="V398" i="8"/>
  <c r="V397" i="8" s="1"/>
  <c r="V396" i="8" s="1"/>
  <c r="U398" i="8"/>
  <c r="U397" i="8" s="1"/>
  <c r="U396" i="8" s="1"/>
  <c r="T398" i="8"/>
  <c r="T397" i="8" s="1"/>
  <c r="T396" i="8" s="1"/>
  <c r="S398" i="8"/>
  <c r="S397" i="8" s="1"/>
  <c r="S396" i="8" s="1"/>
  <c r="AD396" i="8"/>
  <c r="Y396" i="8"/>
  <c r="AD394" i="8"/>
  <c r="AE393" i="8"/>
  <c r="AC393" i="8"/>
  <c r="AB393" i="8"/>
  <c r="AB392" i="8" s="1"/>
  <c r="AA393" i="8"/>
  <c r="AA392" i="8" s="1"/>
  <c r="Z393" i="8"/>
  <c r="Z392" i="8" s="1"/>
  <c r="Y393" i="8"/>
  <c r="Y392" i="8" s="1"/>
  <c r="X393" i="8"/>
  <c r="X392" i="8" s="1"/>
  <c r="W393" i="8"/>
  <c r="W392" i="8" s="1"/>
  <c r="V393" i="8"/>
  <c r="V392" i="8" s="1"/>
  <c r="U393" i="8"/>
  <c r="U392" i="8" s="1"/>
  <c r="T393" i="8"/>
  <c r="T392" i="8" s="1"/>
  <c r="S393" i="8"/>
  <c r="S392" i="8" s="1"/>
  <c r="AE392" i="8"/>
  <c r="AC392" i="8"/>
  <c r="AF391" i="8"/>
  <c r="AF390" i="8"/>
  <c r="AF389" i="8"/>
  <c r="AF388" i="8"/>
  <c r="AE387" i="8"/>
  <c r="AD387" i="8"/>
  <c r="AC387" i="8"/>
  <c r="AB387" i="8"/>
  <c r="AA387" i="8"/>
  <c r="Z387" i="8"/>
  <c r="Y387" i="8"/>
  <c r="X387" i="8"/>
  <c r="W387" i="8"/>
  <c r="V387" i="8"/>
  <c r="U387" i="8"/>
  <c r="T387" i="8"/>
  <c r="S387" i="8"/>
  <c r="AF386" i="8"/>
  <c r="AE385" i="8"/>
  <c r="AD385" i="8"/>
  <c r="AC385" i="8"/>
  <c r="AB385" i="8"/>
  <c r="AA385" i="8"/>
  <c r="Z385" i="8"/>
  <c r="Y385" i="8"/>
  <c r="X385" i="8"/>
  <c r="W385" i="8"/>
  <c r="W384" i="8" s="1"/>
  <c r="V385" i="8"/>
  <c r="U385" i="8"/>
  <c r="T385" i="8"/>
  <c r="S385" i="8"/>
  <c r="S384" i="8" s="1"/>
  <c r="AD383" i="8"/>
  <c r="S383" i="8"/>
  <c r="AE382" i="8"/>
  <c r="AC382" i="8"/>
  <c r="AB382" i="8"/>
  <c r="AA382" i="8"/>
  <c r="Z382" i="8"/>
  <c r="Y382" i="8"/>
  <c r="X382" i="8"/>
  <c r="W382" i="8"/>
  <c r="V382" i="8"/>
  <c r="U382" i="8"/>
  <c r="T382" i="8"/>
  <c r="S381" i="8"/>
  <c r="AF381" i="8" s="1"/>
  <c r="AE380" i="8"/>
  <c r="AD380" i="8"/>
  <c r="AC380" i="8"/>
  <c r="AB380" i="8"/>
  <c r="AA380" i="8"/>
  <c r="Z380" i="8"/>
  <c r="Y380" i="8"/>
  <c r="X380" i="8"/>
  <c r="W380" i="8"/>
  <c r="V380" i="8"/>
  <c r="U380" i="8"/>
  <c r="T380" i="8"/>
  <c r="AE379" i="8"/>
  <c r="AC379" i="8"/>
  <c r="AB379" i="8"/>
  <c r="AA379" i="8"/>
  <c r="Z379" i="8"/>
  <c r="Y379" i="8"/>
  <c r="X379" i="8"/>
  <c r="W379" i="8"/>
  <c r="V379" i="8"/>
  <c r="U379" i="8"/>
  <c r="T379" i="8"/>
  <c r="AF376" i="8"/>
  <c r="F175" i="7" s="1"/>
  <c r="AD375" i="8"/>
  <c r="AF375" i="8" s="1"/>
  <c r="F174" i="7" s="1"/>
  <c r="AF374" i="8"/>
  <c r="F173" i="7" s="1"/>
  <c r="AE373" i="8"/>
  <c r="AC373" i="8"/>
  <c r="AB373" i="8"/>
  <c r="AA373" i="8"/>
  <c r="Z373" i="8"/>
  <c r="Y373" i="8"/>
  <c r="X373" i="8"/>
  <c r="W373" i="8"/>
  <c r="V373" i="8"/>
  <c r="U373" i="8"/>
  <c r="T373" i="8"/>
  <c r="S373" i="8"/>
  <c r="AF372" i="8"/>
  <c r="AF370" i="8"/>
  <c r="AF369" i="8"/>
  <c r="AD368" i="8"/>
  <c r="AF368" i="8" s="1"/>
  <c r="F171" i="7" s="1"/>
  <c r="AF367" i="8"/>
  <c r="AF366" i="8"/>
  <c r="AD365" i="8"/>
  <c r="AF365" i="8" s="1"/>
  <c r="AD364" i="8"/>
  <c r="AF364" i="8" s="1"/>
  <c r="AD363" i="8"/>
  <c r="AF363" i="8" s="1"/>
  <c r="F168" i="7" s="1"/>
  <c r="AF362" i="8"/>
  <c r="AD361" i="8"/>
  <c r="AF361" i="8" s="1"/>
  <c r="AE360" i="8"/>
  <c r="AB360" i="8"/>
  <c r="AA360" i="8"/>
  <c r="Z360" i="8"/>
  <c r="Y360" i="8"/>
  <c r="X360" i="8"/>
  <c r="W360" i="8"/>
  <c r="V360" i="8"/>
  <c r="U360" i="8"/>
  <c r="T360" i="8"/>
  <c r="S360" i="8"/>
  <c r="AC355" i="8"/>
  <c r="AE352" i="8"/>
  <c r="AD352" i="8"/>
  <c r="AB352" i="8"/>
  <c r="AA352" i="8"/>
  <c r="X352" i="8"/>
  <c r="W352" i="8"/>
  <c r="V352" i="8"/>
  <c r="U352" i="8"/>
  <c r="T352" i="8"/>
  <c r="S352" i="8"/>
  <c r="Z352" i="8"/>
  <c r="Y352" i="8"/>
  <c r="AF351" i="8"/>
  <c r="F162" i="7" s="1"/>
  <c r="AE350" i="8"/>
  <c r="AD350" i="8"/>
  <c r="AC350" i="8"/>
  <c r="AB350" i="8"/>
  <c r="AA350" i="8"/>
  <c r="Z350" i="8"/>
  <c r="Y350" i="8"/>
  <c r="X350" i="8"/>
  <c r="W350" i="8"/>
  <c r="V350" i="8"/>
  <c r="U350" i="8"/>
  <c r="T350" i="8"/>
  <c r="S350" i="8"/>
  <c r="AC349" i="8"/>
  <c r="AC348" i="8" s="1"/>
  <c r="AE348" i="8"/>
  <c r="AD348" i="8"/>
  <c r="AD347" i="8" s="1"/>
  <c r="AB348" i="8"/>
  <c r="AA348" i="8"/>
  <c r="Z348" i="8"/>
  <c r="Y348" i="8"/>
  <c r="X348" i="8"/>
  <c r="W348" i="8"/>
  <c r="V348" i="8"/>
  <c r="U348" i="8"/>
  <c r="T348" i="8"/>
  <c r="S348" i="8"/>
  <c r="AF346" i="8"/>
  <c r="F160" i="7" s="1"/>
  <c r="AE345" i="8"/>
  <c r="AD345" i="8"/>
  <c r="AC345" i="8"/>
  <c r="AB345" i="8"/>
  <c r="AA345" i="8"/>
  <c r="Z345" i="8"/>
  <c r="Y345" i="8"/>
  <c r="X345" i="8"/>
  <c r="W345" i="8"/>
  <c r="V345" i="8"/>
  <c r="U345" i="8"/>
  <c r="T345" i="8"/>
  <c r="S345" i="8"/>
  <c r="AC344" i="8"/>
  <c r="AF344" i="8" s="1"/>
  <c r="AC343" i="8"/>
  <c r="AF343" i="8" s="1"/>
  <c r="AE342" i="8"/>
  <c r="AD342" i="8"/>
  <c r="AB342" i="8"/>
  <c r="AA342" i="8"/>
  <c r="Z342" i="8"/>
  <c r="Y342" i="8"/>
  <c r="X342" i="8"/>
  <c r="W342" i="8"/>
  <c r="V342" i="8"/>
  <c r="U342" i="8"/>
  <c r="T342" i="8"/>
  <c r="S342" i="8"/>
  <c r="AC338" i="8"/>
  <c r="AC331" i="8" s="1"/>
  <c r="W338" i="8"/>
  <c r="AE337" i="8"/>
  <c r="X337" i="8"/>
  <c r="W337" i="8"/>
  <c r="W336" i="8"/>
  <c r="AF336" i="8" s="1"/>
  <c r="AE334" i="8"/>
  <c r="AF334" i="8" s="1"/>
  <c r="X333" i="8"/>
  <c r="AF333" i="8" s="1"/>
  <c r="AF332" i="8"/>
  <c r="AD331" i="8"/>
  <c r="AB331" i="8"/>
  <c r="AA331" i="8"/>
  <c r="Z331" i="8"/>
  <c r="Y331" i="8"/>
  <c r="V331" i="8"/>
  <c r="U331" i="8"/>
  <c r="T331" i="8"/>
  <c r="S331" i="8"/>
  <c r="W330" i="8"/>
  <c r="AF330" i="8" s="1"/>
  <c r="F154" i="7" s="1"/>
  <c r="AC329" i="8"/>
  <c r="AF329" i="8" s="1"/>
  <c r="F153" i="7" s="1"/>
  <c r="W328" i="8"/>
  <c r="AF328" i="8" s="1"/>
  <c r="F152" i="7" s="1"/>
  <c r="W327" i="8"/>
  <c r="AF327" i="8" s="1"/>
  <c r="F151" i="7" s="1"/>
  <c r="W326" i="8"/>
  <c r="AF326" i="8" s="1"/>
  <c r="W325" i="8"/>
  <c r="AF325" i="8" s="1"/>
  <c r="AF324" i="8"/>
  <c r="F149" i="7" s="1"/>
  <c r="AE323" i="8"/>
  <c r="AF323" i="8" s="1"/>
  <c r="W322" i="8"/>
  <c r="AF322" i="8" s="1"/>
  <c r="AE321" i="8"/>
  <c r="AE320" i="8"/>
  <c r="AC320" i="8"/>
  <c r="W320" i="8"/>
  <c r="AC319" i="8"/>
  <c r="W318" i="8"/>
  <c r="AF318" i="8" s="1"/>
  <c r="AF317" i="8"/>
  <c r="W316" i="8"/>
  <c r="AF316" i="8" s="1"/>
  <c r="AF315" i="8"/>
  <c r="W314" i="8"/>
  <c r="AF314" i="8" s="1"/>
  <c r="W313" i="8"/>
  <c r="AF313" i="8" s="1"/>
  <c r="W312" i="8"/>
  <c r="AF312" i="8" s="1"/>
  <c r="W311" i="8"/>
  <c r="AF311" i="8" s="1"/>
  <c r="W310" i="8"/>
  <c r="AF310" i="8" s="1"/>
  <c r="W309" i="8"/>
  <c r="AF309" i="8" s="1"/>
  <c r="W308" i="8"/>
  <c r="AF308" i="8" s="1"/>
  <c r="AF307" i="8"/>
  <c r="W306" i="8"/>
  <c r="AF306" i="8" s="1"/>
  <c r="W305" i="8"/>
  <c r="AF305" i="8" s="1"/>
  <c r="W304" i="8"/>
  <c r="AF304" i="8" s="1"/>
  <c r="W303" i="8"/>
  <c r="AF303" i="8" s="1"/>
  <c r="W302" i="8"/>
  <c r="AF302" i="8" s="1"/>
  <c r="AF301" i="8"/>
  <c r="AD300" i="8"/>
  <c r="AB300" i="8"/>
  <c r="AA300" i="8"/>
  <c r="Z300" i="8"/>
  <c r="Y300" i="8"/>
  <c r="X300" i="8"/>
  <c r="V300" i="8"/>
  <c r="U300" i="8"/>
  <c r="T300" i="8"/>
  <c r="S300" i="8"/>
  <c r="X299" i="8"/>
  <c r="AF299" i="8" s="1"/>
  <c r="X298" i="8"/>
  <c r="AF298" i="8" s="1"/>
  <c r="X297" i="8"/>
  <c r="AF296" i="8"/>
  <c r="AF295" i="8"/>
  <c r="AF294" i="8"/>
  <c r="AF293" i="8"/>
  <c r="AC292" i="8"/>
  <c r="AF292" i="8" s="1"/>
  <c r="AF291" i="8"/>
  <c r="F138" i="7" s="1"/>
  <c r="W290" i="8"/>
  <c r="AF290" i="8" s="1"/>
  <c r="F137" i="7" s="1"/>
  <c r="AF289" i="8"/>
  <c r="W288" i="8"/>
  <c r="AF288" i="8" s="1"/>
  <c r="AC287" i="8"/>
  <c r="W287" i="8"/>
  <c r="W286" i="8"/>
  <c r="AF286" i="8" s="1"/>
  <c r="AF285" i="8"/>
  <c r="AF284" i="8"/>
  <c r="W283" i="8"/>
  <c r="AF283" i="8" s="1"/>
  <c r="W282" i="8"/>
  <c r="AF282" i="8" s="1"/>
  <c r="W280" i="8"/>
  <c r="AF280" i="8" s="1"/>
  <c r="W279" i="8"/>
  <c r="AF279" i="8" s="1"/>
  <c r="AC278" i="8"/>
  <c r="W278" i="8"/>
  <c r="W277" i="8"/>
  <c r="S276" i="8"/>
  <c r="AF272" i="8"/>
  <c r="AE271" i="8"/>
  <c r="AE270" i="8" s="1"/>
  <c r="AD271" i="8"/>
  <c r="AD270" i="8" s="1"/>
  <c r="AB271" i="8"/>
  <c r="AB270" i="8" s="1"/>
  <c r="AA271" i="8"/>
  <c r="AA270" i="8" s="1"/>
  <c r="Z271" i="8"/>
  <c r="Z270" i="8" s="1"/>
  <c r="Y271" i="8"/>
  <c r="Y270" i="8" s="1"/>
  <c r="X271" i="8"/>
  <c r="X270" i="8" s="1"/>
  <c r="W271" i="8"/>
  <c r="W270" i="8" s="1"/>
  <c r="V271" i="8"/>
  <c r="V270" i="8" s="1"/>
  <c r="U271" i="8"/>
  <c r="U270" i="8" s="1"/>
  <c r="T271" i="8"/>
  <c r="T270" i="8" s="1"/>
  <c r="S271" i="8"/>
  <c r="S270" i="8" s="1"/>
  <c r="AF269" i="8"/>
  <c r="AF268" i="8" s="1"/>
  <c r="AF267" i="8" s="1"/>
  <c r="AE268" i="8"/>
  <c r="AE267" i="8" s="1"/>
  <c r="AD268" i="8"/>
  <c r="AD267" i="8" s="1"/>
  <c r="AB268" i="8"/>
  <c r="AB267" i="8" s="1"/>
  <c r="AA268" i="8"/>
  <c r="AA267" i="8" s="1"/>
  <c r="Z268" i="8"/>
  <c r="Z267" i="8" s="1"/>
  <c r="Y268" i="8"/>
  <c r="Y267" i="8" s="1"/>
  <c r="X268" i="8"/>
  <c r="X267" i="8" s="1"/>
  <c r="W268" i="8"/>
  <c r="W267" i="8" s="1"/>
  <c r="V268" i="8"/>
  <c r="V267" i="8" s="1"/>
  <c r="U268" i="8"/>
  <c r="U267" i="8" s="1"/>
  <c r="T268" i="8"/>
  <c r="T267" i="8" s="1"/>
  <c r="S268" i="8"/>
  <c r="S267" i="8" s="1"/>
  <c r="AF266" i="8"/>
  <c r="F129" i="7" s="1"/>
  <c r="AC265" i="8"/>
  <c r="AC264" i="8" s="1"/>
  <c r="AE264" i="8"/>
  <c r="AD264" i="8"/>
  <c r="AB264" i="8"/>
  <c r="AA264" i="8"/>
  <c r="Z264" i="8"/>
  <c r="Y264" i="8"/>
  <c r="X264" i="8"/>
  <c r="W264" i="8"/>
  <c r="V264" i="8"/>
  <c r="U264" i="8"/>
  <c r="T264" i="8"/>
  <c r="S264" i="8"/>
  <c r="AF263" i="8"/>
  <c r="F127" i="7" s="1"/>
  <c r="AF262" i="8"/>
  <c r="AF261" i="8"/>
  <c r="AF260" i="8"/>
  <c r="AC259" i="8"/>
  <c r="AF259" i="8" s="1"/>
  <c r="F125" i="7" s="1"/>
  <c r="AC258" i="8"/>
  <c r="AF257" i="8"/>
  <c r="F123" i="7" s="1"/>
  <c r="AF256" i="8"/>
  <c r="AF255" i="8"/>
  <c r="AE254" i="8"/>
  <c r="AD254" i="8"/>
  <c r="AB254" i="8"/>
  <c r="AA254" i="8"/>
  <c r="Z254" i="8"/>
  <c r="Y254" i="8"/>
  <c r="X254" i="8"/>
  <c r="W254" i="8"/>
  <c r="V254" i="8"/>
  <c r="U254" i="8"/>
  <c r="T254" i="8"/>
  <c r="S254" i="8"/>
  <c r="AC253" i="8"/>
  <c r="AC246" i="8" s="1"/>
  <c r="AF252" i="8"/>
  <c r="AF251" i="8"/>
  <c r="AF250" i="8"/>
  <c r="F119" i="7" s="1"/>
  <c r="AF249" i="8"/>
  <c r="F118" i="7" s="1"/>
  <c r="AF248" i="8"/>
  <c r="F117" i="7" s="1"/>
  <c r="AF247" i="8"/>
  <c r="AE246" i="8"/>
  <c r="AD246" i="8"/>
  <c r="AB246" i="8"/>
  <c r="AA246" i="8"/>
  <c r="Z246" i="8"/>
  <c r="Y246" i="8"/>
  <c r="X246" i="8"/>
  <c r="W246" i="8"/>
  <c r="V246" i="8"/>
  <c r="U246" i="8"/>
  <c r="T246" i="8"/>
  <c r="S246" i="8"/>
  <c r="AF245" i="8"/>
  <c r="F115" i="7" s="1"/>
  <c r="AF244" i="8"/>
  <c r="F114" i="7" s="1"/>
  <c r="AF243" i="8"/>
  <c r="F113" i="7" s="1"/>
  <c r="AC242" i="8"/>
  <c r="AF242" i="8" s="1"/>
  <c r="F112" i="7" s="1"/>
  <c r="AC241" i="8"/>
  <c r="AF241" i="8" s="1"/>
  <c r="F111" i="7" s="1"/>
  <c r="AC240" i="8"/>
  <c r="AF239" i="8"/>
  <c r="AF238" i="8"/>
  <c r="AE237" i="8"/>
  <c r="AD237" i="8"/>
  <c r="AB237" i="8"/>
  <c r="AA237" i="8"/>
  <c r="Z237" i="8"/>
  <c r="Y237" i="8"/>
  <c r="X237" i="8"/>
  <c r="W237" i="8"/>
  <c r="V237" i="8"/>
  <c r="U237" i="8"/>
  <c r="T237" i="8"/>
  <c r="S237" i="8"/>
  <c r="AC236" i="8"/>
  <c r="AE235" i="8"/>
  <c r="AD235" i="8"/>
  <c r="AB235" i="8"/>
  <c r="AA235" i="8"/>
  <c r="Z235" i="8"/>
  <c r="Y235" i="8"/>
  <c r="X235" i="8"/>
  <c r="W235" i="8"/>
  <c r="V235" i="8"/>
  <c r="U235" i="8"/>
  <c r="T235" i="8"/>
  <c r="S235" i="8"/>
  <c r="AC234" i="8"/>
  <c r="AF234" i="8" s="1"/>
  <c r="AC233" i="8"/>
  <c r="AB232" i="8"/>
  <c r="AA232" i="8"/>
  <c r="Z232" i="8"/>
  <c r="Y232" i="8"/>
  <c r="X232" i="8"/>
  <c r="W232" i="8"/>
  <c r="V232" i="8"/>
  <c r="U232" i="8"/>
  <c r="T232" i="8"/>
  <c r="S232" i="8"/>
  <c r="AC228" i="8"/>
  <c r="AF228" i="8" s="1"/>
  <c r="F105" i="7" s="1"/>
  <c r="AC227" i="8"/>
  <c r="AF225" i="8"/>
  <c r="F103" i="7" s="1"/>
  <c r="AF224" i="8"/>
  <c r="AF223" i="8"/>
  <c r="AC222" i="8"/>
  <c r="AF222" i="8" s="1"/>
  <c r="AF220" i="8"/>
  <c r="F101" i="7" s="1"/>
  <c r="AC219" i="8"/>
  <c r="AF219" i="8" s="1"/>
  <c r="F100" i="7" s="1"/>
  <c r="AF218" i="8"/>
  <c r="F99" i="7" s="1"/>
  <c r="AF217" i="8"/>
  <c r="F98" i="7" s="1"/>
  <c r="AF216" i="8"/>
  <c r="AC215" i="8"/>
  <c r="AF215" i="8" s="1"/>
  <c r="AC214" i="8"/>
  <c r="AF214" i="8" s="1"/>
  <c r="AC213" i="8"/>
  <c r="AF213" i="8" s="1"/>
  <c r="AF212" i="8"/>
  <c r="AF211" i="8"/>
  <c r="AF210" i="8"/>
  <c r="F96" i="7" s="1"/>
  <c r="Z209" i="8"/>
  <c r="Z204" i="8" s="1"/>
  <c r="Z203" i="8" s="1"/>
  <c r="Z202" i="8" s="1"/>
  <c r="Y209" i="8"/>
  <c r="Y204" i="8" s="1"/>
  <c r="Y203" i="8" s="1"/>
  <c r="Y202" i="8" s="1"/>
  <c r="AF208" i="8"/>
  <c r="AF207" i="8"/>
  <c r="AA206" i="8"/>
  <c r="AA204" i="8" s="1"/>
  <c r="AA203" i="8" s="1"/>
  <c r="AA202" i="8" s="1"/>
  <c r="V206" i="8"/>
  <c r="AC205" i="8"/>
  <c r="V205" i="8"/>
  <c r="V204" i="8" s="1"/>
  <c r="V203" i="8" s="1"/>
  <c r="V202" i="8" s="1"/>
  <c r="AF200" i="8"/>
  <c r="AE199" i="8"/>
  <c r="AC199" i="8"/>
  <c r="AB199" i="8"/>
  <c r="AA199" i="8"/>
  <c r="Z199" i="8"/>
  <c r="Y199" i="8"/>
  <c r="X199" i="8"/>
  <c r="W199" i="8"/>
  <c r="V199" i="8"/>
  <c r="U199" i="8"/>
  <c r="T199" i="8"/>
  <c r="S199" i="8"/>
  <c r="AC198" i="8"/>
  <c r="AC196" i="8" s="1"/>
  <c r="AF197" i="8"/>
  <c r="F89" i="7" s="1"/>
  <c r="AE196" i="8"/>
  <c r="AD196" i="8"/>
  <c r="AD195" i="8" s="1"/>
  <c r="AD194" i="8" s="1"/>
  <c r="AB196" i="8"/>
  <c r="AA196" i="8"/>
  <c r="Z196" i="8"/>
  <c r="Y196" i="8"/>
  <c r="X196" i="8"/>
  <c r="W196" i="8"/>
  <c r="V196" i="8"/>
  <c r="U196" i="8"/>
  <c r="T196" i="8"/>
  <c r="S196" i="8"/>
  <c r="AF191" i="8"/>
  <c r="AE191" i="8"/>
  <c r="AD191" i="8"/>
  <c r="AC191" i="8"/>
  <c r="AB191" i="8"/>
  <c r="AA191" i="8"/>
  <c r="Z191" i="8"/>
  <c r="Y191" i="8"/>
  <c r="X191" i="8"/>
  <c r="W191" i="8"/>
  <c r="V191" i="8"/>
  <c r="U191" i="8"/>
  <c r="T191" i="8"/>
  <c r="S191" i="8"/>
  <c r="AF189" i="8"/>
  <c r="AE189" i="8"/>
  <c r="AD189" i="8"/>
  <c r="AC189" i="8"/>
  <c r="AB189" i="8"/>
  <c r="AA189" i="8"/>
  <c r="Z189" i="8"/>
  <c r="Y189" i="8"/>
  <c r="X189" i="8"/>
  <c r="W189" i="8"/>
  <c r="V189" i="8"/>
  <c r="U189" i="8"/>
  <c r="T189" i="8"/>
  <c r="S189" i="8"/>
  <c r="AF187" i="8"/>
  <c r="AE187" i="8"/>
  <c r="AD187" i="8"/>
  <c r="AC187" i="8"/>
  <c r="AB187" i="8"/>
  <c r="AA187" i="8"/>
  <c r="Z187" i="8"/>
  <c r="Y187" i="8"/>
  <c r="X187" i="8"/>
  <c r="W187" i="8"/>
  <c r="V187" i="8"/>
  <c r="U187" i="8"/>
  <c r="T187" i="8"/>
  <c r="S187" i="8"/>
  <c r="AC184" i="8"/>
  <c r="AF184" i="8" s="1"/>
  <c r="AC183" i="8"/>
  <c r="AE181" i="8"/>
  <c r="AD181" i="8"/>
  <c r="AB181" i="8"/>
  <c r="AA181" i="8"/>
  <c r="Z181" i="8"/>
  <c r="Y181" i="8"/>
  <c r="X181" i="8"/>
  <c r="W181" i="8"/>
  <c r="V181" i="8"/>
  <c r="U181" i="8"/>
  <c r="T181" i="8"/>
  <c r="S181" i="8"/>
  <c r="AF179" i="8"/>
  <c r="AE179" i="8"/>
  <c r="AD179" i="8"/>
  <c r="AC179" i="8"/>
  <c r="AB179" i="8"/>
  <c r="AA179" i="8"/>
  <c r="Z179" i="8"/>
  <c r="Y179" i="8"/>
  <c r="X179" i="8"/>
  <c r="W179" i="8"/>
  <c r="V179" i="8"/>
  <c r="U179" i="8"/>
  <c r="T179" i="8"/>
  <c r="S179" i="8"/>
  <c r="AC177" i="8"/>
  <c r="AF177" i="8" s="1"/>
  <c r="F79" i="7" s="1"/>
  <c r="AE175" i="8"/>
  <c r="AD175" i="8"/>
  <c r="AB175" i="8"/>
  <c r="AA175" i="8"/>
  <c r="Z175" i="8"/>
  <c r="Y175" i="8"/>
  <c r="X175" i="8"/>
  <c r="W175" i="8"/>
  <c r="V175" i="8"/>
  <c r="U175" i="8"/>
  <c r="T175" i="8"/>
  <c r="S175" i="8"/>
  <c r="AC174" i="8"/>
  <c r="AF174" i="8" s="1"/>
  <c r="AC173" i="8"/>
  <c r="AF173" i="8" s="1"/>
  <c r="AE172" i="8"/>
  <c r="AD172" i="8"/>
  <c r="AB172" i="8"/>
  <c r="AA172" i="8"/>
  <c r="Z172" i="8"/>
  <c r="Y172" i="8"/>
  <c r="X172" i="8"/>
  <c r="W172" i="8"/>
  <c r="V172" i="8"/>
  <c r="U172" i="8"/>
  <c r="T172" i="8"/>
  <c r="S172" i="8"/>
  <c r="AE169" i="8"/>
  <c r="AD169" i="8"/>
  <c r="AB169" i="8"/>
  <c r="AA169" i="8"/>
  <c r="Z169" i="8"/>
  <c r="Y169" i="8"/>
  <c r="X169" i="8"/>
  <c r="W169" i="8"/>
  <c r="V169" i="8"/>
  <c r="U169" i="8"/>
  <c r="T169" i="8"/>
  <c r="S169" i="8"/>
  <c r="AF167" i="8"/>
  <c r="AE167" i="8"/>
  <c r="AD167" i="8"/>
  <c r="AC167" i="8"/>
  <c r="AB167" i="8"/>
  <c r="AA167" i="8"/>
  <c r="Z167" i="8"/>
  <c r="Y167" i="8"/>
  <c r="X167" i="8"/>
  <c r="W167" i="8"/>
  <c r="V167" i="8"/>
  <c r="U167" i="8"/>
  <c r="T167" i="8"/>
  <c r="S167" i="8"/>
  <c r="AC166" i="8"/>
  <c r="AF166" i="8" s="1"/>
  <c r="F75" i="7" s="1"/>
  <c r="AE165" i="8"/>
  <c r="AD165" i="8"/>
  <c r="AB165" i="8"/>
  <c r="AA165" i="8"/>
  <c r="Z165" i="8"/>
  <c r="Y165" i="8"/>
  <c r="X165" i="8"/>
  <c r="W165" i="8"/>
  <c r="V165" i="8"/>
  <c r="U165" i="8"/>
  <c r="T165" i="8"/>
  <c r="S165" i="8"/>
  <c r="AC163" i="8"/>
  <c r="AF163" i="8" s="1"/>
  <c r="F74" i="7" s="1"/>
  <c r="AE162" i="8"/>
  <c r="AD162" i="8"/>
  <c r="AB162" i="8"/>
  <c r="AA162" i="8"/>
  <c r="Z162" i="8"/>
  <c r="Y162" i="8"/>
  <c r="X162" i="8"/>
  <c r="W162" i="8"/>
  <c r="V162" i="8"/>
  <c r="U162" i="8"/>
  <c r="T162" i="8"/>
  <c r="S162" i="8"/>
  <c r="AC161" i="8"/>
  <c r="AF161" i="8" s="1"/>
  <c r="F73" i="7" s="1"/>
  <c r="AE160" i="8"/>
  <c r="AD160" i="8"/>
  <c r="AB160" i="8"/>
  <c r="AA160" i="8"/>
  <c r="Z160" i="8"/>
  <c r="Y160" i="8"/>
  <c r="X160" i="8"/>
  <c r="W160" i="8"/>
  <c r="V160" i="8"/>
  <c r="U160" i="8"/>
  <c r="T160" i="8"/>
  <c r="S160" i="8"/>
  <c r="AC156" i="8"/>
  <c r="AF156" i="8" s="1"/>
  <c r="F71" i="7" s="1"/>
  <c r="AC155" i="8"/>
  <c r="AF155" i="8" s="1"/>
  <c r="AC154" i="8"/>
  <c r="AF154" i="8" s="1"/>
  <c r="AC152" i="8"/>
  <c r="AF152" i="8" s="1"/>
  <c r="F69" i="7" s="1"/>
  <c r="AC150" i="8"/>
  <c r="AF150" i="8" s="1"/>
  <c r="AC149" i="8"/>
  <c r="AF149" i="8" s="1"/>
  <c r="AB148" i="8"/>
  <c r="AA148" i="8"/>
  <c r="Z148" i="8"/>
  <c r="Y148" i="8"/>
  <c r="X148" i="8"/>
  <c r="W148" i="8"/>
  <c r="V148" i="8"/>
  <c r="U148" i="8"/>
  <c r="T148" i="8"/>
  <c r="S148" i="8"/>
  <c r="AF144" i="8"/>
  <c r="AF143" i="8"/>
  <c r="AF142" i="8"/>
  <c r="AC141" i="8"/>
  <c r="AF141" i="8" s="1"/>
  <c r="AE140" i="8"/>
  <c r="AD140" i="8"/>
  <c r="AB140" i="8"/>
  <c r="AA140" i="8"/>
  <c r="Z140" i="8"/>
  <c r="Y140" i="8"/>
  <c r="X140" i="8"/>
  <c r="W140" i="8"/>
  <c r="V140" i="8"/>
  <c r="U140" i="8"/>
  <c r="T140" i="8"/>
  <c r="S140" i="8"/>
  <c r="AD139" i="8"/>
  <c r="AD131" i="8" s="1"/>
  <c r="AC139" i="8"/>
  <c r="AC138" i="8"/>
  <c r="AF138" i="8" s="1"/>
  <c r="AC137" i="8"/>
  <c r="AF137" i="8" s="1"/>
  <c r="AC136" i="8"/>
  <c r="AF136" i="8" s="1"/>
  <c r="AC135" i="8"/>
  <c r="AF135" i="8" s="1"/>
  <c r="AC134" i="8"/>
  <c r="AF134" i="8" s="1"/>
  <c r="AC133" i="8"/>
  <c r="AF133" i="8" s="1"/>
  <c r="AC132" i="8"/>
  <c r="AF132" i="8" s="1"/>
  <c r="AE131" i="8"/>
  <c r="AB131" i="8"/>
  <c r="AA131" i="8"/>
  <c r="Z131" i="8"/>
  <c r="Y131" i="8"/>
  <c r="X131" i="8"/>
  <c r="W131" i="8"/>
  <c r="V131" i="8"/>
  <c r="U131" i="8"/>
  <c r="T131" i="8"/>
  <c r="S131" i="8"/>
  <c r="AD127" i="8"/>
  <c r="AF127" i="8" s="1"/>
  <c r="AC126" i="8"/>
  <c r="AF126" i="8" s="1"/>
  <c r="AE125" i="8"/>
  <c r="AB125" i="8"/>
  <c r="AA125" i="8"/>
  <c r="Z125" i="8"/>
  <c r="Y125" i="8"/>
  <c r="X125" i="8"/>
  <c r="W125" i="8"/>
  <c r="V125" i="8"/>
  <c r="U125" i="8"/>
  <c r="T125" i="8"/>
  <c r="S125" i="8"/>
  <c r="S124" i="8"/>
  <c r="AF124" i="8" s="1"/>
  <c r="F58" i="7" s="1"/>
  <c r="AC123" i="8"/>
  <c r="AF123" i="8" s="1"/>
  <c r="F57" i="7" s="1"/>
  <c r="S122" i="8"/>
  <c r="AF122" i="8" s="1"/>
  <c r="AF121" i="8"/>
  <c r="AC120" i="8"/>
  <c r="S120" i="8"/>
  <c r="AC119" i="8"/>
  <c r="AF119" i="8" s="1"/>
  <c r="AE118" i="8"/>
  <c r="AD118" i="8"/>
  <c r="AB118" i="8"/>
  <c r="AA118" i="8"/>
  <c r="Z118" i="8"/>
  <c r="Y118" i="8"/>
  <c r="X118" i="8"/>
  <c r="W118" i="8"/>
  <c r="V118" i="8"/>
  <c r="U118" i="8"/>
  <c r="T118" i="8"/>
  <c r="AC114" i="8"/>
  <c r="AF113" i="8"/>
  <c r="AC112" i="8"/>
  <c r="AF112" i="8" s="1"/>
  <c r="AC111" i="8"/>
  <c r="AF111" i="8" s="1"/>
  <c r="AC110" i="8"/>
  <c r="AF110" i="8" s="1"/>
  <c r="AE109" i="8"/>
  <c r="AE108" i="8" s="1"/>
  <c r="AD109" i="8"/>
  <c r="AD108" i="8" s="1"/>
  <c r="AB109" i="8"/>
  <c r="AB108" i="8" s="1"/>
  <c r="AA109" i="8"/>
  <c r="AA108" i="8" s="1"/>
  <c r="Z109" i="8"/>
  <c r="Z108" i="8" s="1"/>
  <c r="Y109" i="8"/>
  <c r="Y108" i="8" s="1"/>
  <c r="X109" i="8"/>
  <c r="X108" i="8" s="1"/>
  <c r="W109" i="8"/>
  <c r="W108" i="8" s="1"/>
  <c r="V109" i="8"/>
  <c r="V108" i="8" s="1"/>
  <c r="U109" i="8"/>
  <c r="U108" i="8" s="1"/>
  <c r="T109" i="8"/>
  <c r="T108" i="8" s="1"/>
  <c r="S109" i="8"/>
  <c r="S108" i="8" s="1"/>
  <c r="AF107" i="8"/>
  <c r="F50" i="7" s="1"/>
  <c r="AC106" i="8"/>
  <c r="AF106" i="8" s="1"/>
  <c r="AC105" i="8"/>
  <c r="AE104" i="8"/>
  <c r="AD104" i="8"/>
  <c r="AB104" i="8"/>
  <c r="AA104" i="8"/>
  <c r="Z104" i="8"/>
  <c r="Y104" i="8"/>
  <c r="X104" i="8"/>
  <c r="W104" i="8"/>
  <c r="V104" i="8"/>
  <c r="U104" i="8"/>
  <c r="T104" i="8"/>
  <c r="S104" i="8"/>
  <c r="AF103" i="8"/>
  <c r="AF102" i="8"/>
  <c r="AE101" i="8"/>
  <c r="AD101" i="8"/>
  <c r="AC101" i="8"/>
  <c r="AB101" i="8"/>
  <c r="AA101" i="8"/>
  <c r="Z101" i="8"/>
  <c r="Y101" i="8"/>
  <c r="X101" i="8"/>
  <c r="W101" i="8"/>
  <c r="V101" i="8"/>
  <c r="U101" i="8"/>
  <c r="T101" i="8"/>
  <c r="S101" i="8"/>
  <c r="AC99" i="8"/>
  <c r="AF99" i="8" s="1"/>
  <c r="F47" i="7" s="1"/>
  <c r="AF98" i="8"/>
  <c r="F46" i="7" s="1"/>
  <c r="T97" i="8"/>
  <c r="AF97" i="8" s="1"/>
  <c r="F45" i="7" s="1"/>
  <c r="AE96" i="8"/>
  <c r="AB96" i="8"/>
  <c r="AA96" i="8"/>
  <c r="Z96" i="8"/>
  <c r="Y96" i="8"/>
  <c r="X96" i="8"/>
  <c r="W96" i="8"/>
  <c r="V96" i="8"/>
  <c r="U96" i="8"/>
  <c r="S96" i="8"/>
  <c r="AF95" i="8"/>
  <c r="AE94" i="8"/>
  <c r="AD94" i="8"/>
  <c r="AD79" i="8" s="1"/>
  <c r="AC94" i="8"/>
  <c r="AB94" i="8"/>
  <c r="AA94" i="8"/>
  <c r="Z94" i="8"/>
  <c r="Y94" i="8"/>
  <c r="X94" i="8"/>
  <c r="W94" i="8"/>
  <c r="V94" i="8"/>
  <c r="U94" i="8"/>
  <c r="T94" i="8"/>
  <c r="S94" i="8"/>
  <c r="AF93" i="8"/>
  <c r="AF92" i="8"/>
  <c r="AF91" i="8"/>
  <c r="AF90" i="8"/>
  <c r="AF89" i="8"/>
  <c r="AE88" i="8"/>
  <c r="AC88" i="8"/>
  <c r="AB88" i="8"/>
  <c r="AA88" i="8"/>
  <c r="Z88" i="8"/>
  <c r="Y88" i="8"/>
  <c r="X88" i="8"/>
  <c r="W88" i="8"/>
  <c r="V88" i="8"/>
  <c r="U88" i="8"/>
  <c r="T88" i="8"/>
  <c r="S88" i="8"/>
  <c r="AC87" i="8"/>
  <c r="AF87" i="8" s="1"/>
  <c r="AC85" i="8"/>
  <c r="AC84" i="8" s="1"/>
  <c r="AC83" i="8"/>
  <c r="AF83" i="8" s="1"/>
  <c r="AF81" i="8"/>
  <c r="AC80" i="8"/>
  <c r="AF76" i="8"/>
  <c r="F37" i="7" s="1"/>
  <c r="AF74" i="8"/>
  <c r="F36" i="7" s="1"/>
  <c r="AF71" i="8"/>
  <c r="AF70" i="8"/>
  <c r="S69" i="8"/>
  <c r="S66" i="8" s="1"/>
  <c r="AF68" i="8"/>
  <c r="AF67" i="8"/>
  <c r="S65" i="8"/>
  <c r="AF63" i="8"/>
  <c r="F33" i="7" s="1"/>
  <c r="AF61" i="8"/>
  <c r="F32" i="7" s="1"/>
  <c r="AC59" i="8"/>
  <c r="AC58" i="8" s="1"/>
  <c r="AC57" i="8" s="1"/>
  <c r="U59" i="8"/>
  <c r="U58" i="8" s="1"/>
  <c r="U57" i="8" s="1"/>
  <c r="U38" i="8" s="1"/>
  <c r="AF56" i="8"/>
  <c r="F30" i="7" s="1"/>
  <c r="AC54" i="8"/>
  <c r="S51" i="8"/>
  <c r="S50" i="8" s="1"/>
  <c r="S49" i="8"/>
  <c r="AC47" i="8"/>
  <c r="S45" i="8"/>
  <c r="AF41" i="8"/>
  <c r="AF36" i="8"/>
  <c r="F21" i="7" s="1"/>
  <c r="AC35" i="8"/>
  <c r="AF35" i="8" s="1"/>
  <c r="AE34" i="8"/>
  <c r="AE33" i="8" s="1"/>
  <c r="AE32" i="8" s="1"/>
  <c r="AD34" i="8"/>
  <c r="AD33" i="8" s="1"/>
  <c r="AD32" i="8" s="1"/>
  <c r="AB34" i="8"/>
  <c r="AB33" i="8" s="1"/>
  <c r="AB32" i="8" s="1"/>
  <c r="AA34" i="8"/>
  <c r="AA33" i="8" s="1"/>
  <c r="AA32" i="8" s="1"/>
  <c r="Z34" i="8"/>
  <c r="Z33" i="8" s="1"/>
  <c r="Z32" i="8" s="1"/>
  <c r="Y34" i="8"/>
  <c r="Y33" i="8" s="1"/>
  <c r="Y32" i="8" s="1"/>
  <c r="X34" i="8"/>
  <c r="X33" i="8" s="1"/>
  <c r="X32" i="8" s="1"/>
  <c r="W34" i="8"/>
  <c r="W33" i="8" s="1"/>
  <c r="W32" i="8" s="1"/>
  <c r="V34" i="8"/>
  <c r="V33" i="8" s="1"/>
  <c r="V32" i="8" s="1"/>
  <c r="U34" i="8"/>
  <c r="U33" i="8" s="1"/>
  <c r="U32" i="8" s="1"/>
  <c r="T34" i="8"/>
  <c r="T33" i="8" s="1"/>
  <c r="T32" i="8" s="1"/>
  <c r="S34" i="8"/>
  <c r="S33" i="8" s="1"/>
  <c r="S32" i="8" s="1"/>
  <c r="AC30" i="8"/>
  <c r="AF30" i="8" s="1"/>
  <c r="F18" i="7" s="1"/>
  <c r="AC29" i="8"/>
  <c r="AF29" i="8" s="1"/>
  <c r="AC28" i="8"/>
  <c r="AF28" i="8" s="1"/>
  <c r="AC27" i="8"/>
  <c r="AF27" i="8" s="1"/>
  <c r="AC26" i="8"/>
  <c r="AF26" i="8" s="1"/>
  <c r="AF25" i="8"/>
  <c r="AC24" i="8"/>
  <c r="AF24" i="8" s="1"/>
  <c r="AC23" i="8"/>
  <c r="AF23" i="8" s="1"/>
  <c r="F16" i="7" s="1"/>
  <c r="AC22" i="8"/>
  <c r="AF22" i="8" s="1"/>
  <c r="F15" i="7" s="1"/>
  <c r="AC21" i="8"/>
  <c r="AF21" i="8" s="1"/>
  <c r="F14" i="7" s="1"/>
  <c r="AF20" i="8"/>
  <c r="F13" i="7" s="1"/>
  <c r="AE19" i="8"/>
  <c r="AD19" i="8"/>
  <c r="AB19" i="8"/>
  <c r="AA19" i="8"/>
  <c r="Z19" i="8"/>
  <c r="Y19" i="8"/>
  <c r="X19" i="8"/>
  <c r="W19" i="8"/>
  <c r="V19" i="8"/>
  <c r="U19" i="8"/>
  <c r="T19" i="8"/>
  <c r="S19" i="8"/>
  <c r="AC18" i="8"/>
  <c r="AF18" i="8" s="1"/>
  <c r="AE17" i="8"/>
  <c r="AD17" i="8"/>
  <c r="AB17" i="8"/>
  <c r="AA17" i="8"/>
  <c r="Z17" i="8"/>
  <c r="Y17" i="8"/>
  <c r="X17" i="8"/>
  <c r="W17" i="8"/>
  <c r="V17" i="8"/>
  <c r="U17" i="8"/>
  <c r="T17" i="8"/>
  <c r="S17" i="8"/>
  <c r="AC13" i="8"/>
  <c r="AF13" i="8" s="1"/>
  <c r="AE12" i="8"/>
  <c r="AD12" i="8"/>
  <c r="AB12" i="8"/>
  <c r="AA12" i="8"/>
  <c r="Z12" i="8"/>
  <c r="Y12" i="8"/>
  <c r="X12" i="8"/>
  <c r="W12" i="8"/>
  <c r="V12" i="8"/>
  <c r="U12" i="8"/>
  <c r="T12" i="8"/>
  <c r="S12" i="8"/>
  <c r="AC11" i="8"/>
  <c r="AF11" i="8" s="1"/>
  <c r="F9" i="7" s="1"/>
  <c r="AC10" i="8"/>
  <c r="AF10" i="8" s="1"/>
  <c r="F8" i="7" s="1"/>
  <c r="AE9" i="8"/>
  <c r="AE8" i="8" s="1"/>
  <c r="AE7" i="8" s="1"/>
  <c r="AD9" i="8"/>
  <c r="AB9" i="8"/>
  <c r="AB8" i="8" s="1"/>
  <c r="AB7" i="8" s="1"/>
  <c r="AA9" i="8"/>
  <c r="Z9" i="8"/>
  <c r="Z8" i="8" s="1"/>
  <c r="Z7" i="8" s="1"/>
  <c r="Y9" i="8"/>
  <c r="X9" i="8"/>
  <c r="X8" i="8" s="1"/>
  <c r="X7" i="8" s="1"/>
  <c r="W9" i="8"/>
  <c r="V9" i="8"/>
  <c r="V8" i="8" s="1"/>
  <c r="V7" i="8" s="1"/>
  <c r="U9" i="8"/>
  <c r="T9" i="8"/>
  <c r="T8" i="8" s="1"/>
  <c r="T7" i="8" s="1"/>
  <c r="S9" i="8"/>
  <c r="AE16" i="8" l="1"/>
  <c r="AE15" i="8" s="1"/>
  <c r="V384" i="8"/>
  <c r="Z384" i="8"/>
  <c r="Z378" i="8" s="1"/>
  <c r="AD384" i="8"/>
  <c r="AA384" i="8"/>
  <c r="AE384" i="8"/>
  <c r="U8" i="8"/>
  <c r="U7" i="8" s="1"/>
  <c r="AC125" i="8"/>
  <c r="Y8" i="8"/>
  <c r="Y7" i="8" s="1"/>
  <c r="AD8" i="8"/>
  <c r="AD7" i="8" s="1"/>
  <c r="X359" i="8"/>
  <c r="X358" i="8" s="1"/>
  <c r="AE231" i="8"/>
  <c r="AE230" i="8" s="1"/>
  <c r="T359" i="8"/>
  <c r="T358" i="8" s="1"/>
  <c r="AB359" i="8"/>
  <c r="AB358" i="8" s="1"/>
  <c r="Y359" i="8"/>
  <c r="Y358" i="8" s="1"/>
  <c r="AD231" i="8"/>
  <c r="AC204" i="8"/>
  <c r="AF54" i="8"/>
  <c r="AF53" i="8" s="1"/>
  <c r="AC53" i="8"/>
  <c r="AC52" i="8" s="1"/>
  <c r="AF236" i="8"/>
  <c r="AC235" i="8"/>
  <c r="AF49" i="8"/>
  <c r="F27" i="7" s="1"/>
  <c r="S48" i="8"/>
  <c r="AF240" i="8"/>
  <c r="F110" i="7" s="1"/>
  <c r="AC237" i="8"/>
  <c r="AC254" i="8"/>
  <c r="U359" i="8"/>
  <c r="U358" i="8" s="1"/>
  <c r="W359" i="8"/>
  <c r="W358" i="8" s="1"/>
  <c r="AF45" i="8"/>
  <c r="AF44" i="8" s="1"/>
  <c r="S44" i="8"/>
  <c r="AF65" i="8"/>
  <c r="AF64" i="8" s="1"/>
  <c r="S64" i="8"/>
  <c r="S57" i="8" s="1"/>
  <c r="F23" i="7"/>
  <c r="AF40" i="8"/>
  <c r="AF47" i="8"/>
  <c r="F26" i="7" s="1"/>
  <c r="AC46" i="8"/>
  <c r="AC39" i="8" s="1"/>
  <c r="AD100" i="8"/>
  <c r="AD78" i="8" s="1"/>
  <c r="AF227" i="8"/>
  <c r="AC226" i="8"/>
  <c r="AF233" i="8"/>
  <c r="AF232" i="8" s="1"/>
  <c r="F107" i="7" s="1"/>
  <c r="AC232" i="8"/>
  <c r="AD230" i="8"/>
  <c r="V359" i="8"/>
  <c r="V358" i="8" s="1"/>
  <c r="Z359" i="8"/>
  <c r="Z358" i="8" s="1"/>
  <c r="AE195" i="8"/>
  <c r="AE194" i="8" s="1"/>
  <c r="V79" i="8"/>
  <c r="V117" i="8"/>
  <c r="V116" i="8" s="1"/>
  <c r="Z117" i="8"/>
  <c r="Z116" i="8" s="1"/>
  <c r="AE331" i="8"/>
  <c r="S347" i="8"/>
  <c r="AA347" i="8"/>
  <c r="AC96" i="8"/>
  <c r="V195" i="8"/>
  <c r="V194" i="8" s="1"/>
  <c r="Z195" i="8"/>
  <c r="Z194" i="8" s="1"/>
  <c r="S359" i="8"/>
  <c r="S358" i="8" s="1"/>
  <c r="F116" i="7"/>
  <c r="F131" i="7"/>
  <c r="AF271" i="8"/>
  <c r="AF270" i="8" s="1"/>
  <c r="AF338" i="8"/>
  <c r="F157" i="7" s="1"/>
  <c r="S341" i="8"/>
  <c r="W341" i="8"/>
  <c r="AA341" i="8"/>
  <c r="AE341" i="8"/>
  <c r="AA359" i="8"/>
  <c r="AA358" i="8" s="1"/>
  <c r="AA79" i="8"/>
  <c r="T130" i="8"/>
  <c r="T129" i="8" s="1"/>
  <c r="X130" i="8"/>
  <c r="X129" i="8" s="1"/>
  <c r="AB130" i="8"/>
  <c r="AB129" i="8" s="1"/>
  <c r="U347" i="8"/>
  <c r="Y347" i="8"/>
  <c r="AC276" i="8"/>
  <c r="U275" i="8"/>
  <c r="U274" i="8" s="1"/>
  <c r="F94" i="7"/>
  <c r="AC82" i="8"/>
  <c r="AA275" i="8"/>
  <c r="AA274" i="8" s="1"/>
  <c r="V347" i="8"/>
  <c r="Z347" i="8"/>
  <c r="AF355" i="8"/>
  <c r="AC353" i="8"/>
  <c r="AC352" i="8" s="1"/>
  <c r="AF206" i="8"/>
  <c r="AB275" i="8"/>
  <c r="AB274" i="8" s="1"/>
  <c r="U16" i="8"/>
  <c r="U15" i="8" s="1"/>
  <c r="Y16" i="8"/>
  <c r="Y15" i="8" s="1"/>
  <c r="Y100" i="8"/>
  <c r="AE130" i="8"/>
  <c r="AE129" i="8" s="1"/>
  <c r="V130" i="8"/>
  <c r="V129" i="8" s="1"/>
  <c r="Z130" i="8"/>
  <c r="Z129" i="8" s="1"/>
  <c r="T195" i="8"/>
  <c r="T194" i="8" s="1"/>
  <c r="X195" i="8"/>
  <c r="X194" i="8" s="1"/>
  <c r="V275" i="8"/>
  <c r="V274" i="8" s="1"/>
  <c r="W347" i="8"/>
  <c r="X16" i="8"/>
  <c r="X15" i="8" s="1"/>
  <c r="AF60" i="8"/>
  <c r="AF75" i="8"/>
  <c r="AC86" i="8"/>
  <c r="T100" i="8"/>
  <c r="X276" i="8"/>
  <c r="F135" i="7"/>
  <c r="F141" i="7"/>
  <c r="F143" i="7"/>
  <c r="V341" i="8"/>
  <c r="Z341" i="8"/>
  <c r="AE347" i="8"/>
  <c r="F167" i="7"/>
  <c r="S79" i="8"/>
  <c r="AD130" i="8"/>
  <c r="AD129" i="8" s="1"/>
  <c r="AF287" i="8"/>
  <c r="F136" i="7" s="1"/>
  <c r="T341" i="8"/>
  <c r="X341" i="8"/>
  <c r="AB341" i="8"/>
  <c r="AC347" i="8"/>
  <c r="AF350" i="8"/>
  <c r="S130" i="8"/>
  <c r="S129" i="8" s="1"/>
  <c r="W130" i="8"/>
  <c r="W129" i="8" s="1"/>
  <c r="AA130" i="8"/>
  <c r="AA129" i="8" s="1"/>
  <c r="AD341" i="8"/>
  <c r="AD340" i="8" s="1"/>
  <c r="AF88" i="8"/>
  <c r="F43" i="7" s="1"/>
  <c r="T117" i="8"/>
  <c r="T116" i="8" s="1"/>
  <c r="AB117" i="8"/>
  <c r="AB116" i="8" s="1"/>
  <c r="AE117" i="8"/>
  <c r="AE116" i="8" s="1"/>
  <c r="AF165" i="8"/>
  <c r="V178" i="8"/>
  <c r="Z178" i="8"/>
  <c r="T347" i="8"/>
  <c r="X347" i="8"/>
  <c r="AB347" i="8"/>
  <c r="AD373" i="8"/>
  <c r="AC17" i="8"/>
  <c r="Z79" i="8"/>
  <c r="W117" i="8"/>
  <c r="W116" i="8" s="1"/>
  <c r="AA117" i="8"/>
  <c r="AA116" i="8" s="1"/>
  <c r="S178" i="8"/>
  <c r="W178" i="8"/>
  <c r="AA178" i="8"/>
  <c r="U231" i="8"/>
  <c r="U230" i="8" s="1"/>
  <c r="AF281" i="8"/>
  <c r="F139" i="7"/>
  <c r="F144" i="7"/>
  <c r="F148" i="7"/>
  <c r="AF342" i="8"/>
  <c r="F159" i="7" s="1"/>
  <c r="V378" i="8"/>
  <c r="V16" i="8"/>
  <c r="V15" i="8" s="1"/>
  <c r="Z16" i="8"/>
  <c r="Z15" i="8" s="1"/>
  <c r="T16" i="8"/>
  <c r="T15" i="8" s="1"/>
  <c r="AB16" i="8"/>
  <c r="AB15" i="8" s="1"/>
  <c r="S100" i="8"/>
  <c r="W100" i="8"/>
  <c r="AA100" i="8"/>
  <c r="AB195" i="8"/>
  <c r="AB194" i="8" s="1"/>
  <c r="Y275" i="8"/>
  <c r="Y274" i="8" s="1"/>
  <c r="U341" i="8"/>
  <c r="Y341" i="8"/>
  <c r="AC342" i="8"/>
  <c r="AC341" i="8" s="1"/>
  <c r="AE359" i="8"/>
  <c r="AE358" i="8" s="1"/>
  <c r="X79" i="8"/>
  <c r="AB79" i="8"/>
  <c r="V100" i="8"/>
  <c r="V78" i="8" s="1"/>
  <c r="Z100" i="8"/>
  <c r="F52" i="7"/>
  <c r="AC140" i="8"/>
  <c r="V147" i="8"/>
  <c r="Z147" i="8"/>
  <c r="AD147" i="8"/>
  <c r="F170" i="7"/>
  <c r="AF387" i="8"/>
  <c r="F180" i="7" s="1"/>
  <c r="AC12" i="8"/>
  <c r="S16" i="8"/>
  <c r="S15" i="8" s="1"/>
  <c r="W16" i="8"/>
  <c r="W15" i="8" s="1"/>
  <c r="AA16" i="8"/>
  <c r="AA15" i="8" s="1"/>
  <c r="AC19" i="8"/>
  <c r="X100" i="8"/>
  <c r="AB100" i="8"/>
  <c r="U117" i="8"/>
  <c r="U116" i="8" s="1"/>
  <c r="Y117" i="8"/>
  <c r="Y116" i="8" s="1"/>
  <c r="AF139" i="8"/>
  <c r="F64" i="7" s="1"/>
  <c r="S147" i="8"/>
  <c r="W147" i="8"/>
  <c r="AA147" i="8"/>
  <c r="AC165" i="8"/>
  <c r="V231" i="8"/>
  <c r="V230" i="8" s="1"/>
  <c r="F120" i="7"/>
  <c r="F126" i="7"/>
  <c r="T275" i="8"/>
  <c r="T274" i="8" s="1"/>
  <c r="AD275" i="8"/>
  <c r="AD274" i="8" s="1"/>
  <c r="AF349" i="8"/>
  <c r="F169" i="7"/>
  <c r="F78" i="7"/>
  <c r="AE178" i="8"/>
  <c r="X178" i="8"/>
  <c r="S195" i="8"/>
  <c r="S194" i="8" s="1"/>
  <c r="W195" i="8"/>
  <c r="W194" i="8" s="1"/>
  <c r="AA195" i="8"/>
  <c r="AA194" i="8" s="1"/>
  <c r="F102" i="7"/>
  <c r="Z275" i="8"/>
  <c r="Z274" i="8" s="1"/>
  <c r="F142" i="7"/>
  <c r="F155" i="7"/>
  <c r="W331" i="8"/>
  <c r="AF73" i="8"/>
  <c r="AF62" i="8"/>
  <c r="AF101" i="8"/>
  <c r="F48" i="7" s="1"/>
  <c r="AF48" i="8"/>
  <c r="F51" i="7"/>
  <c r="F104" i="7"/>
  <c r="AF226" i="8"/>
  <c r="AD16" i="8"/>
  <c r="AD15" i="8" s="1"/>
  <c r="AF86" i="8"/>
  <c r="F42" i="7"/>
  <c r="AC109" i="8"/>
  <c r="AC108" i="8" s="1"/>
  <c r="AC118" i="8"/>
  <c r="AC117" i="8" s="1"/>
  <c r="AC116" i="8" s="1"/>
  <c r="AF120" i="8"/>
  <c r="F55" i="7" s="1"/>
  <c r="F56" i="7"/>
  <c r="F61" i="7"/>
  <c r="F62" i="7"/>
  <c r="F63" i="7"/>
  <c r="F67" i="7"/>
  <c r="F70" i="7"/>
  <c r="AC172" i="8"/>
  <c r="AC175" i="8"/>
  <c r="F97" i="7"/>
  <c r="F109" i="7"/>
  <c r="F122" i="7"/>
  <c r="AF278" i="8"/>
  <c r="F145" i="7"/>
  <c r="F150" i="7"/>
  <c r="AF345" i="8"/>
  <c r="AF380" i="8"/>
  <c r="F177" i="7"/>
  <c r="AE378" i="8"/>
  <c r="AF385" i="8"/>
  <c r="F179" i="7"/>
  <c r="AF12" i="8"/>
  <c r="F10" i="7"/>
  <c r="AF17" i="8"/>
  <c r="F12" i="7"/>
  <c r="F17" i="7"/>
  <c r="AF34" i="8"/>
  <c r="AF33" i="8" s="1"/>
  <c r="AF32" i="8" s="1"/>
  <c r="F20" i="7"/>
  <c r="AF55" i="8"/>
  <c r="F34" i="7"/>
  <c r="AF80" i="8"/>
  <c r="F39" i="7"/>
  <c r="AF82" i="8"/>
  <c r="F40" i="7"/>
  <c r="AE79" i="8"/>
  <c r="AF94" i="8"/>
  <c r="F44" i="7"/>
  <c r="AF199" i="8"/>
  <c r="F91" i="7"/>
  <c r="AF235" i="8"/>
  <c r="F108" i="7"/>
  <c r="F130" i="7"/>
  <c r="AF277" i="8"/>
  <c r="F133" i="7" s="1"/>
  <c r="W276" i="8"/>
  <c r="S379" i="8"/>
  <c r="S378" i="8" s="1"/>
  <c r="AF383" i="8"/>
  <c r="AF379" i="8" s="1"/>
  <c r="AF9" i="8"/>
  <c r="W79" i="8"/>
  <c r="U79" i="8"/>
  <c r="Y79" i="8"/>
  <c r="AF96" i="8"/>
  <c r="AF114" i="8"/>
  <c r="AF19" i="8"/>
  <c r="S8" i="8"/>
  <c r="S7" i="8" s="1"/>
  <c r="W8" i="8"/>
  <c r="W7" i="8" s="1"/>
  <c r="AA8" i="8"/>
  <c r="AA7" i="8" s="1"/>
  <c r="AC9" i="8"/>
  <c r="AC34" i="8"/>
  <c r="AC33" i="8" s="1"/>
  <c r="AC32" i="8" s="1"/>
  <c r="S43" i="8"/>
  <c r="S42" i="8" s="1"/>
  <c r="AF85" i="8"/>
  <c r="T96" i="8"/>
  <c r="T79" i="8" s="1"/>
  <c r="AE100" i="8"/>
  <c r="AF125" i="8"/>
  <c r="F59" i="7" s="1"/>
  <c r="U100" i="8"/>
  <c r="X117" i="8"/>
  <c r="X116" i="8" s="1"/>
  <c r="AD125" i="8"/>
  <c r="AD117" i="8" s="1"/>
  <c r="AD116" i="8" s="1"/>
  <c r="AC131" i="8"/>
  <c r="AF148" i="8"/>
  <c r="T147" i="8"/>
  <c r="X147" i="8"/>
  <c r="AB147" i="8"/>
  <c r="AE147" i="8"/>
  <c r="U178" i="8"/>
  <c r="Y178" i="8"/>
  <c r="AD178" i="8"/>
  <c r="AF183" i="8"/>
  <c r="F82" i="7" s="1"/>
  <c r="AC181" i="8"/>
  <c r="AC178" i="8" s="1"/>
  <c r="T178" i="8"/>
  <c r="AC195" i="8"/>
  <c r="AC194" i="8" s="1"/>
  <c r="AF205" i="8"/>
  <c r="S231" i="8"/>
  <c r="S230" i="8" s="1"/>
  <c r="W231" i="8"/>
  <c r="W230" i="8" s="1"/>
  <c r="AA231" i="8"/>
  <c r="AA230" i="8" s="1"/>
  <c r="S380" i="8"/>
  <c r="S382" i="8"/>
  <c r="U384" i="8"/>
  <c r="U378" i="8" s="1"/>
  <c r="Y384" i="8"/>
  <c r="Y378" i="8" s="1"/>
  <c r="AC384" i="8"/>
  <c r="AC378" i="8" s="1"/>
  <c r="AF398" i="8"/>
  <c r="AF397" i="8" s="1"/>
  <c r="AF396" i="8" s="1"/>
  <c r="AF170" i="8"/>
  <c r="F77" i="7" s="1"/>
  <c r="U195" i="8"/>
  <c r="U194" i="8" s="1"/>
  <c r="Y195" i="8"/>
  <c r="Y194" i="8" s="1"/>
  <c r="Y231" i="8"/>
  <c r="Y230" i="8" s="1"/>
  <c r="T231" i="8"/>
  <c r="T230" i="8" s="1"/>
  <c r="X231" i="8"/>
  <c r="AB231" i="8"/>
  <c r="AB230" i="8" s="1"/>
  <c r="AF321" i="8"/>
  <c r="AE300" i="8"/>
  <c r="W378" i="8"/>
  <c r="W403" i="8" s="1"/>
  <c r="AA378" i="8"/>
  <c r="AF394" i="8"/>
  <c r="AD393" i="8"/>
  <c r="AD392" i="8" s="1"/>
  <c r="S275" i="8"/>
  <c r="S274" i="8" s="1"/>
  <c r="AF373" i="8"/>
  <c r="T384" i="8"/>
  <c r="T378" i="8" s="1"/>
  <c r="X384" i="8"/>
  <c r="X378" i="8" s="1"/>
  <c r="AB384" i="8"/>
  <c r="AB378" i="8" s="1"/>
  <c r="AF105" i="8"/>
  <c r="AC104" i="8"/>
  <c r="AC100" i="8" s="1"/>
  <c r="AF51" i="8"/>
  <c r="AC160" i="8"/>
  <c r="AF160" i="8"/>
  <c r="AF59" i="8"/>
  <c r="AF69" i="8"/>
  <c r="AF66" i="8" s="1"/>
  <c r="F35" i="7" s="1"/>
  <c r="U130" i="8"/>
  <c r="U129" i="8" s="1"/>
  <c r="Y130" i="8"/>
  <c r="Y129" i="8" s="1"/>
  <c r="AF172" i="8"/>
  <c r="AB178" i="8"/>
  <c r="AF209" i="8"/>
  <c r="F95" i="7" s="1"/>
  <c r="AF320" i="8"/>
  <c r="W300" i="8"/>
  <c r="AF140" i="8"/>
  <c r="F65" i="7" s="1"/>
  <c r="AC162" i="8"/>
  <c r="AF162" i="8"/>
  <c r="U147" i="8"/>
  <c r="Y147" i="8"/>
  <c r="Z231" i="8"/>
  <c r="Z230" i="8" s="1"/>
  <c r="S118" i="8"/>
  <c r="S117" i="8" s="1"/>
  <c r="S116" i="8" s="1"/>
  <c r="AC148" i="8"/>
  <c r="AF297" i="8"/>
  <c r="F140" i="7" s="1"/>
  <c r="AC300" i="8"/>
  <c r="AF319" i="8"/>
  <c r="AF354" i="8"/>
  <c r="AF175" i="8"/>
  <c r="AF198" i="8"/>
  <c r="AF253" i="8"/>
  <c r="AF246" i="8" s="1"/>
  <c r="AF258" i="8"/>
  <c r="AF254" i="8" s="1"/>
  <c r="AF265" i="8"/>
  <c r="X331" i="8"/>
  <c r="AF337" i="8"/>
  <c r="AD360" i="8"/>
  <c r="AF371" i="8"/>
  <c r="F172" i="7" s="1"/>
  <c r="AC360" i="8"/>
  <c r="AC359" i="8" s="1"/>
  <c r="AC358" i="8" s="1"/>
  <c r="AD382" i="8"/>
  <c r="AD379" i="8"/>
  <c r="X403" i="8" l="1"/>
  <c r="Y340" i="8"/>
  <c r="AA403" i="8"/>
  <c r="T403" i="8"/>
  <c r="S403" i="8"/>
  <c r="AD359" i="8"/>
  <c r="AD358" i="8" s="1"/>
  <c r="AA340" i="8"/>
  <c r="AB403" i="8"/>
  <c r="AF237" i="8"/>
  <c r="F25" i="7"/>
  <c r="V403" i="8"/>
  <c r="X340" i="8"/>
  <c r="AB78" i="8"/>
  <c r="AE403" i="8"/>
  <c r="S39" i="8"/>
  <c r="S38" i="8" s="1"/>
  <c r="F29" i="7"/>
  <c r="Z403" i="8"/>
  <c r="Y403" i="8"/>
  <c r="X146" i="8"/>
  <c r="AF46" i="8"/>
  <c r="U403" i="8"/>
  <c r="AC8" i="8"/>
  <c r="AC7" i="8" s="1"/>
  <c r="AC38" i="8"/>
  <c r="AE340" i="8"/>
  <c r="AC403" i="8"/>
  <c r="AC231" i="8"/>
  <c r="AC230" i="8" s="1"/>
  <c r="AC203" i="8"/>
  <c r="AC202" i="8" s="1"/>
  <c r="AC275" i="8"/>
  <c r="AC274" i="8" s="1"/>
  <c r="F183" i="7"/>
  <c r="AF204" i="8"/>
  <c r="AF203" i="8" s="1"/>
  <c r="AF202" i="8" s="1"/>
  <c r="S340" i="8"/>
  <c r="AB146" i="8"/>
  <c r="AF353" i="8"/>
  <c r="AF352" i="8" s="1"/>
  <c r="AF181" i="8"/>
  <c r="AF178" i="8" s="1"/>
  <c r="T78" i="8"/>
  <c r="AE146" i="8"/>
  <c r="W78" i="8"/>
  <c r="F134" i="7"/>
  <c r="W340" i="8"/>
  <c r="AD146" i="8"/>
  <c r="AD356" i="8" s="1"/>
  <c r="AA78" i="8"/>
  <c r="S78" i="8"/>
  <c r="AF16" i="8"/>
  <c r="AF15" i="8" s="1"/>
  <c r="S146" i="8"/>
  <c r="T340" i="8"/>
  <c r="AC340" i="8"/>
  <c r="AF43" i="8"/>
  <c r="F24" i="7" s="1"/>
  <c r="Z78" i="8"/>
  <c r="AB340" i="8"/>
  <c r="Z340" i="8"/>
  <c r="U340" i="8"/>
  <c r="Y146" i="8"/>
  <c r="AC130" i="8"/>
  <c r="AC129" i="8" s="1"/>
  <c r="X78" i="8"/>
  <c r="V340" i="8"/>
  <c r="F166" i="7"/>
  <c r="F93" i="7"/>
  <c r="AF360" i="8"/>
  <c r="AF359" i="8" s="1"/>
  <c r="AF358" i="8" s="1"/>
  <c r="X275" i="8"/>
  <c r="X274" i="8" s="1"/>
  <c r="AF131" i="8"/>
  <c r="AF130" i="8" s="1"/>
  <c r="AF129" i="8" s="1"/>
  <c r="AF118" i="8"/>
  <c r="AF117" i="8" s="1"/>
  <c r="AF116" i="8" s="1"/>
  <c r="Y78" i="8"/>
  <c r="AF341" i="8"/>
  <c r="AF72" i="8"/>
  <c r="AA146" i="8"/>
  <c r="AC16" i="8"/>
  <c r="AC15" i="8" s="1"/>
  <c r="V146" i="8"/>
  <c r="AC79" i="8"/>
  <c r="AC78" i="8" s="1"/>
  <c r="F147" i="7"/>
  <c r="AF331" i="8"/>
  <c r="AF384" i="8"/>
  <c r="AE78" i="8"/>
  <c r="W146" i="8"/>
  <c r="AF300" i="8"/>
  <c r="AF52" i="8"/>
  <c r="Z146" i="8"/>
  <c r="AD378" i="8"/>
  <c r="AF8" i="8"/>
  <c r="AF7" i="8" s="1"/>
  <c r="T146" i="8"/>
  <c r="F161" i="7"/>
  <c r="AF348" i="8"/>
  <c r="AF347" i="8" s="1"/>
  <c r="AF169" i="8"/>
  <c r="AF147" i="8" s="1"/>
  <c r="AF393" i="8"/>
  <c r="AF392" i="8" s="1"/>
  <c r="F181" i="7"/>
  <c r="AF276" i="8"/>
  <c r="AF382" i="8"/>
  <c r="F178" i="7"/>
  <c r="F156" i="7"/>
  <c r="F146" i="7"/>
  <c r="AF264" i="8"/>
  <c r="F128" i="7"/>
  <c r="F124" i="7"/>
  <c r="F121" i="7"/>
  <c r="AF196" i="8"/>
  <c r="AF195" i="8" s="1"/>
  <c r="AF194" i="8" s="1"/>
  <c r="F90" i="7"/>
  <c r="AC147" i="8"/>
  <c r="AC146" i="8" s="1"/>
  <c r="AF58" i="8"/>
  <c r="AF57" i="8" s="1"/>
  <c r="F31" i="7"/>
  <c r="AF50" i="8"/>
  <c r="F28" i="7"/>
  <c r="AF104" i="8"/>
  <c r="AF100" i="8" s="1"/>
  <c r="F49" i="7"/>
  <c r="X230" i="8"/>
  <c r="AE275" i="8"/>
  <c r="AE274" i="8" s="1"/>
  <c r="AF84" i="8"/>
  <c r="AF79" i="8" s="1"/>
  <c r="F41" i="7"/>
  <c r="AF109" i="8"/>
  <c r="AF108" i="8" s="1"/>
  <c r="F53" i="7"/>
  <c r="W275" i="8"/>
  <c r="W274" i="8" s="1"/>
  <c r="U78" i="8"/>
  <c r="U146" i="8"/>
  <c r="AD403" i="8" l="1"/>
  <c r="AF231" i="8"/>
  <c r="AF230" i="8" s="1"/>
  <c r="F163" i="7"/>
  <c r="AA356" i="8"/>
  <c r="AA404" i="8" s="1"/>
  <c r="AE356" i="8"/>
  <c r="AE404" i="8" s="1"/>
  <c r="AF42" i="8"/>
  <c r="AF39" i="8" s="1"/>
  <c r="AF38" i="8" s="1"/>
  <c r="X356" i="8"/>
  <c r="X404" i="8" s="1"/>
  <c r="Y356" i="8"/>
  <c r="Y404" i="8" s="1"/>
  <c r="U356" i="8"/>
  <c r="U404" i="8" s="1"/>
  <c r="T356" i="8"/>
  <c r="T404" i="8" s="1"/>
  <c r="S356" i="8"/>
  <c r="AF146" i="8"/>
  <c r="Z356" i="8"/>
  <c r="Z404" i="8" s="1"/>
  <c r="AC356" i="8"/>
  <c r="AC404" i="8" s="1"/>
  <c r="W356" i="8"/>
  <c r="W404" i="8" s="1"/>
  <c r="V356" i="8"/>
  <c r="V404" i="8" s="1"/>
  <c r="AB356" i="8"/>
  <c r="AB404" i="8" s="1"/>
  <c r="AD404" i="8"/>
  <c r="AF378" i="8"/>
  <c r="AF340" i="8"/>
  <c r="AF275" i="8"/>
  <c r="AF274" i="8" s="1"/>
  <c r="AF78" i="8"/>
  <c r="AF403" i="8" l="1"/>
  <c r="S404" i="8"/>
  <c r="AF356" i="8"/>
  <c r="F182" i="7"/>
  <c r="F19" i="7"/>
  <c r="AF404" i="8" l="1"/>
  <c r="F22" i="7"/>
  <c r="F38" i="7"/>
  <c r="F7" i="7"/>
  <c r="F106" i="7"/>
  <c r="F132" i="7"/>
  <c r="F92" i="7"/>
  <c r="F66" i="7"/>
  <c r="F11" i="7"/>
  <c r="F158" i="7"/>
  <c r="F54" i="7"/>
  <c r="F60" i="7"/>
  <c r="F176" i="7" l="1"/>
  <c r="F184" i="7" s="1"/>
  <c r="F164" i="7"/>
  <c r="F185" i="7" s="1"/>
</calcChain>
</file>

<file path=xl/sharedStrings.xml><?xml version="1.0" encoding="utf-8"?>
<sst xmlns="http://schemas.openxmlformats.org/spreadsheetml/2006/main" count="2915" uniqueCount="1471">
  <si>
    <t>Implementación del Sistema Departamental de Servicio a la Ciudadanía SDSC   en la Administración Departamental.</t>
  </si>
  <si>
    <t>INCLUSIÓN SOCIAL Y EQUIDAD</t>
  </si>
  <si>
    <t>PRODUCTIVIDAD Y COMPETITIVIDAD</t>
  </si>
  <si>
    <t>TERRITORIO, AMBIENTE Y DESARROLLO SOSTENIBLE</t>
  </si>
  <si>
    <t>Implementación de procesos productivos agropecuarios familiares campesinos en busca de la soberanía y seguridad alimentaria.</t>
  </si>
  <si>
    <t>Implementación de procesos de extensión agropecuaria e inocuidad (estatus sanitario, BPA, BPG) alimentaria.</t>
  </si>
  <si>
    <t>Implementación de acciones de Gestión del Cambio Climatico en el marco del PIGCC.</t>
  </si>
  <si>
    <t>Fortalecimiento territoral para una gestión educativa integral en la Secretaría de Educación Departamental del Quindío</t>
  </si>
  <si>
    <t>Aplicación funcionamiento y prestación del servicio educativo de las instituciones educativas.</t>
  </si>
  <si>
    <t>Prestación de Servicios a la Población no Afiliada al Sistema General de Seguridad Social en Salud  y en los no POS  a la Población Afiliada al Régimen Subsidiado.</t>
  </si>
  <si>
    <t>Aprovechamiento biológico y consumo de  alimentos idóneos  en el Departamento del Quindío</t>
  </si>
  <si>
    <t xml:space="preserve">Asistencia atención a las personas y prioridades en salud pública en el  Departamento del Quindío- Plan de Intervenciones Colectivas PIC. </t>
  </si>
  <si>
    <t>UNIDAD EJECUTORA</t>
  </si>
  <si>
    <t xml:space="preserve">CODIGO:  </t>
  </si>
  <si>
    <t xml:space="preserve">VERSIÓN: </t>
  </si>
  <si>
    <t xml:space="preserve">FECHA: </t>
  </si>
  <si>
    <t>PÁGINA:</t>
  </si>
  <si>
    <t>1 de 1</t>
  </si>
  <si>
    <t>LÍNEA ESTRATÉGICA</t>
  </si>
  <si>
    <t>No. PROGRAMA INTERNO</t>
  </si>
  <si>
    <t>CÓDIGO DEL PROGRAMA KPT</t>
  </si>
  <si>
    <t>PROGRAMA</t>
  </si>
  <si>
    <t>INDICADOR DE RESULTADO Y/O BIENESTAR</t>
  </si>
  <si>
    <t>No. PRODUCTO INTERNO</t>
  </si>
  <si>
    <t>CODIGO DEL PRODUCTO KPT</t>
  </si>
  <si>
    <t>META PRODUCTO</t>
  </si>
  <si>
    <t>No. INDICADOR PRODUCTO INTERNO</t>
  </si>
  <si>
    <t>CÓDIGO INDICADOR PRODUCTO KPT</t>
  </si>
  <si>
    <t>INDICADOR DEL PRODUCTO</t>
  </si>
  <si>
    <t>TIPO DE META I/M/R</t>
  </si>
  <si>
    <t>META
 2020 -2013</t>
  </si>
  <si>
    <t>META 2020</t>
  </si>
  <si>
    <t>CÓDIGO SECTOR FUT</t>
  </si>
  <si>
    <t>CÓDIGO BPIN</t>
  </si>
  <si>
    <t>NOMBRE DEL PROYECTO</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</si>
  <si>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</si>
  <si>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</si>
  <si>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</si>
  <si>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</si>
  <si>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</si>
  <si>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</si>
  <si>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</si>
  <si>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</si>
  <si>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</si>
  <si>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TOTAL
</t>
  </si>
  <si>
    <t xml:space="preserve">304 -SECRETARÍA ADMINISTRATIVA </t>
  </si>
  <si>
    <t xml:space="preserve">LIDERAZGO, GOBERNABILIDAD Y TRANSPARENCIA.   </t>
  </si>
  <si>
    <t>DNP</t>
  </si>
  <si>
    <t>Fortalecimiento de la Gestión  y Desempeño Institucional. "Quindío con una administración al servicio de la ciudadanía "</t>
  </si>
  <si>
    <t>Índice de Gestión del Modelo Integrado de Planeación y de Gestión MIPG  de la Administración Departamental</t>
  </si>
  <si>
    <t>45.1</t>
  </si>
  <si>
    <t>45.1.1</t>
  </si>
  <si>
    <t>Número de Dimensiones y Políticas   de MIPG implementadas.</t>
  </si>
  <si>
    <t>M</t>
  </si>
  <si>
    <t xml:space="preserve">17. Fortalecimiento Institucional </t>
  </si>
  <si>
    <t>202000363-0003</t>
  </si>
  <si>
    <t>Implementación del  Modelo Integrado de Planeación y de Gestión MIPG  de la  Administración Departamental del Quindío (Dimensiones  de Talento humano,  Información y Comunicación y Gestión del Conocimiento).</t>
  </si>
  <si>
    <t>45.9</t>
  </si>
  <si>
    <t>Estrategias  de actualización, depuración, seguimiento y evaluación de las bases de datos  del Pasivo Pensional  de la Administración Departamental.</t>
  </si>
  <si>
    <t>45.9.1</t>
  </si>
  <si>
    <t>Estrategias  de actualización, depuración, seguimiento y evaluación de las bases de datos  del Pasivo Pensional  de la Administración Departamental</t>
  </si>
  <si>
    <t>202000363-0004</t>
  </si>
  <si>
    <t>Actualización, depuración, seguimiento y evaluación   del  Pasivo Pensional  de la Administración Departamental del Quindío</t>
  </si>
  <si>
    <t>Participación ciudadana y política y respeto por los derechos humanos y diversidad de creencias. "Quindío integrado y participativo"</t>
  </si>
  <si>
    <t>Porcentaje promedio  de participación de ciudadanos en los eventos de elección popular.</t>
  </si>
  <si>
    <t>42.3</t>
  </si>
  <si>
    <t>Implementación del Plan de Acción del Sistema Departamental de Servicio a la Ciudadanía SDSC</t>
  </si>
  <si>
    <t>42.3.1</t>
  </si>
  <si>
    <t xml:space="preserve">Plan de Acción del Sistema Departamental de Servicio a la Ciudadanía SDSC implementado. </t>
  </si>
  <si>
    <t>16. Desarrollo Comunitario</t>
  </si>
  <si>
    <t>202000363-0005</t>
  </si>
  <si>
    <t xml:space="preserve">305 SECRETARÍA DE PLANEACIÓN </t>
  </si>
  <si>
    <t>LIDERAZGO, GOBERNABILIDAD Y TRANSPARENCIA</t>
  </si>
  <si>
    <t>Porcentaje promedio  de participación de ciudadanos en los eventos de elección popular</t>
  </si>
  <si>
    <t>42.2</t>
  </si>
  <si>
    <t>Fortalecimiento técnico y logístico del  Consejo Territorial de Planeación Departamental, como representantes de la sociedad civil en la planeación  del desarrollo integral  de la entidad territorial</t>
  </si>
  <si>
    <t>42.2.1</t>
  </si>
  <si>
    <t xml:space="preserve">Consejo Territorial de Planeación Departamental fortalecido.   </t>
  </si>
  <si>
    <t>201663000-0007</t>
  </si>
  <si>
    <t>Asistencia al Consejo Territorial de Planeación del Departamento del Quindío</t>
  </si>
  <si>
    <t>Fortalecimiento de la Gestión  y Desempeño Institucional. "Quindío con una administración al servicio de la ciudadanía"</t>
  </si>
  <si>
    <t>45.5</t>
  </si>
  <si>
    <t>45.5.1</t>
  </si>
  <si>
    <t xml:space="preserve">Instrumentos de planificación de ordenamiento y gestión territorial departamental implementados. </t>
  </si>
  <si>
    <t>201900363-0002</t>
  </si>
  <si>
    <t>Formulación  e implementación del  Plan de Desarrollo Departamental 2020-2023</t>
  </si>
  <si>
    <t>Instrumentos de planificación para el ordenamiento y la gestión territorial departamental (Plan de Desarrollo Departamental PDD, Ordenamiento Territorial, Sistema de Información Geográfica, Mecanismos de Integración, Catastro multipropósito etc.).</t>
  </si>
  <si>
    <t>201663000-0009</t>
  </si>
  <si>
    <t>Diseño e implementación instrumentos de  planificación para el  ordenamiento  territorial, social y económico del  Departamento del Quindío</t>
  </si>
  <si>
    <t>45.4</t>
  </si>
  <si>
    <t>Observatorio económico del departamento, con procesos de fortalecimiento</t>
  </si>
  <si>
    <t>45.4.1</t>
  </si>
  <si>
    <t>Observatorio económico del Departamento del Quindío actualizado y dotado.</t>
  </si>
  <si>
    <t>201663000-0010</t>
  </si>
  <si>
    <t xml:space="preserve">Diseño e implementación del Observatorio  de Desarrollo Humano en el Departamento del Quindío </t>
  </si>
  <si>
    <t>45.3</t>
  </si>
  <si>
    <t>Banco de Programas y Proyectos del Departamento  con procesos de fortalecimiento.</t>
  </si>
  <si>
    <t>45.3.1</t>
  </si>
  <si>
    <t>Banco de Programas y Proyectos del Departamento fortalecido</t>
  </si>
  <si>
    <t>201663000-0012</t>
  </si>
  <si>
    <t>Implementación Sistema de Cooperación Internacional y  de Gestión de proyectos  del Depratamento del Quindío - "Fabrica de Proyectos"</t>
  </si>
  <si>
    <t>Índice de Gestión del Modelo Integrado de Planeación y de Gestión MIPG   Departamental (Entes Territoriales Municipales)</t>
  </si>
  <si>
    <t>45.17</t>
  </si>
  <si>
    <t xml:space="preserve">Entes territoriales  con servicio de asistencia técnica de los Instrumentos de Planificación para  el Ordenamiento y la Gestión Territorial departamental. </t>
  </si>
  <si>
    <t>45.17.1</t>
  </si>
  <si>
    <t>Entes territoriales con procesos de asistencia técnica realizadas.</t>
  </si>
  <si>
    <t>201663000-0014</t>
  </si>
  <si>
    <t>Asistencia  técnica, seguimiento y evaluación  de la gestión  territorial en los  municipios del Departamento del  Quindío</t>
  </si>
  <si>
    <t>45.12</t>
  </si>
  <si>
    <t>Entes territoriales con servicio de asistencia  técnica del Modelo Integrado de Planeación y de Gestión MIPG</t>
  </si>
  <si>
    <t>45.12.1</t>
  </si>
  <si>
    <t>Entes Territoriales con procesos de asistencia técnica realizadas.</t>
  </si>
  <si>
    <t>45.13</t>
  </si>
  <si>
    <t>Entes territoriales  con servicio de asistencia técnica en la Medición del Desempeño Municipal.</t>
  </si>
  <si>
    <t>45.13.1</t>
  </si>
  <si>
    <t>45.15</t>
  </si>
  <si>
    <t xml:space="preserve">Entes territoriales  con servicio de asistencia técnica  en el Sistema de Identificación de Potenciales Beneficiarios de Programas Sociales (SISBEN). </t>
  </si>
  <si>
    <t>45.15.1</t>
  </si>
  <si>
    <t>45.16</t>
  </si>
  <si>
    <t>Entes territoriales con servicio de asistencia técnica en la formulación, preparación, seguimiento y evaluación de las políticas públicas.</t>
  </si>
  <si>
    <t>45.16.1</t>
  </si>
  <si>
    <t>45.14</t>
  </si>
  <si>
    <t xml:space="preserve">Entes territoriales  con servicio de asistencia técnica en Banco de Programas y Proyectos de Inversión Nacional (BPIN).  </t>
  </si>
  <si>
    <t>45.14.1</t>
  </si>
  <si>
    <t>202000363-0006</t>
  </si>
  <si>
    <t xml:space="preserve">Implementación  del Modelo Integrado de Planeación y de Gestión MIPG en la Administración Departamental del Quindío </t>
  </si>
  <si>
    <t>45.2</t>
  </si>
  <si>
    <t>Estrategia para el mejoramiento del Índice de Desempeño Fiscal en la Administración Departamental.</t>
  </si>
  <si>
    <t>45.2.1</t>
  </si>
  <si>
    <t>Estrategia  de fortalecimiento  del Índice de Desempeño  Fiscal implementadas.</t>
  </si>
  <si>
    <t>201663000-0016</t>
  </si>
  <si>
    <t>Mejoramiento de la sostenibilidad de los procesos de fiscalización liquidación control y cobranza de los tributos en el Departamento del Quindío</t>
  </si>
  <si>
    <t>45.11</t>
  </si>
  <si>
    <t xml:space="preserve">Programa para el cumplimiento de las políticas y prácticas contables para la administración departamental         </t>
  </si>
  <si>
    <t>45.11.1</t>
  </si>
  <si>
    <t>Programa para el cumplimiento de las políticas y prácticas contables implementado</t>
  </si>
  <si>
    <t>201663000-0017</t>
  </si>
  <si>
    <t>Promoción al acceso a la justicia."Tú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</si>
  <si>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</si>
  <si>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1.2</t>
  </si>
  <si>
    <t>Infraestructura de las Instituciones de Seguridad del Estado con procesos constructivos, y/o mejorados, y/o ampliados, y/o mantenidos, y/o reforzados</t>
  </si>
  <si>
    <t>1.2.1</t>
  </si>
  <si>
    <t>Infraestructura de las Instituciones de Seguridad del Estado construida, mejorada, ampliada, mantenida, y/o reforzada</t>
  </si>
  <si>
    <t>I</t>
  </si>
  <si>
    <t>202000363-0007</t>
  </si>
  <si>
    <t>Construcción y/o mejoramiento de las instituciones públicas y/o de seguridad y  justicia  del estado en el Departamento Quindío</t>
  </si>
  <si>
    <t>Prestación de servicios de salud. "Tú y yo con servicios de salud"</t>
  </si>
  <si>
    <t>Índice Departamental de Competitividad</t>
  </si>
  <si>
    <t>13.11</t>
  </si>
  <si>
    <t xml:space="preserve">Infraestructura hospitalaria con procesos constructivos, mejorados, ampliados, mantenidos, y/o reforzados </t>
  </si>
  <si>
    <t>13.11.1</t>
  </si>
  <si>
    <t>Infraestructura hospitalaria con procesos constructivos, mejorados, ampliados, mantenidos, y/o reforzados realizados</t>
  </si>
  <si>
    <t>2. Salud</t>
  </si>
  <si>
    <t>202000363-0008</t>
  </si>
  <si>
    <t>Construcción y/o mejoramiento de la infraestructura física de las instituciones de salud pública y bienestar social del departamento del Quindío</t>
  </si>
  <si>
    <t>Calidad, cobertura y fortalecimiento de la educación inicial, prescolar, básica y media." Tú y yo con educación y de calidad"</t>
  </si>
  <si>
    <t>mantenidos, y/o reforzados</t>
  </si>
  <si>
    <t>Tasa de cobertura bruta en transición
Tasa de cobertura bruta en educación básica
Tasa de cobertura en educación media
Tasa de deserción escolar intra-anual</t>
  </si>
  <si>
    <t>15.32</t>
  </si>
  <si>
    <t>Infraestructura de Instituciones Educativas con procesos constructivos, mejorados, ampliados, mantenidos, y/o reforzados.</t>
  </si>
  <si>
    <t>15.32.1</t>
  </si>
  <si>
    <t>Infraestructura de Instituciones Educativas construida, mejorada, ampliada, mantenida, y/o reforzada.</t>
  </si>
  <si>
    <t>1. Educación</t>
  </si>
  <si>
    <t>201663000-0021</t>
  </si>
  <si>
    <t>Construir, mantener, mejorar y/o rehabilitar la infraestructura social del Departamento del Quindío</t>
  </si>
  <si>
    <t>Promoción y acceso efectivo a procesos culturales y artísticos. "Tú y yo somos cultura Quindiana"</t>
  </si>
  <si>
    <t>25.3</t>
  </si>
  <si>
    <t>3301068</t>
  </si>
  <si>
    <t>Servicio de mantenimiento de infraestructura cultural</t>
  </si>
  <si>
    <t>25.3.1</t>
  </si>
  <si>
    <t>330106800</t>
  </si>
  <si>
    <t>Infraestructura cultural intervenida</t>
  </si>
  <si>
    <t xml:space="preserve">5. Cultura </t>
  </si>
  <si>
    <t>Fomento a la recreación, la actividad física y el deporte. "Tú y yo en la recreación y el deporte"</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</si>
  <si>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</si>
  <si>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39.4</t>
  </si>
  <si>
    <t xml:space="preserve">Infraestructura  deportiva y/o recreativa con procesos   constructivos ,  y/o mejorados, y/o ampliados, y/o mantenidos, y/o  reforzados </t>
  </si>
  <si>
    <t>39.4.1</t>
  </si>
  <si>
    <t xml:space="preserve">Infraestructura   deportiva y/o recreativa construída y/o mejorada, y/o ampliada, y/o mantenida, y/o  reforzada </t>
  </si>
  <si>
    <t>4. Deporte y Recreación</t>
  </si>
  <si>
    <t>Formación y preparación de deportistas. "Tú y yo campeones"</t>
  </si>
  <si>
    <t>40.1</t>
  </si>
  <si>
    <t>Piscinas construidas y dotadas</t>
  </si>
  <si>
    <t>40.1.1</t>
  </si>
  <si>
    <t>Infraestructura productiva y comercialización. "Tú y yo con agro competitivo"</t>
  </si>
  <si>
    <t>Crecimiento económico del sector agropecuario (PIB)</t>
  </si>
  <si>
    <t>10.4</t>
  </si>
  <si>
    <t>Plazas de mercado adecuadas</t>
  </si>
  <si>
    <t>10.4.1</t>
  </si>
  <si>
    <t>13. Promoción del Desarrollo</t>
  </si>
  <si>
    <t>202000363-0009</t>
  </si>
  <si>
    <t>Construcción y/o mejoramiento  de la infraestructura turística y/o  productiva y  competitiva para el desarrollo del Departamento del Quindío</t>
  </si>
  <si>
    <t xml:space="preserve">Productividad y competitividad de las empresas colombianas. "Tú y yo con empresas competitivas" </t>
  </si>
  <si>
    <t>27.8</t>
  </si>
  <si>
    <t>Mirador turístico construido</t>
  </si>
  <si>
    <t>27.8.1</t>
  </si>
  <si>
    <t>Construcción y/o mejoramiento  de la infraestructura turística y/o  productiva y  competitiva para el desarrollo del Departamento del Quindío.</t>
  </si>
  <si>
    <t>Infraestructura red vial regional. "Tú y yo con movilidad vial"</t>
  </si>
  <si>
    <t>18.2</t>
  </si>
  <si>
    <t>Infraestructura   vial  con procesos  de construcción, mejoramiento, ampliación, mantenimiento y/o  reforzamiento.</t>
  </si>
  <si>
    <t>18.2.1</t>
  </si>
  <si>
    <t>9. Transporte</t>
  </si>
  <si>
    <t>201663000-0019</t>
  </si>
  <si>
    <t>Mantener, mejorar, rehabilitar y/o atender las vías y sus emergencias, en cumplimiento del Plan Vial del Departamento del Quindío</t>
  </si>
  <si>
    <t>3202</t>
  </si>
  <si>
    <t>Conservación de la biodiversidad y sus servicios ecosistémicos. "Tú y yo en territorios biodiversos"</t>
  </si>
  <si>
    <t xml:space="preserve">Porcentaje de Ecosistemas protegidos y/o en procesos de restauración en el Departamento </t>
  </si>
  <si>
    <t>21.3</t>
  </si>
  <si>
    <t xml:space="preserve">Infraestructura ecoturística construida </t>
  </si>
  <si>
    <t>21.3.1</t>
  </si>
  <si>
    <t>Ordenamiento Ambiental Territorial. "Tú y yo planificamos con sentido ambiental"</t>
  </si>
  <si>
    <t>23.5.1</t>
  </si>
  <si>
    <t>Obras de infraestructura para mitigación y atención a desastres</t>
  </si>
  <si>
    <t xml:space="preserve">Obras de infraestructura para mitigación y atención a desastres realizadas </t>
  </si>
  <si>
    <t>Acceso a soluciones de vivienda. "Tú y yo con vivienda digna"</t>
  </si>
  <si>
    <t>33.3</t>
  </si>
  <si>
    <t>Viviendas de interés social urbanas mejoradas</t>
  </si>
  <si>
    <t>33.3.1</t>
  </si>
  <si>
    <t>Viviendas de Interés Social urbanas mejoradas</t>
  </si>
  <si>
    <t>7. Vivienda</t>
  </si>
  <si>
    <t>Acceso de la población a los servicios de agua potable y saneamiento básico. "Tú y yo con calidad del agua"</t>
  </si>
  <si>
    <t xml:space="preserve">Cobertura de acueducto
Cobertura  de alcantarillado </t>
  </si>
  <si>
    <t>34.6</t>
  </si>
  <si>
    <t xml:space="preserve">Adoptar e implementar la Política Pública de Producción Consumo Sostenible y Gestión Integral de Aseo  </t>
  </si>
  <si>
    <t>34.6.1</t>
  </si>
  <si>
    <t>Política Pública de Producción Consumo Sostenible y Gestión Integral de Aseo  adoptada e implementada.</t>
  </si>
  <si>
    <t>3. Agua Potable y Saneamiento Básico</t>
  </si>
  <si>
    <t>202000363-0010</t>
  </si>
  <si>
    <t>Implementación del plan departamental para el mamenjo empresarial de los servicios de agua y saneamiento básico en el Departameno del Quindío</t>
  </si>
  <si>
    <t>34.1</t>
  </si>
  <si>
    <t>Alcantarillados construidos</t>
  </si>
  <si>
    <t>34.1.1</t>
  </si>
  <si>
    <t>Plantas de tratamiento de aguas residuales  construidas</t>
  </si>
  <si>
    <t>34.2</t>
  </si>
  <si>
    <t>Servicios de apoyo financiero para la ejecución de proyectos de acueductos y alcantarillado</t>
  </si>
  <si>
    <t>34.2.1</t>
  </si>
  <si>
    <t>Proyectos de acueducto y alcantarillado en área urbana financiados</t>
  </si>
  <si>
    <t>34.4</t>
  </si>
  <si>
    <t>Servicios de educación informal en agua potable y saneamiento básico</t>
  </si>
  <si>
    <t>34.4.1</t>
  </si>
  <si>
    <t>Eventos de educación informal en agua y saneamiento básico realizados</t>
  </si>
  <si>
    <t>34.5</t>
  </si>
  <si>
    <t>Estudios de pre inversión e inversión</t>
  </si>
  <si>
    <t>34.5.1</t>
  </si>
  <si>
    <t xml:space="preserve">Estudios o diseños realizados </t>
  </si>
  <si>
    <t>45.10</t>
  </si>
  <si>
    <t>Infraestructura institucional o  de edificios públicos de atención  de servicios ciudadanos con procesos constructivos y/o mejorados, y/o ampliados, y/o mantenidos, y/o  reforzados</t>
  </si>
  <si>
    <t>45.10.1</t>
  </si>
  <si>
    <t>Infraestructura Institucional o edificios públicos construida mejorada, ampliada, mantenida, y/o reforzada</t>
  </si>
  <si>
    <t>42.7</t>
  </si>
  <si>
    <t>Salones comunales adecuados</t>
  </si>
  <si>
    <t>42.7.1</t>
  </si>
  <si>
    <t xml:space="preserve">309  SECRETARÍA DEL INTERIOR </t>
  </si>
  <si>
    <t>1.1</t>
  </si>
  <si>
    <t>1.1.1</t>
  </si>
  <si>
    <t>Entidades territoriales asistidas técnicamente</t>
  </si>
  <si>
    <t>18. Justicia y Seguridad</t>
  </si>
  <si>
    <t>201663000-0029</t>
  </si>
  <si>
    <t>Apoyo a la convivencia, justicia y cultura de paz en el Departamento del  Quindío</t>
  </si>
  <si>
    <t>Promoción de los métodos de resolución de conflictos. "Tú y yo resolvemos los conflictos"</t>
  </si>
  <si>
    <t>2.1</t>
  </si>
  <si>
    <t>Servicio de asistencia técnica para la implementación de los métodos de resolución de conflictos</t>
  </si>
  <si>
    <t>2.1.1</t>
  </si>
  <si>
    <t>Instituciones públicas y privadas asistidas técnicamente en métodos de resolución de conflictos</t>
  </si>
  <si>
    <t>201663000-0028</t>
  </si>
  <si>
    <t xml:space="preserve">Construcción integral de la seguridad humana en el Departamento de Quindío  </t>
  </si>
  <si>
    <t>Sistema penitenciario y carcelario en el marco de los derechos humanos. "Quindío respeta derechos penitenciarios"</t>
  </si>
  <si>
    <t>3.1</t>
  </si>
  <si>
    <t>Servicio de resocialización de personas privadas de la libertad</t>
  </si>
  <si>
    <t>3.1.1</t>
  </si>
  <si>
    <t>Personas privadas de la libertad (PPL) que reciben Servicio de resocialización</t>
  </si>
  <si>
    <t>15.28</t>
  </si>
  <si>
    <t>Servicio de gestión de riesgos y desastres en establecimientos educativos</t>
  </si>
  <si>
    <t>15.28.1</t>
  </si>
  <si>
    <t>Establecimientos educativos con acciones de gestión del riesgo implementadas</t>
  </si>
  <si>
    <t>201663000-0036</t>
  </si>
  <si>
    <t xml:space="preserve">Administración del  riesgo mediante el conocimiento, la reducción y el manejo del desastre  en el Departamento del Quindío </t>
  </si>
  <si>
    <t>Atención, asistencia y reparación integral a las víctimas. "Tú y yo con reparación integral"</t>
  </si>
  <si>
    <t>Cobertura de la población victima atendida con procesos de atención, prevención y asistencia humanitaria</t>
  </si>
  <si>
    <t>35.2</t>
  </si>
  <si>
    <t>Servicio de orientación y comunicación a las víctimas</t>
  </si>
  <si>
    <t>35.2.1</t>
  </si>
  <si>
    <t>Solicitudes tramitadas</t>
  </si>
  <si>
    <t>14. Atención a Grupos Vulnerables Promoción Social</t>
  </si>
  <si>
    <t>201663000-0030</t>
  </si>
  <si>
    <t>Implementación del Plan de Acción Territorial para la prevención, protección, asistencia, atención, reparación integral en el Departamento del Quindío</t>
  </si>
  <si>
    <t>35.3</t>
  </si>
  <si>
    <t>Servicio de ayuda y atención humanitaria</t>
  </si>
  <si>
    <t>35.3.1</t>
  </si>
  <si>
    <t>Personas víctimas con ayuda humanitaria</t>
  </si>
  <si>
    <t>35.4</t>
  </si>
  <si>
    <t>Servicio de asistencia técnica para la participación de las víctimas</t>
  </si>
  <si>
    <t>35.4.1</t>
  </si>
  <si>
    <t>Eventos de participación realizados</t>
  </si>
  <si>
    <t>Cobertura de víctimas atendidas con la línea de emprendimiento y fortalecimiento.</t>
  </si>
  <si>
    <t>35.5</t>
  </si>
  <si>
    <t>Servicio de apoyo para la generación de ingresos</t>
  </si>
  <si>
    <t>35.5.1</t>
  </si>
  <si>
    <t>Hogares con asistencia técnica para la generación de ingresos</t>
  </si>
  <si>
    <t>Cobertura de Personas víctimas del conflicto beneficiadas con medidas de satisfacción (Construcción de memoria, Reparación simbólica y Construcción de lugares de memoria)</t>
  </si>
  <si>
    <t>35.1</t>
  </si>
  <si>
    <t>Servicio de asistencia técnica para la realización de iniciativas de memoria histórica</t>
  </si>
  <si>
    <t>35.1.1</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</si>
  <si>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</si>
  <si>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</si>
  <si>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</si>
  <si>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37.8</t>
  </si>
  <si>
    <t>Servicio de atención y asistencia para la población excombatiente del Departamento del Quindío</t>
  </si>
  <si>
    <t>37.8.1</t>
  </si>
  <si>
    <t>Población excombatiente beneficiada</t>
  </si>
  <si>
    <t>201663000-0032</t>
  </si>
  <si>
    <t>Implementación del Plan Integral de prevención de vulneraciones de los Derechos Humanos DDHH e infracciones  al Derecho Internacional Humanitario DIH en el Departamento del Quindío</t>
  </si>
  <si>
    <t>Fortalecimiento de la convivencia y la seguridad ciudadana. "Tú y yo seguros"</t>
  </si>
  <si>
    <t>41.3</t>
  </si>
  <si>
    <t>Fortalecimiento institucional a organismos de seguridad</t>
  </si>
  <si>
    <t>41.3.1</t>
  </si>
  <si>
    <t>Organismos de seguridad fortalecidos</t>
  </si>
  <si>
    <t>41.2</t>
  </si>
  <si>
    <t>Servicio de apoyo para la implementación de medidas en derechos humanos y derecho internacional humanitario</t>
  </si>
  <si>
    <t>41.2.1</t>
  </si>
  <si>
    <t>Medidas implementadas en cumplimiento de las obligaciones internacionales en materia de Derechos Humanos y Derecho Internacional Humanitario</t>
  </si>
  <si>
    <t>41.1</t>
  </si>
  <si>
    <t>Servicio de asistencia técnica</t>
  </si>
  <si>
    <t>41.1.1</t>
  </si>
  <si>
    <t>Instancias territoriales de coordinación institucional asistidas y apoyadas</t>
  </si>
  <si>
    <t>201663000-0039</t>
  </si>
  <si>
    <t>Construcción de la participación ciudadana y control social en el Departamento del Quindío</t>
  </si>
  <si>
    <t>23.1</t>
  </si>
  <si>
    <t>Documentos de estudios técnicos para el ordenamiento ambiental territorial</t>
  </si>
  <si>
    <t>23.1.1</t>
  </si>
  <si>
    <t>Documentos de estudios técnicos para el conocimiento y reducción del riesgo de desastres elaborados</t>
  </si>
  <si>
    <t>12. Prevención y Atención de Desastres</t>
  </si>
  <si>
    <t>23.5</t>
  </si>
  <si>
    <t>Prevención y atención de desastres y emergencias. "Tú y yo preparados en gestión del riesgo"</t>
  </si>
  <si>
    <t>43.1</t>
  </si>
  <si>
    <t>Servicio de educación informal</t>
  </si>
  <si>
    <t>43.1.1</t>
  </si>
  <si>
    <t>Personas capacitadas</t>
  </si>
  <si>
    <t>Cobertura de atención  del Sistema Departamental de Gestión del Riesgo de Desastres del Quindío.</t>
  </si>
  <si>
    <t>43.2</t>
  </si>
  <si>
    <t>43.2.1</t>
  </si>
  <si>
    <t>Instancias territoriales asistidas</t>
  </si>
  <si>
    <t>43.3</t>
  </si>
  <si>
    <t>Servicio de atención a emergencias y desastres</t>
  </si>
  <si>
    <t>43.3.1</t>
  </si>
  <si>
    <t>Centro de reserva  para la atención a emergencias y desastres dotado</t>
  </si>
  <si>
    <t>201663000-0038</t>
  </si>
  <si>
    <t>Apoyo institucional en la gestión del riesgo  en el Departamento del Quindío</t>
  </si>
  <si>
    <t>42.8</t>
  </si>
  <si>
    <t>Servicio de promoción a la participación ciudadana</t>
  </si>
  <si>
    <t>42.8.1</t>
  </si>
  <si>
    <t>Iniciativas para la promoción de la participación ciudadana implementada.</t>
  </si>
  <si>
    <t>42.9</t>
  </si>
  <si>
    <t>Implementar la Política de Libertad Religiosa</t>
  </si>
  <si>
    <t>42.9.1</t>
  </si>
  <si>
    <t>Política de Libertad Religiosa Implementado</t>
  </si>
  <si>
    <t>42.5</t>
  </si>
  <si>
    <t>Fortalecimiento de los organismos  de acción comunal (OAC)  de los doce municipios del Departamento en lo relacionado a sus procesos formativos, participativos, de organización y  gestión.</t>
  </si>
  <si>
    <t>42.5.1</t>
  </si>
  <si>
    <t>201663000-0040</t>
  </si>
  <si>
    <t xml:space="preserve">Desarrollo de los Organismos Comunales en el Departamento del Quindío </t>
  </si>
  <si>
    <t>42.6</t>
  </si>
  <si>
    <t xml:space="preserve">Formulación de la  Política Pública Departamental para la  Acción Comunal </t>
  </si>
  <si>
    <t>42.6.1</t>
  </si>
  <si>
    <t>Una Política Pública formulada.</t>
  </si>
  <si>
    <t>201663000-0042</t>
  </si>
  <si>
    <t xml:space="preserve">Fortalecimiento de las veedurias ciudadanas en el Departamento del Quindío </t>
  </si>
  <si>
    <t xml:space="preserve">310 SECRETARÍA DE CULTURA </t>
  </si>
  <si>
    <t>25.6</t>
  </si>
  <si>
    <t>Servicio de educación informal en áreas artísticas y culturales</t>
  </si>
  <si>
    <t>25.6.1</t>
  </si>
  <si>
    <t>201663000-0046</t>
  </si>
  <si>
    <t>Apoyo al arte y la cultura en todo el Departamento del Quindío</t>
  </si>
  <si>
    <t>25.4</t>
  </si>
  <si>
    <t>Servicio de circulación artística y cultural</t>
  </si>
  <si>
    <t>25.4.1</t>
  </si>
  <si>
    <t>Producciones artísticas en circulación</t>
  </si>
  <si>
    <t>25.5</t>
  </si>
  <si>
    <t>Servicios bibliotecarios</t>
  </si>
  <si>
    <t>25.5.1</t>
  </si>
  <si>
    <t>330108500</t>
  </si>
  <si>
    <t>Usuarios atendidos</t>
  </si>
  <si>
    <t>202000363-0011</t>
  </si>
  <si>
    <t xml:space="preserve">Implementación del programa "Tú y Yo Somos Cultura", para el fortalecimiento a la léctura,  escitura  y bibliotecas en el Departamento del Quindío </t>
  </si>
  <si>
    <t>25.9</t>
  </si>
  <si>
    <t>Servicio de divulgación y publicaciones</t>
  </si>
  <si>
    <t>25.9.1</t>
  </si>
  <si>
    <t>330110000</t>
  </si>
  <si>
    <t>Publicaciones realizadas</t>
  </si>
  <si>
    <t>25.8</t>
  </si>
  <si>
    <t>Servicio de información para el sector artístico y cultural</t>
  </si>
  <si>
    <t>25.8.1</t>
  </si>
  <si>
    <t>330109900</t>
  </si>
  <si>
    <t>Sistema de información del sector artístico y cultural en operación</t>
  </si>
  <si>
    <t>202000363-0012</t>
  </si>
  <si>
    <t xml:space="preserve"> Implementación de la "Ruta de la felicidad y la identidad quindiana", para  el fortalecimiento y visibilización de los procesos   artisticos  y culturales   en el Departamento del Quindío</t>
  </si>
  <si>
    <t>25.7</t>
  </si>
  <si>
    <t>Servicio de asistencia técnica en gestión artística y cultural</t>
  </si>
  <si>
    <t>25.7.1</t>
  </si>
  <si>
    <t>330109500</t>
  </si>
  <si>
    <t>Personas asistidas técnicamente</t>
  </si>
  <si>
    <t>201663000-0045</t>
  </si>
  <si>
    <t xml:space="preserve">Apoyo a seguridad social del creador y gestor cultural del Departamento del Quindío </t>
  </si>
  <si>
    <t>Gestión, protección y salvaguardia del patrimonio cultural colombiano. "Tú y yo protectores del patrimonio cultural"</t>
  </si>
  <si>
    <t>26.1</t>
  </si>
  <si>
    <t>Servicio de asistencia técnica en el manejo y gestión del patrimonio arqueológico, antropológico e histórico.</t>
  </si>
  <si>
    <t>26.1.1</t>
  </si>
  <si>
    <t>330204200</t>
  </si>
  <si>
    <t xml:space="preserve">Asistencias técnicas realizadas a entidades territoriales </t>
  </si>
  <si>
    <t>201663000-0049</t>
  </si>
  <si>
    <t>Apoyo al reconocimiento, apropiación y salvaguardia y difusión del patrimonio cultural en todo el Departamento del Quindío</t>
  </si>
  <si>
    <t>26.2</t>
  </si>
  <si>
    <t>Servicio de divulgación y publicación del Patrimonio cultural</t>
  </si>
  <si>
    <t>26.2.1</t>
  </si>
  <si>
    <t>330207000</t>
  </si>
  <si>
    <t xml:space="preserve">311 SECRETARÍA DE TURISMO INDUSTRIA Y COMERCIO </t>
  </si>
  <si>
    <t>27.1</t>
  </si>
  <si>
    <t>Servicio de apoyo y consolidación de las Comisiones Regionales de Competitividad - CRC</t>
  </si>
  <si>
    <t>27.1.1</t>
  </si>
  <si>
    <t>350200600</t>
  </si>
  <si>
    <t xml:space="preserve">Planes de trabajo concertados con las CRC para su consolidación </t>
  </si>
  <si>
    <t>201663000-0051</t>
  </si>
  <si>
    <t>Apoyo al mejoramiento de la competitividad a iniciativas  productivas en el  Departamento del Quindío</t>
  </si>
  <si>
    <t>27.2</t>
  </si>
  <si>
    <t>27.2.1</t>
  </si>
  <si>
    <t>350200700</t>
  </si>
  <si>
    <t>Clústeres asistidos en la implementación de los planes de acción</t>
  </si>
  <si>
    <t>27.4</t>
  </si>
  <si>
    <t>Servicio de asistencia técnica a las Mipymes para el acceso a nuevos mercados</t>
  </si>
  <si>
    <t>27.4.1</t>
  </si>
  <si>
    <t>350202200</t>
  </si>
  <si>
    <t>Empresas asistidas técnicamente</t>
  </si>
  <si>
    <t>201663000-0056</t>
  </si>
  <si>
    <t xml:space="preserve">Fortalecimiento del sector empresarial  hacia mercados globales en el Departamento del Quindío .   </t>
  </si>
  <si>
    <t>27.7</t>
  </si>
  <si>
    <t>Documentos de planeación</t>
  </si>
  <si>
    <t>27.7.1</t>
  </si>
  <si>
    <t>350204700</t>
  </si>
  <si>
    <t>Documentos de planeación elaborados</t>
  </si>
  <si>
    <t>27.5</t>
  </si>
  <si>
    <t>Servicio de asistencia técnica a los entes territoriales para el desarrollo turístico</t>
  </si>
  <si>
    <t>27.5.1</t>
  </si>
  <si>
    <t>350203900</t>
  </si>
  <si>
    <t>201663000-0059</t>
  </si>
  <si>
    <t>Fortalecimiento de la oferta de prestadores de servicos, productos y atractivos turísticos en el Departamento del Quindío</t>
  </si>
  <si>
    <t>27.5.2</t>
  </si>
  <si>
    <t>350203910</t>
  </si>
  <si>
    <t>Proyectos de infraestructura turística apoyados</t>
  </si>
  <si>
    <t>27.6</t>
  </si>
  <si>
    <t>Servicio de promoción turística</t>
  </si>
  <si>
    <t>27.6.1</t>
  </si>
  <si>
    <t>350204600</t>
  </si>
  <si>
    <t>Campañas realizadas</t>
  </si>
  <si>
    <t>201663000-0062</t>
  </si>
  <si>
    <t>Apoyo a la promoción nacional e internacional como destino  turísmo del Departamento del Quindío</t>
  </si>
  <si>
    <t>Generación y formalización del empleo. "Tú y yo con empleo de calidad"</t>
  </si>
  <si>
    <t>28.1</t>
  </si>
  <si>
    <t>Servicios de apoyo financiero para la creación de empresas</t>
  </si>
  <si>
    <t>28.1.1</t>
  </si>
  <si>
    <t>Planes de negocio financiados</t>
  </si>
  <si>
    <t>201663000-0053</t>
  </si>
  <si>
    <t>Apoyo al emprendimiento, empresarismo, asociatividad y generación de empleo en el departamento del Quindío</t>
  </si>
  <si>
    <t>28.4</t>
  </si>
  <si>
    <t>Servicio de asesoría técnica para el emprendimiento.</t>
  </si>
  <si>
    <t>28.4.1</t>
  </si>
  <si>
    <t>Emprendimientos fortalecidos</t>
  </si>
  <si>
    <t>28.2</t>
  </si>
  <si>
    <t>28.2.1</t>
  </si>
  <si>
    <t>Talleres de oferta institucional realizados</t>
  </si>
  <si>
    <t>28.3</t>
  </si>
  <si>
    <t>Servicio de información y monitoreo del mercado de trabajo</t>
  </si>
  <si>
    <t>28.3.1</t>
  </si>
  <si>
    <t>360203000</t>
  </si>
  <si>
    <t>Reportes realizados</t>
  </si>
  <si>
    <t xml:space="preserve">312 SECRETARÍA DE AGRICULTURA, DESARROLLO RURAL Y MEDIO AMBIENTE </t>
  </si>
  <si>
    <t>Inclusión productiva de pequeños productores rurales. "Tú y yo con oportunidades para el pequeño campesino"</t>
  </si>
  <si>
    <t>4.3</t>
  </si>
  <si>
    <t>Servicio de asesoría para el fortalecimiento de la asociatividad</t>
  </si>
  <si>
    <t>4.3.1</t>
  </si>
  <si>
    <t>170201100</t>
  </si>
  <si>
    <t>Asociaciones fortalecidas</t>
  </si>
  <si>
    <t>201663000-0075</t>
  </si>
  <si>
    <t xml:space="preserve">Fomento al emprendimiento y  al empleo rural en el Departamento del Quindío  </t>
  </si>
  <si>
    <t>4.1</t>
  </si>
  <si>
    <t>Servicio de apoyo financiero para proyectos productivos</t>
  </si>
  <si>
    <t>4.1.1</t>
  </si>
  <si>
    <t>170200700</t>
  </si>
  <si>
    <t>Proyectos productivos cofinanciados</t>
  </si>
  <si>
    <t>4.5</t>
  </si>
  <si>
    <t>Servicio de apoyo para el fomento organizativo de la agricultura campesina, familiar y comunitaria</t>
  </si>
  <si>
    <t>4.5.1</t>
  </si>
  <si>
    <t>170201700</t>
  </si>
  <si>
    <t>Productores agropecuarios apoyados</t>
  </si>
  <si>
    <t>8. Agropecuario</t>
  </si>
  <si>
    <t>201663000-0079</t>
  </si>
  <si>
    <t>Fomento a la agricultura familiar , urbana y  mercados campesinos para la soberanía y  Seguridad alimentaria en el Departamento del Quindío</t>
  </si>
  <si>
    <t>4.10</t>
  </si>
  <si>
    <t>Servicio de apoyo a la comercialización</t>
  </si>
  <si>
    <t>4.10.1</t>
  </si>
  <si>
    <t>170203800</t>
  </si>
  <si>
    <t>Organizaciones de productores formales apoyadas</t>
  </si>
  <si>
    <t>201663000-0078</t>
  </si>
  <si>
    <t>Fortalecimiento a la competitividad productiva y empresarial del sector rural en el Departamento del Quindío</t>
  </si>
  <si>
    <t>4.10.2</t>
  </si>
  <si>
    <t>170203801</t>
  </si>
  <si>
    <t>Productores apoyados para la participación en mercados campesinos</t>
  </si>
  <si>
    <t>4.7</t>
  </si>
  <si>
    <t>4.7.1</t>
  </si>
  <si>
    <t>170202301</t>
  </si>
  <si>
    <t>Planes de Desarrollo Agropecuario y Rural elaborados</t>
  </si>
  <si>
    <t>Implementación de procesos de extensión agropecuaria e inocuidad (estatus sanitario, BPA, BPG) alimentaria; en el Departamento del Quindío</t>
  </si>
  <si>
    <t>4.8</t>
  </si>
  <si>
    <t>Servicios de acompañamiento en la implementación de planes de desarrollo agropecuario y rural</t>
  </si>
  <si>
    <t>4.8.1</t>
  </si>
  <si>
    <t>170202400</t>
  </si>
  <si>
    <t>Planes de Desarrollo Agropecuario y Rural acompañados</t>
  </si>
  <si>
    <t>4.4</t>
  </si>
  <si>
    <t>Servicio de apoyo para el acceso a maquinaria y equipos</t>
  </si>
  <si>
    <t>4.4.1</t>
  </si>
  <si>
    <t>170201400</t>
  </si>
  <si>
    <t>Productores beneficiados con acceso a maquinaria y equipo</t>
  </si>
  <si>
    <t>202000363-0014</t>
  </si>
  <si>
    <t>Implementación de procesos productivos agropecuarios familiares campesinos en busca de la soberanía y seguridad alimentaria en el Departamento del Quindío</t>
  </si>
  <si>
    <t>Servicio de apoyo para el fomento organizativo de la Agricultura Campesina, Familiar y Comunitaria</t>
  </si>
  <si>
    <t>4.6</t>
  </si>
  <si>
    <t>Servicio de acompañamiento productivo y empresarial</t>
  </si>
  <si>
    <t>4.6.1</t>
  </si>
  <si>
    <t>170202100</t>
  </si>
  <si>
    <t>Unidades productivas beneficiadas</t>
  </si>
  <si>
    <t>4.9</t>
  </si>
  <si>
    <t>Servicio de apoyo en la formulación y estructuración de proyectos</t>
  </si>
  <si>
    <t>4.9.1</t>
  </si>
  <si>
    <t>170202500</t>
  </si>
  <si>
    <t>Proyectos estructurados</t>
  </si>
  <si>
    <t>202000363-0015</t>
  </si>
  <si>
    <t xml:space="preserve">Implementación de procesos de agro industrialización con calidad e inocuidad en el Departamento del Quindío </t>
  </si>
  <si>
    <t>Servicios financieros y gestión del riesgo para las actividades agropecuarias y rurales. "Tú y yo con un campo protegido"</t>
  </si>
  <si>
    <t>5.1</t>
  </si>
  <si>
    <t>Servicio de apoyo a la implementación de mecanismos y herramientas para el conocimiento, reducción y manejo de riesgos agropecuarios</t>
  </si>
  <si>
    <t>5.1.1</t>
  </si>
  <si>
    <t>170301300</t>
  </si>
  <si>
    <t>Personas beneficiadas</t>
  </si>
  <si>
    <t>Ordenamiento social y uso productivo del territorio rural. "Tú y yo con un campo planificado"</t>
  </si>
  <si>
    <t>6.1</t>
  </si>
  <si>
    <t>Documentos de lineamientos técnicos</t>
  </si>
  <si>
    <t>6.1.1</t>
  </si>
  <si>
    <t>170400203</t>
  </si>
  <si>
    <t>Documentos de lineamientos para el ordenamiento social y productivo elaborados</t>
  </si>
  <si>
    <t>202000363-0016</t>
  </si>
  <si>
    <t>Implementación de procesos de ordenamiento productivo y social territorial</t>
  </si>
  <si>
    <t>6.2</t>
  </si>
  <si>
    <t>Servicio de apoyo para el fomento de la formalidad</t>
  </si>
  <si>
    <t>6.2.1</t>
  </si>
  <si>
    <t>170401700</t>
  </si>
  <si>
    <t xml:space="preserve">Personas sensibilizadas en la formalización </t>
  </si>
  <si>
    <t>Aprovechamiento de mercados externos. "Tú y yo a los mercados internacionales"</t>
  </si>
  <si>
    <t>7.1</t>
  </si>
  <si>
    <t>Servicio de apoyo financiero para la participación en ferias nacionales e internacionales</t>
  </si>
  <si>
    <t>7.1.1</t>
  </si>
  <si>
    <t>170600400</t>
  </si>
  <si>
    <t>Participaciones en ferias nacionales e internacionales</t>
  </si>
  <si>
    <t>Sanidad agropecuaria e inocuidad agroalimentaria. "Tú y yo con un agro saludable"</t>
  </si>
  <si>
    <t>8.1</t>
  </si>
  <si>
    <t>Servicio de divulgación y socialización</t>
  </si>
  <si>
    <t>8.1.1</t>
  </si>
  <si>
    <t>170706900</t>
  </si>
  <si>
    <t>Eventos realizados</t>
  </si>
  <si>
    <t>Ciencia, tecnología e innovación agropecuaria. "Tú y yo con un agro interconectado"</t>
  </si>
  <si>
    <t>9.1</t>
  </si>
  <si>
    <t>9.1.1</t>
  </si>
  <si>
    <t>170801600</t>
  </si>
  <si>
    <t>Documentos de lineamientos técnicos elaborados</t>
  </si>
  <si>
    <t>202000363-0017</t>
  </si>
  <si>
    <t xml:space="preserve">Implementación de procesos de innovación, ciencia y tecnología agropecuario en el Departamento del Quindío </t>
  </si>
  <si>
    <t>10.1</t>
  </si>
  <si>
    <t>Centros logísticos agropecuarios adecuados</t>
  </si>
  <si>
    <t>10.1.1</t>
  </si>
  <si>
    <t>170901900</t>
  </si>
  <si>
    <t>Implementación de procesos de agro industrialización con calidad e inocuidad en el Departamento del Quindío</t>
  </si>
  <si>
    <t>10.2</t>
  </si>
  <si>
    <t>Infraestructura de pos cosecha adecuada</t>
  </si>
  <si>
    <t>10.2.1</t>
  </si>
  <si>
    <t>170903400</t>
  </si>
  <si>
    <t>Crecimiento económico del sector agropecuario (PIB)
Tasa desempleo</t>
  </si>
  <si>
    <t>27.3</t>
  </si>
  <si>
    <t>Servicio de asistencia técnica para emprendedores y/o empresas en edad temprana</t>
  </si>
  <si>
    <t>27.3.1</t>
  </si>
  <si>
    <t>350201701</t>
  </si>
  <si>
    <t xml:space="preserve">Necesidades empresariales atendidas a partir de emprendimientos </t>
  </si>
  <si>
    <t>Servicio de asistencia técnica para el desarrollo de iniciativas clústeres</t>
  </si>
  <si>
    <t>3201</t>
  </si>
  <si>
    <t>Fortalecimiento del desempeño ambiental de los sectores productivos. "Tú y yo guardianes de la biodiversidad.</t>
  </si>
  <si>
    <t>20.2</t>
  </si>
  <si>
    <t>Documentos de lineamientos técnicos para mejorar la calidad ambiental de las áreas urbanas</t>
  </si>
  <si>
    <t>20.2.1</t>
  </si>
  <si>
    <t>320101300</t>
  </si>
  <si>
    <t>10. Ambiental</t>
  </si>
  <si>
    <t>202000363-0018</t>
  </si>
  <si>
    <t xml:space="preserve">Fortalecimiento de los procesos de gestión ambiental urbana y rural para la protección del paisaje y la biodiversidad en el Departamento del Quindío </t>
  </si>
  <si>
    <t>21.2</t>
  </si>
  <si>
    <t>Servicio apoyo financiero para la implementación de esquemas de pago por servicio ambientales</t>
  </si>
  <si>
    <t>21.2.1</t>
  </si>
  <si>
    <t>320201700</t>
  </si>
  <si>
    <t>201663000-0067</t>
  </si>
  <si>
    <t>Gestón integral de cuencas hidrográficas en el Departamento del Quindío</t>
  </si>
  <si>
    <t>21.4</t>
  </si>
  <si>
    <t>Servicio de recuperación de cuerpos de agua lénticos y lóticos</t>
  </si>
  <si>
    <t>21.4.1</t>
  </si>
  <si>
    <t>320203704</t>
  </si>
  <si>
    <t>Bosque ripario recuperado</t>
  </si>
  <si>
    <t>201663000-0068</t>
  </si>
  <si>
    <t>Aplicación de mecanismos de protección ambiental en el Departamento del Quindío</t>
  </si>
  <si>
    <t>21.7</t>
  </si>
  <si>
    <t>21.7.1</t>
  </si>
  <si>
    <t xml:space="preserve">Numero de Hectáreas intervenidas </t>
  </si>
  <si>
    <t>21.5</t>
  </si>
  <si>
    <t xml:space="preserve">Estrategia  departamental para la protección y bienestar de los animales domésticos y silvestres del Departamento </t>
  </si>
  <si>
    <t>21.5.1</t>
  </si>
  <si>
    <t>Estrategia  para la protección y bienestar de los animales domésticos y silvestres adoptada</t>
  </si>
  <si>
    <t>202000363-0019</t>
  </si>
  <si>
    <t>Apoyo a la generación de entornos  amigables para nuestros animales en el departamento del Quindío</t>
  </si>
  <si>
    <t>21.6</t>
  </si>
  <si>
    <t>Realizar  campaña  de sensibilización y apropiación del patrimonio ambiental en el Departamento</t>
  </si>
  <si>
    <t>21.6.1</t>
  </si>
  <si>
    <t>Campaña  de sensibilización y apropiación del patrimonio ambiental realizada</t>
  </si>
  <si>
    <t>201663000-0069</t>
  </si>
  <si>
    <t>Fortalecimiento  y potencialización de los servicios ecosistemicos en el Departamento del Quindío</t>
  </si>
  <si>
    <t>3204</t>
  </si>
  <si>
    <t>Gestión de la información y el conocimiento ambiental. "Tú y yo conscientes con la naturaleza"</t>
  </si>
  <si>
    <t>22.1</t>
  </si>
  <si>
    <t>Servicio de apoyo financiero a emprendimientos</t>
  </si>
  <si>
    <t>22.1.1</t>
  </si>
  <si>
    <t>320401200</t>
  </si>
  <si>
    <t xml:space="preserve">Emprendimientos apoyados </t>
  </si>
  <si>
    <t>202000363-0020</t>
  </si>
  <si>
    <t xml:space="preserve">Apoyo a nuevos modelos de vida sostenibles, sustentables y eficientes en el suelo rural y urbano en el Departamento del Quindío </t>
  </si>
  <si>
    <t>Obras para estabilización de taludes</t>
  </si>
  <si>
    <t>23.3.1</t>
  </si>
  <si>
    <t>320501000</t>
  </si>
  <si>
    <t>Obras para estabilización de taludes realizadas</t>
  </si>
  <si>
    <t>3206</t>
  </si>
  <si>
    <t>Gestión del cambio climático para un desarrollo bajo en carbono y resiliente al clima. "Tú y yo preparados para el cambio climático"</t>
  </si>
  <si>
    <t>24.2</t>
  </si>
  <si>
    <t>Servicio de producción de plántulas en viveros</t>
  </si>
  <si>
    <t>24.2.1</t>
  </si>
  <si>
    <t>320601400</t>
  </si>
  <si>
    <t>Plántulas producidas</t>
  </si>
  <si>
    <t>202000363-0021</t>
  </si>
  <si>
    <t xml:space="preserve">313 DIRECCIÓN OFICINA PRIVADA </t>
  </si>
  <si>
    <t>Fortalecimiento de la Gestión  y Desempeño Institucional</t>
  </si>
  <si>
    <t>45.8</t>
  </si>
  <si>
    <t>Desarrollo de  la Política  de Transparencia, Acceso a la Información Pública y Lucha Contra la Corrupción del Modelo Integrado de Planificación y Gestión MIPG, articulada con el "Pacto por la Integridad , Transparencia y Legalidad" del Gobierno Nacional</t>
  </si>
  <si>
    <t>45.8.1</t>
  </si>
  <si>
    <t>201663000-0082</t>
  </si>
  <si>
    <t>Desarrollar y fortalecer la cultura de la transparencia, participación, buen gobierno  y valores éticos y morales en el Departamento del Quindío</t>
  </si>
  <si>
    <t>45.7</t>
  </si>
  <si>
    <t>Desarrollo e implementación de la estrategia de comunicaciones para la Administración Departamental</t>
  </si>
  <si>
    <t>45.7.1</t>
  </si>
  <si>
    <t>Estrategia de comunicaciones desarrollada e implementada</t>
  </si>
  <si>
    <t>201663000-0081</t>
  </si>
  <si>
    <t>Implementación de  la estrategia de comunicaciones para  la divulgación de  los programas, proyectos,  actividades y servicios del Departamento del Quindío</t>
  </si>
  <si>
    <t>42.4</t>
  </si>
  <si>
    <t>42.4.1</t>
  </si>
  <si>
    <t>Encuentros  ciudadanos realizados.</t>
  </si>
  <si>
    <t>202000363-0022</t>
  </si>
  <si>
    <t>Fortalecimiento de  las capacidades institucionales de la administración departamental del Quindío, para generar condiciones de gobernanza territorial, participación, administración eficiente y transparente.</t>
  </si>
  <si>
    <t xml:space="preserve">314 SECRETARÍA DE EDUCACIÓN </t>
  </si>
  <si>
    <t>Tasa de deserción escolar intra -anual</t>
  </si>
  <si>
    <t>15.13</t>
  </si>
  <si>
    <t>Servicio de fomento para la permanencia en programas de educación formal</t>
  </si>
  <si>
    <t>15.13.1</t>
  </si>
  <si>
    <t>Personas beneficiarias de estrategias de permanencia</t>
  </si>
  <si>
    <t>201663000-0084</t>
  </si>
  <si>
    <t xml:space="preserve">Fortalecimiento de las estrategias para el acceso,  permanencia y seguridad  de los niños, niñas y jóvenes en el  sistema educativo del Departamento del Quindío </t>
  </si>
  <si>
    <t>Tasa de cobertura bruta en transición
Tasa de cobertura bruta en educación básica
Tasa de cobertura en educación media
Tasa de deserción escolar intra-anual
Tasa de repitencia</t>
  </si>
  <si>
    <t>15.9</t>
  </si>
  <si>
    <t>Servicio de apoyo a la permanencia con alimentación escolar</t>
  </si>
  <si>
    <t>15.9.1</t>
  </si>
  <si>
    <t>Beneficiarios de la alimentación escolar</t>
  </si>
  <si>
    <t xml:space="preserve">Tasa de cobertura bruta en educación básica
Tasa de cobertura en educación media
</t>
  </si>
  <si>
    <t>15.22</t>
  </si>
  <si>
    <t>Servicio de apoyo para la implementación de la estrategia educativa del sistema de responsabilidad penal para adolescentes</t>
  </si>
  <si>
    <t>15.22.1</t>
  </si>
  <si>
    <t>Entidades Territoriales certificadas con asistencia técnica para el fortalecimiento de la estrategia educativa del sistema de responsabilidad penal para adolescentes</t>
  </si>
  <si>
    <t>201663000-0086</t>
  </si>
  <si>
    <t>Implementación de estrategias de inclusión para garantizar la atención educativa a población vulnerable en el  Departamento del  Quindío</t>
  </si>
  <si>
    <t>Tasa de cobertura bruta en educación básica
Tasa de cobertura en educación media
Tasa de Analfabetismo
Tasa de deserción escolar intra-anual
Tasa de repitencia</t>
  </si>
  <si>
    <t>15.11</t>
  </si>
  <si>
    <t>Servicio educación formal por modelos educativos flexibles</t>
  </si>
  <si>
    <t>15.11.1</t>
  </si>
  <si>
    <t>Beneficiarios atendidos con modelos educativos flexibles</t>
  </si>
  <si>
    <t xml:space="preserve">Tasa de cobertura bruta en transición
Tasa de cobertura bruta en educación básica
Tasa de cobertura en educación media
</t>
  </si>
  <si>
    <t>15.30</t>
  </si>
  <si>
    <t>Servicio educativo</t>
  </si>
  <si>
    <t>15.30.1</t>
  </si>
  <si>
    <t>Establecimientos educativos en operación</t>
  </si>
  <si>
    <t>201663000-0087</t>
  </si>
  <si>
    <t>201663000-0098</t>
  </si>
  <si>
    <t>Funcionamiento y prestación de servicios del sector educativo del nivel central en el Departamento del Quindío</t>
  </si>
  <si>
    <t>Tasa de cobertura bruta en transición
Tasa de cobertura bruta en educación básica
Tasa de cobertura en educación media
Tasa de Analfabetismo
Tasa de deserción escolar intra-anual
Tasa de repitencia</t>
  </si>
  <si>
    <t>15.2</t>
  </si>
  <si>
    <t>Servicio de asistencia técnica en educación inicial, preescolar, básica y media</t>
  </si>
  <si>
    <t>15.2.1</t>
  </si>
  <si>
    <t>Entidades y organizaciones asistidas técnicamente</t>
  </si>
  <si>
    <t>201663000-0090</t>
  </si>
  <si>
    <t>Mejoramiento de ambientes escolares y  fortalecimiento de modelos educativos articuladores de la ciencia, los lenguajes, las artes y el deporte en el Departamento del Quindío</t>
  </si>
  <si>
    <t>15.18</t>
  </si>
  <si>
    <t>Servicios de asistencia técnica en innovación educativa en la educación inicial, preescolar, básica y media</t>
  </si>
  <si>
    <t>15.18.1</t>
  </si>
  <si>
    <t>Instituciones educativas asistidas técnicamente en innovación educativa</t>
  </si>
  <si>
    <t xml:space="preserve">Tasa de cobertura bruta en transición
Tasa de cobertura bruta en educación básica
Tasa de cobertura en educación media 
Tasa de deserción escolar intra-anual </t>
  </si>
  <si>
    <t>Servicio de acondicionamiento de ambientes de aprendizaje</t>
  </si>
  <si>
    <t>15.8.1</t>
  </si>
  <si>
    <t>Ambientes de aprendizaje en funcionamiento</t>
  </si>
  <si>
    <t>201663000-0093</t>
  </si>
  <si>
    <t>Mejoramiento de estrategias que permitan una mayor eficiencia en la gestión de procesos y proyectos de las instituciones educativas del Departamento del Quindío</t>
  </si>
  <si>
    <t>201663000-0095</t>
  </si>
  <si>
    <t xml:space="preserve">Fortalecimiento de los niveles de educación  básica y media para la articulación con la educación terciaria en el Departamento del Quindío </t>
  </si>
  <si>
    <t>Tasa de cobertura bruta en transición</t>
  </si>
  <si>
    <t>15.16</t>
  </si>
  <si>
    <t>Servicio de atención integral para la primera infancia</t>
  </si>
  <si>
    <t>15.16.1</t>
  </si>
  <si>
    <t>Instituciones educativas oficiales que implementan el nivel preescolar en el marco de la atención integral</t>
  </si>
  <si>
    <t>201663000-0101</t>
  </si>
  <si>
    <t xml:space="preserve">Implementación del modelo de atención integral de la educación inicial en el Departamento del  Quindío </t>
  </si>
  <si>
    <t>15.20</t>
  </si>
  <si>
    <t>Servicio de accesibilidad a contenidos web para fines pedagógicos</t>
  </si>
  <si>
    <t>15.20.2</t>
  </si>
  <si>
    <t>Establecimientos educativos conectados a internet</t>
  </si>
  <si>
    <t>201663000-0097</t>
  </si>
  <si>
    <t xml:space="preserve">Fortalecimiento de las herramientas tecnológicas en las Instituciones Educativas del Departamento del Quindío </t>
  </si>
  <si>
    <t>15.20.1</t>
  </si>
  <si>
    <t>Estudiantes con acceso a contenidos web en el establecimiento educativo</t>
  </si>
  <si>
    <t>Porcentaje de estudiantes de grado 11 con dominio de inglés a nivel B1 (preintermedio)</t>
  </si>
  <si>
    <t>15.14</t>
  </si>
  <si>
    <t>15.14.1</t>
  </si>
  <si>
    <t>Estudiantes beneficiados con estrategias de promoción del bilingüismo</t>
  </si>
  <si>
    <t>202000363-0023</t>
  </si>
  <si>
    <t>Fortalecer las competencias comunicativas en lengua extranjera en estudiantes y docentes de las instituciones educativas oficiales del Departamento del Quindío</t>
  </si>
  <si>
    <t>15.14.2</t>
  </si>
  <si>
    <t>Instituciones educativas fortalecidas en competencias comunicativas en un segundo idioma</t>
  </si>
  <si>
    <t>15.23</t>
  </si>
  <si>
    <t>Servicio educativo de promoción del bilingüismo para docentes</t>
  </si>
  <si>
    <t>15.23.1</t>
  </si>
  <si>
    <t>Docentes beneficiados con estrategias de promoción del bilingüismo</t>
  </si>
  <si>
    <t>15.6</t>
  </si>
  <si>
    <t>Servicio de monitoreo y seguimiento a la gestión del sector educativo</t>
  </si>
  <si>
    <t>15.6.1</t>
  </si>
  <si>
    <t>Entidades territoriales con seguimiento y evaluación a la gestión.</t>
  </si>
  <si>
    <t>202000363-0024</t>
  </si>
  <si>
    <t>Fortalecimiento de la educación media para la articulación con la educación superior o terciaria. "Tú y yo preparados para la educación superior"</t>
  </si>
  <si>
    <t>Tasa de cobertura en educación superior</t>
  </si>
  <si>
    <t>44.1</t>
  </si>
  <si>
    <t>Servicio de apoyo para el acceso y la permanencia a la educación superior o terciaria</t>
  </si>
  <si>
    <t>44.1.1</t>
  </si>
  <si>
    <t>Estrategias o programas de  fomento para  acceso y  permanencia a la educación superior o terciaria implementados</t>
  </si>
  <si>
    <t>Fortalecimiento de los niveles de educación  básica y media para la articulación con la educación terciaria en el Departamento del Quindío</t>
  </si>
  <si>
    <t>2017003630-122</t>
  </si>
  <si>
    <t>Implementación de un fondo de apoyo departamental para el acceso y la permanencia de la educacion técnica, tecnológica y superior en el Departamento del Quindío</t>
  </si>
  <si>
    <t>316 SECRETARÍA DE FAMILIA</t>
  </si>
  <si>
    <t>INCLUSION SOCIAL</t>
  </si>
  <si>
    <t>Salud Pública, "Tú y yo con salud de calidad"</t>
  </si>
  <si>
    <t>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t>
  </si>
  <si>
    <t>12.6</t>
  </si>
  <si>
    <t xml:space="preserve">Servicio de gestión del riesgo en temas de salud sexual y reproductiva </t>
  </si>
  <si>
    <t>12.6.1</t>
  </si>
  <si>
    <t>Campañas de gestión del riesgo en temas de salud sexual y reproductiva implementadas.</t>
  </si>
  <si>
    <t>202000363-0025</t>
  </si>
  <si>
    <t>Diseño e implementación de campañas para la promoción de la vida y prevención del consumo de sustancias psicoactivas "TU Y YO UNIDOS POR LA VIDA".</t>
  </si>
  <si>
    <t>12.7</t>
  </si>
  <si>
    <t xml:space="preserve">Servicio de gestión del riesgo en temas de trastornos mentales </t>
  </si>
  <si>
    <t>12.7.1</t>
  </si>
  <si>
    <t>Campañas de gestión del riesgo en temas de trastornos mentales implementadas</t>
  </si>
  <si>
    <t>25.1</t>
  </si>
  <si>
    <t>Servicio de educación informal al sector artístico y cultural</t>
  </si>
  <si>
    <t>25.1.1</t>
  </si>
  <si>
    <t>Capacitaciones de educación informal realizadas</t>
  </si>
  <si>
    <t>201663000-0110</t>
  </si>
  <si>
    <t>Desarrollo de acciones encaminadas a la atención integral  de los adolescentes y jóvenes del Departamento del Quindío</t>
  </si>
  <si>
    <t>Desarrollo Integral de Niños, Niñas, Adolescentes y sus Familias. "Tú y yo niños, niñas y adolescentes con desarrollo integral"</t>
  </si>
  <si>
    <t>36.4</t>
  </si>
  <si>
    <t xml:space="preserve">Diseñar e implementar un modelo de atención integral en entornos protectores para la primera infancia </t>
  </si>
  <si>
    <t>36.4.1</t>
  </si>
  <si>
    <t>Modelo de atención integral de entornos protectores implementado</t>
  </si>
  <si>
    <t>201663000-0102</t>
  </si>
  <si>
    <t>Implementación de un modelo de atención integral a niños y niñas en entornos protectores en el Departamento del Quindìo</t>
  </si>
  <si>
    <t xml:space="preserve">Cobertura  en la  implementación y seguimiento de las   Rutas integrales de atención  a la primera infancia </t>
  </si>
  <si>
    <t>36.3</t>
  </si>
  <si>
    <t xml:space="preserve">Implementar y realizar seguimiento a las rutas integrales de atención </t>
  </si>
  <si>
    <t>36.3.1</t>
  </si>
  <si>
    <t xml:space="preserve">Numero de rutas integrales de atención  a la  primera infancia implementadas y con seguimiento </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</si>
  <si>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que participan en una actividad remunerada  o no  x cada 100.000 habitantes  en el departamento del Quindío
Tasa  de mujeres de 12 a 14 años que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</si>
  <si>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36.8</t>
  </si>
  <si>
    <t xml:space="preserve">Implementar la  política pública para la protección, el fortalecimiento y el desarrollo integral de la familia Quindiana </t>
  </si>
  <si>
    <t>36.8.1</t>
  </si>
  <si>
    <t>Política Pública de Familia  implementada</t>
  </si>
  <si>
    <t>201663000-0103</t>
  </si>
  <si>
    <t>Formulación e implementación de  la politica pública  de la familia en el departamento del Quindío</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</si>
  <si>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que participan en una actividad remunerada  o no  x cada 100.000 habitantes  en el departamento del Quindío
-Tasa  de mujeres de 12 a 14 años que han sido madres o están en embarazo X 100.000 habitantes en el Departamento del Quindío
-Tasa de Consumo de Sustancias Psicoactivas  x 100.000 Habitantes en el Departamento del Quindío.</t>
  </si>
  <si>
    <t>36.7</t>
  </si>
  <si>
    <t>Revisar, ajustar e implementar  la política pública de primera infancia, infancia y adolescencia</t>
  </si>
  <si>
    <t>36.7.1</t>
  </si>
  <si>
    <t xml:space="preserve">Política Pública de Primera Infancia, Infancia y Adolescencia, revisada, ajustada e implementada. </t>
  </si>
  <si>
    <t>201663000-0109</t>
  </si>
  <si>
    <t>Implementación de la política de primera infancia, infancia y adolescencia en el Departamento del Quindío</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</si>
  <si>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</si>
  <si>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36.9</t>
  </si>
  <si>
    <t xml:space="preserve">Implementar  la política pública de juventud </t>
  </si>
  <si>
    <t>36.9.1</t>
  </si>
  <si>
    <t>Política Pública de Juventud implementada</t>
  </si>
  <si>
    <t>Tasa de Violencia Intrafamiliar x 100.000 Habitantes en el Departamento del Quindío.
Tasa de violencia de Género</t>
  </si>
  <si>
    <t>36.2</t>
  </si>
  <si>
    <t>Rutas integrales de atención en violencia intrafamiliar y  violencia de género</t>
  </si>
  <si>
    <t>36.2.1</t>
  </si>
  <si>
    <t>Capacitación en activación de las Rutas Integrales de Atención en Violencia Intrafamiliar y de Género, a trabajadores de Supermercados y Tenderos de los Municipios realizadas</t>
  </si>
  <si>
    <t>202000363-0026</t>
  </si>
  <si>
    <t>Diseño e implementación de programa de acompañamiento familiar y comunitario con enfoque preventivo en los tipos de violencias en el Departamento del Quindío "TU Y YO COMPROMETIDOS CON LA FAMILIA"</t>
  </si>
  <si>
    <t>36.1</t>
  </si>
  <si>
    <t>Servicio de divulgación para la promoción y prevención de los derechos de los niños, niñas y adolescentes</t>
  </si>
  <si>
    <t>36.1.1</t>
  </si>
  <si>
    <t>410202200</t>
  </si>
  <si>
    <t xml:space="preserve">Eventos de divulgación realizados </t>
  </si>
  <si>
    <t>202000363-0027</t>
  </si>
  <si>
    <t>Diseño e implementación de programa comunitario para la prevención de los derechos de niños, niñas y adolescentes y su desarrollo integral. "TU Y YO COMPROMETIDOS CON LOS SUEÑOS".</t>
  </si>
  <si>
    <t>Cobertura de adolescentes y jóvenes atendidos en Post egreso, en los servicios de restablecimiento en la administración de justicia.</t>
  </si>
  <si>
    <t>36.6</t>
  </si>
  <si>
    <t>Servicios dirigidos a la atención de niños, niñas, adolescentes y jóvenes, con enfoque pedagógico y restaurativo encaminados a la inclusión social</t>
  </si>
  <si>
    <t>36.6.1</t>
  </si>
  <si>
    <t>Niños, niñas, adolescentes y jóvenes atendidos en los servicios de restablecimiento en la administración de justicia</t>
  </si>
  <si>
    <t>202000363-0028</t>
  </si>
  <si>
    <t>Atención post egreso de adolescentes y jóvenes, en los servicios de restablecimiento en la administración de justicia, con enfoque pedagógico y restaurativo encaminados a la inclusión social del Departamento del Quindío .</t>
  </si>
  <si>
    <t>Servicio de asistencia técnica para fortalecimiento de unidades productivas colectivas para la generación de ingresos</t>
  </si>
  <si>
    <t>37.4.1</t>
  </si>
  <si>
    <t>Unidades productivas colectivas con asistencia técnica</t>
  </si>
  <si>
    <t>Cobertura para la atención al ciudadano migrante a través del plan de atención y de repatriación.</t>
  </si>
  <si>
    <t>37.2</t>
  </si>
  <si>
    <t>Servicio de gestión de oferta social para la población vulnerable</t>
  </si>
  <si>
    <t>37.2.1</t>
  </si>
  <si>
    <t>201663000-0118</t>
  </si>
  <si>
    <t>Implementación del programa  para la atención y acompañamiento  del ciudadano migrante  y de repatriación en el Departamento del Quindío</t>
  </si>
  <si>
    <t>37.1</t>
  </si>
  <si>
    <t>Servicio de acompañamiento familiar y comunitario para la superación de la pobreza</t>
  </si>
  <si>
    <t>37.1.1</t>
  </si>
  <si>
    <t>Comunidades con acompañamiento familiar.</t>
  </si>
  <si>
    <t xml:space="preserve">Cobertura de municipios del departamento con procesos de implementación de proyectos  productivos  para las personas con discapacidad </t>
  </si>
  <si>
    <t>37.3</t>
  </si>
  <si>
    <t>Servicio de apoyo para el fortalecimiento de unidades productivas colectivas para la generación de ingresos</t>
  </si>
  <si>
    <t>37.3.1</t>
  </si>
  <si>
    <t>Unidades productivas colectivas fortalecidas</t>
  </si>
  <si>
    <t>202000363-0029</t>
  </si>
  <si>
    <t>Atención integral a población en condición de discapacidad en los municipios del Departamento del Quindío "TU Y YO JUNTOS EN LA INCLUSIÓN".</t>
  </si>
  <si>
    <t xml:space="preserve">Tasa planes de vida de los cabildos  indígenas construidos e implementados </t>
  </si>
  <si>
    <t>37.5</t>
  </si>
  <si>
    <t xml:space="preserve">Apoyar la construcción e Implementación de los  Planes de vida de los cabildos Indígenas asentados en el Departamento del Quindío </t>
  </si>
  <si>
    <t>37.5.1</t>
  </si>
  <si>
    <t xml:space="preserve">Planes de vida de los cabildos indígenas  construidos  e implementados </t>
  </si>
  <si>
    <t>202000363-0030</t>
  </si>
  <si>
    <t>Apoyo en la construcción e Implementación de los Planes de Vida de los Cabildos y Resguardos indígenas  asentados en el Departamento del Quindío "TU Y YO UNIDOS CON DIGNIDAD".</t>
  </si>
  <si>
    <t>Tasa de  planes de vida de los resguardos  indígenas construidos e implementados</t>
  </si>
  <si>
    <t>37.6</t>
  </si>
  <si>
    <t xml:space="preserve">Apoyar la construcción e Implementación de los  Planes de vida de los resguardos indígenas  asentados en el Departamento del Quindío </t>
  </si>
  <si>
    <t>37.6.1</t>
  </si>
  <si>
    <t xml:space="preserve">Planes de vida de los resguardos indígenas  construidos  e implementados </t>
  </si>
  <si>
    <t>37.7</t>
  </si>
  <si>
    <t>37.7.1</t>
  </si>
  <si>
    <t xml:space="preserve">Política Pública para la comunidad negra, afrocolombiana, raizal y palenquera residente en el departamento del Quindío formulada e implementada </t>
  </si>
  <si>
    <t>202000363-0031</t>
  </si>
  <si>
    <t xml:space="preserve">Formulación e implementación de la política pública para la comunidad negra, afrocolombiana, raizal y palenquera residente en el Departamento del Quindío </t>
  </si>
  <si>
    <t>Atención integral de población en situación permanente de desprotección social y/o familiar "Tú y yo con atención integral"</t>
  </si>
  <si>
    <t>38.3</t>
  </si>
  <si>
    <t>4104035</t>
  </si>
  <si>
    <t>Servicios de atención integral a población en condición de discapacidad</t>
  </si>
  <si>
    <t>38.3.1</t>
  </si>
  <si>
    <t xml:space="preserve">Personas atendidas con servicios integrales de atención </t>
  </si>
  <si>
    <t>38.3.2</t>
  </si>
  <si>
    <t xml:space="preserve">Estrategia de rehabilitación basada en la comunidad implementada en los municipios  </t>
  </si>
  <si>
    <t>Cobertura de municipios del departamento del Quindío, con programas de atención a la población habitante de calle.</t>
  </si>
  <si>
    <t>38.2</t>
  </si>
  <si>
    <t>4104026</t>
  </si>
  <si>
    <t>Servicio de articulación de oferta social para la población habitante de calle</t>
  </si>
  <si>
    <t>38.2.1</t>
  </si>
  <si>
    <t xml:space="preserve">Servicio de articulación habitante de calle implementado en los municipios </t>
  </si>
  <si>
    <t>202000363-0032</t>
  </si>
  <si>
    <t xml:space="preserve"> Apoyo en  la articulación de la  oferta social para la población habitante de calle del Departamento del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</si>
  <si>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</si>
  <si>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38.7</t>
  </si>
  <si>
    <t>Implementar  la política  pública de diversidad sexual e identidad de género</t>
  </si>
  <si>
    <t>38.7.1</t>
  </si>
  <si>
    <t>Política pública de diversidad sexual implementada.</t>
  </si>
  <si>
    <t>201663000-0125</t>
  </si>
  <si>
    <t>Fomulación e implementación de la politica pública  de diversidad sexual en el Departamento del Quindío</t>
  </si>
  <si>
    <t xml:space="preserve">Tasa de Violencia Intrafamiliar x 100.000 Habitantes en el Departamento del Quindío.
Tasa de violencia de Género
Tasa  de mujeres de 12 a 14 años que han sido madres o están en embarazo X 100.000 habitantes en el Departamento del Quindío
Tasa de participación femenina en cargos de elección popular en el  departamento del Quindío
Cobertura de Asociaciones de mujeres fortalecidas  </t>
  </si>
  <si>
    <t>38.8</t>
  </si>
  <si>
    <t xml:space="preserve">Revisar, ajustar e implementar la política pública de equidad de género para la mujer </t>
  </si>
  <si>
    <t>38.8.1</t>
  </si>
  <si>
    <t>Política pública de la mujer y equidad de género revisada, ajustada e implementada.</t>
  </si>
  <si>
    <t>201663000-0128</t>
  </si>
  <si>
    <t>Implementación de la polìtica pùblica de equidad de género para la mujer en el Departamento del Quindìo</t>
  </si>
  <si>
    <t>38.9</t>
  </si>
  <si>
    <t xml:space="preserve">Formular e implementar la política pública de adulto mayor </t>
  </si>
  <si>
    <t>38.9.1</t>
  </si>
  <si>
    <t xml:space="preserve">Política Pública de Adulto Mayor  formulada e implementada </t>
  </si>
  <si>
    <t>201663000-0129</t>
  </si>
  <si>
    <t xml:space="preserve">Apoyo y bienestar integral a las personas mayores del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</si>
  <si>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</si>
  <si>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38.1</t>
  </si>
  <si>
    <t>Servicios de atención y protección integral al adulto mayor</t>
  </si>
  <si>
    <t>38.1.1</t>
  </si>
  <si>
    <t xml:space="preserve">Adultos mayores atendidos con servicios integrales </t>
  </si>
  <si>
    <t>38.5</t>
  </si>
  <si>
    <t>Transferencia estampilla para el bienestar del adulto mayor</t>
  </si>
  <si>
    <t>38.5.1</t>
  </si>
  <si>
    <t>Municipios con recursos transferidos con la estampilla Departamental para el bienestar del adulto mayor</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</si>
  <si>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</si>
  <si>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38.6</t>
  </si>
  <si>
    <t>Revisar, ajustar e implementar  la política pública de  discapacidad</t>
  </si>
  <si>
    <t>38.6.1</t>
  </si>
  <si>
    <t>201663000-0114</t>
  </si>
  <si>
    <t>Actualización e implementación  de   la política pública departamental de discapacidad  "Capacidad sin Limites" en el Quindío</t>
  </si>
  <si>
    <t xml:space="preserve">Mejorar las condiciones de calidad de vida de la población, el acceso incluyente y equitativo a la oferta de servicios del Estado y la ampliación de oportunidades para los Quindianos. </t>
  </si>
  <si>
    <t>41.2.2</t>
  </si>
  <si>
    <t>Casa de la Mujer Empoderada implementada</t>
  </si>
  <si>
    <t>202000363-0033</t>
  </si>
  <si>
    <t>Implementación de la Casa de la Mujer Empoderada para la promoción a la participación ciudadana de mujeres en escenarios sociales, políticos y el fortalecimiento de la Asociatividad en el departamento del Quindío "TU Y YO  CON LAS MUJERES EMPODERADAS".</t>
  </si>
  <si>
    <t>41.2.3</t>
  </si>
  <si>
    <t>Casa Refugio de la Mujer implementada</t>
  </si>
  <si>
    <t>202000363-0034</t>
  </si>
  <si>
    <t>Implementación de la Casa Refugio de la Mujer del Departamento del Quindío</t>
  </si>
  <si>
    <t>Derechos fundamentales del trabajo y fortalecimiento del diálogo social. "Tú y yo con una niñez protegida"</t>
  </si>
  <si>
    <t>Tasa  de Niños, Niñas y Adolescentes que participan en una actividad remunerada  o no  x cada 100.000 habitantes  en el departamento del Quindío</t>
  </si>
  <si>
    <t>29.1</t>
  </si>
  <si>
    <t>Servicio de educación informal para la prevención integral del trabajo infantil</t>
  </si>
  <si>
    <t>29.1.1</t>
  </si>
  <si>
    <t>360400600</t>
  </si>
  <si>
    <t>Diseño e Implementación de programa comunitario para la prevención de los derechos de niños, niñas y adolescentes y su desarrollo integral. "TU Y YO COMPROMETIDOS CON LOS SUEÑOS".</t>
  </si>
  <si>
    <t>Tasa de participación femenina en cargos de elección popular en el  departamento del Quindío</t>
  </si>
  <si>
    <t>42.8.2</t>
  </si>
  <si>
    <t>Iniciativas para la promoción de la participación femenina en escenarios sociales y políticos implementada.</t>
  </si>
  <si>
    <t xml:space="preserve">318 SECRETARIA DE SALUD </t>
  </si>
  <si>
    <t xml:space="preserve"> INCLUSION SOCIAL Y EQUIDAD</t>
  </si>
  <si>
    <t xml:space="preserve">Inspección, vigilancia y control. "Tú y yo con salud certificada" </t>
  </si>
  <si>
    <t>Mortalidad por diarreica aguda (EDA) menores 5 años (numero de muertes anual)</t>
  </si>
  <si>
    <t>11.19</t>
  </si>
  <si>
    <t>11.19.1</t>
  </si>
  <si>
    <t xml:space="preserve">Modelo de IVC sanitario operando </t>
  </si>
  <si>
    <t>201663000-0132</t>
  </si>
  <si>
    <t>11.2</t>
  </si>
  <si>
    <t>Servicio de concepto sanitario</t>
  </si>
  <si>
    <t>11.2.1</t>
  </si>
  <si>
    <t>Conceptos sanitarios expedidos</t>
  </si>
  <si>
    <t>201663000-0146</t>
  </si>
  <si>
    <t xml:space="preserve">Fortalecimiento de la autoridad sanitaria en el Departamento del Quindío </t>
  </si>
  <si>
    <t>Prevalencia de niños menores de 5 años con desnutrición aguda</t>
  </si>
  <si>
    <t>11.9</t>
  </si>
  <si>
    <t>Servicio de asistencia técnica en inspección, vigilancia y control</t>
  </si>
  <si>
    <t>11.9.1</t>
  </si>
  <si>
    <t>Asistencias técnica en Inspección, Vigilancia y Control realizadas</t>
  </si>
  <si>
    <t>Mortalidad por infección respiratoria aguda (IRA) menores 5 años (numero de muertes anual)</t>
  </si>
  <si>
    <t>11.18</t>
  </si>
  <si>
    <t>11.18.1</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</si>
  <si>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</si>
  <si>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</si>
  <si>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Mortalidad por dengue (casos)</t>
  </si>
  <si>
    <t>11.15</t>
  </si>
  <si>
    <t>Servicio de promoción, prevención, vigilancia y control de vectores y zoonosis</t>
  </si>
  <si>
    <t>11.15.1</t>
  </si>
  <si>
    <t>Municipios categorías 4, 5 y 6 que formulen y ejecuten real y efectivamente acciones de promoción, prevención, vigilancia y control de vectores y zoonosis realizados</t>
  </si>
  <si>
    <t>Tasa de mortalidad en menores de 1 año (por 1000 nacidos vivos).</t>
  </si>
  <si>
    <t>11.11</t>
  </si>
  <si>
    <t>Servicio de evaluación, aprobación y seguimiento de planes de gestión integral del riesgo</t>
  </si>
  <si>
    <t>11.11.1</t>
  </si>
  <si>
    <t>Informes de evaluación, aprobación y seguimiento de Planes de Gestión Integral de Riesgo realizados</t>
  </si>
  <si>
    <t>Tasa mortalidad en menores de 5 años (por 1.000 nacidos vivos).</t>
  </si>
  <si>
    <t>11.4</t>
  </si>
  <si>
    <t>Servicio de inspección, vigilancia y control</t>
  </si>
  <si>
    <t>11.4.1</t>
  </si>
  <si>
    <t>visitas realizadas</t>
  </si>
  <si>
    <t>11.1</t>
  </si>
  <si>
    <t>11.1.1</t>
  </si>
  <si>
    <t>Documentos técnicos publicados y/o socializados</t>
  </si>
  <si>
    <t>201663000-0148</t>
  </si>
  <si>
    <t>Implementación de programas de promoción social en poblaciones  especiales en el Departamento del Quindío</t>
  </si>
  <si>
    <t>Tasa de violencia de género</t>
  </si>
  <si>
    <t>11.6</t>
  </si>
  <si>
    <t>Servicio de adopción y seguimiento de acciones y medidas especiales</t>
  </si>
  <si>
    <t>11.6.1</t>
  </si>
  <si>
    <t>Acciones y medidas especiales ejecutadas</t>
  </si>
  <si>
    <t>11.5</t>
  </si>
  <si>
    <t>Servicio de análisis de laboratorio</t>
  </si>
  <si>
    <t>11.5.1</t>
  </si>
  <si>
    <t>Análisis realizados</t>
  </si>
  <si>
    <t>201663000-0151</t>
  </si>
  <si>
    <t xml:space="preserve">Fortalecimiento de las actividades de vigilancia y control del laboratorio de salud pública en el Departamento del Quindío </t>
  </si>
  <si>
    <t>Tasa ajustada por edad de mortalidad asociada a cáncer de cuello uterino (por 100.000 mujeres).</t>
  </si>
  <si>
    <t>11.7</t>
  </si>
  <si>
    <t>Servicio de auditoría y visitas inspectivas</t>
  </si>
  <si>
    <t>11.7.1</t>
  </si>
  <si>
    <t>Auditorías y visitas inspectivas realizadas</t>
  </si>
  <si>
    <t>11.4.2</t>
  </si>
  <si>
    <t xml:space="preserve">Informes de los resultados obtenidos en la vigilancia sanitaria </t>
  </si>
  <si>
    <t>Servicio de información de vigilancia epidemiológica</t>
  </si>
  <si>
    <t>11.13.1</t>
  </si>
  <si>
    <t>Informes de evento generados en la vigencia</t>
  </si>
  <si>
    <t>201663000-0152</t>
  </si>
  <si>
    <t>Fortalecimiento del sistema de vigilancia en salud pública en el Departamento del Quindío</t>
  </si>
  <si>
    <t>11.14</t>
  </si>
  <si>
    <t>11.14.1</t>
  </si>
  <si>
    <t>Asistencias técnicas realizadas</t>
  </si>
  <si>
    <t>201663000-0155</t>
  </si>
  <si>
    <t xml:space="preserve">Asistencia técnica para el fortalecimiento de la gestión de las entidades territoriales del Departamento del Quindío </t>
  </si>
  <si>
    <t>Servicio de información para la gestión de la inspección, vigilancia y control sanitario</t>
  </si>
  <si>
    <t>11.16.1</t>
  </si>
  <si>
    <t>Usuarios del sistema</t>
  </si>
  <si>
    <t>201663000-0158</t>
  </si>
  <si>
    <t>Apoyo al proceso del sistema obligatorio de garantía de calidad a los prestadores de salud en el Departamento del Quindío</t>
  </si>
  <si>
    <t>Razón de mortalidad materna (por 100.000 nacidos vivos)</t>
  </si>
  <si>
    <t>11.3</t>
  </si>
  <si>
    <t>Servicio de certificaciones en buenas practicas</t>
  </si>
  <si>
    <t>11.3.1</t>
  </si>
  <si>
    <t>Certificaciones expedidas</t>
  </si>
  <si>
    <t>Porcentaje de atención institucional del parto por personal calificado.</t>
  </si>
  <si>
    <t>Porcentaje de población asegurada al SGSSS</t>
  </si>
  <si>
    <t>11.17</t>
  </si>
  <si>
    <t>Servicios de comunicación y divulgación en inspección, vigilancia y control</t>
  </si>
  <si>
    <t>11.17.1</t>
  </si>
  <si>
    <t>Eventos de rendición de cuentas realizados</t>
  </si>
  <si>
    <t>201663000-0160</t>
  </si>
  <si>
    <t>Apoyo operativo a la inversión social en salud en el Departamento del Quindío</t>
  </si>
  <si>
    <t>Porcentaje de nacidos vivos con 4 o mas controles prenatales</t>
  </si>
  <si>
    <t>11.8</t>
  </si>
  <si>
    <t>Servicio del ejercicio del procedimiento administrativo sancionatorio</t>
  </si>
  <si>
    <t>11.8.1</t>
  </si>
  <si>
    <t xml:space="preserve">Procesos con aplicación del procedimiento administrativo sancionatorio tramitados </t>
  </si>
  <si>
    <t>Porcentaje transmisión materno -infantil del VIH.</t>
  </si>
  <si>
    <t>Servicio de gestión de peticiones, quejas, reclamos y denuncias</t>
  </si>
  <si>
    <t>11.12.1</t>
  </si>
  <si>
    <t>Preguntas Quejas Reclamos y Denuncias Gestionadas</t>
  </si>
  <si>
    <t>11.10</t>
  </si>
  <si>
    <t>Servicio de implementación de estrategias para el fortalecimiento del control social en salud</t>
  </si>
  <si>
    <t>11.10.1</t>
  </si>
  <si>
    <t>Estrategias para el fortalecimiento del control social en salud implementadas</t>
  </si>
  <si>
    <t>Servicio de gestión del riesgo para temas de consumo, aprovechamiento biológico, calidad e inocuidad de los alimentos.</t>
  </si>
  <si>
    <t>12.12.1</t>
  </si>
  <si>
    <t>Campañas de gestión del riesgo para temas de consumo, aprovechamiento biológico, calidad e inocuidad de los alimentos implementadas</t>
  </si>
  <si>
    <t>12.14</t>
  </si>
  <si>
    <t>Servicios de promoción de la salud y prevención de riesgos asociados a condiciones no transmisibles</t>
  </si>
  <si>
    <t>12.14.1</t>
  </si>
  <si>
    <t>Campañas de promoción de la salud y prevención de riesgos asociados a condiciones no transmisibles implementadas</t>
  </si>
  <si>
    <t>Tasa de mortalidad por malaria.</t>
  </si>
  <si>
    <t xml:space="preserve">Servicio de educación informal en temas de salud pública </t>
  </si>
  <si>
    <t>12.4.1</t>
  </si>
  <si>
    <t>201663000-0133</t>
  </si>
  <si>
    <t>Control Salud Ambiental Departamento del Quindío</t>
  </si>
  <si>
    <t>Tasa  de mujeres de 10 a 14 años que han sido madres o están en embarazo.
Tasa de mujeres de 15 a 19 años que han sido madres o están en embarazo.</t>
  </si>
  <si>
    <t>12.16</t>
  </si>
  <si>
    <t xml:space="preserve">Realizar seguimiento y monitoreo a las Entidades Administradoras de Planes Básicos EAPB en la implementación de la Ruta Integral de Atención para la Promoción y Mantenimiento de la Salud y Materno Perinatal en el Departamento  </t>
  </si>
  <si>
    <t>12.16.1</t>
  </si>
  <si>
    <t>Entidades Administradoras de Planes Básicos EAPB con Rutas de obligatorio cumplimiento Implementadas</t>
  </si>
  <si>
    <t>Letalidad por dengue.</t>
  </si>
  <si>
    <t>12.20</t>
  </si>
  <si>
    <t>Formular el Plan de Fortalecimiento de Capacidades en Salud Ambiental en coordinación con el Consejo Territorial de Salud Ambiental COTSA</t>
  </si>
  <si>
    <t>12.20.1</t>
  </si>
  <si>
    <t>12.17</t>
  </si>
  <si>
    <t>Implementar el protocolo de vigilancia sanitaria y ambiental de los efectos en salud relacionados con la contaminación del aire en los 11 municipios de competencia departamental.</t>
  </si>
  <si>
    <t>12.17.1</t>
  </si>
  <si>
    <t>Protocolo implementado</t>
  </si>
  <si>
    <t>Mortalidad por dengue (casos)
Letalidad por dengue.</t>
  </si>
  <si>
    <t>12.19</t>
  </si>
  <si>
    <t>12.19.1</t>
  </si>
  <si>
    <t>Plan Departamental en Salud Ambiental de adaptación al cambio climático implementado</t>
  </si>
  <si>
    <t>12.18</t>
  </si>
  <si>
    <t>Implementar la estrategia de entornos saludables en articulación intersectorial y sectorial en los entornos de vivienda, educativo, institucional y comunitario con énfasis en la Atención Primaria en Salud Ambiental APSA.</t>
  </si>
  <si>
    <t>12.18.1</t>
  </si>
  <si>
    <t xml:space="preserve">Estrategia de entornos saludables en articulación intersectorial y sectorial implementada </t>
  </si>
  <si>
    <t>12.21</t>
  </si>
  <si>
    <t xml:space="preserve">Implementación de la estrategia de movilidad saludable, segura y sostenible </t>
  </si>
  <si>
    <t>12.21.1</t>
  </si>
  <si>
    <t xml:space="preserve">Estrategia de movilidad saludable, segura y sostenible   implementada </t>
  </si>
  <si>
    <t>201663000-0134</t>
  </si>
  <si>
    <t>Fortalecimiento de acciones de intervención inherentes a los derechos sexuales y reproductivos  en el Departamento del Quindío</t>
  </si>
  <si>
    <t xml:space="preserve">Realizar seguimiento y Monitoreo a las Entidades Administradoras de Planes Básicos EAPB en la implementación de la Ruta Integral de Atención para la Promoción y Mantenimiento de la Salud y Materno Perinatal en el Departamento  </t>
  </si>
  <si>
    <t>12.5</t>
  </si>
  <si>
    <t>Servicio de gestión del riesgo en temas de consumo de sustancias psicoactivas</t>
  </si>
  <si>
    <t>12.5.1</t>
  </si>
  <si>
    <t>Campañas de gestión del riesgo en temas de consumo de sustancias psicoactivas implementadas</t>
  </si>
  <si>
    <t>201663000-0135</t>
  </si>
  <si>
    <t>Fortalecimiento, promoción de la salud y prevención primaria en salud mental en el Departamento del Quindío</t>
  </si>
  <si>
    <t>Adaptar e implementar la política pública de salud mental para el Departamento del Quindío</t>
  </si>
  <si>
    <t>12.22.1</t>
  </si>
  <si>
    <t xml:space="preserve">Política pública en Salud Mental adaptada e Implementada  </t>
  </si>
  <si>
    <t>12.8</t>
  </si>
  <si>
    <t>Servicio de gestión del riesgo para abordar condiciones crónicas prevalentes</t>
  </si>
  <si>
    <t>12.8.1</t>
  </si>
  <si>
    <t>Campañas de gestión del riesgo para abordar condiciones crónicas prevalentes implementadas</t>
  </si>
  <si>
    <t>201663000-0138</t>
  </si>
  <si>
    <t xml:space="preserve">Control y vigilancia en las acciones de condiciones no transmisibles y promoción de estilos de vida saludable en el Quindío  </t>
  </si>
  <si>
    <t>Cobertura de vacunación con DPT en menores de 1 año
Cobertura de vacunación con Triple Viral en niños de 1 año
Cobertura útil con esquema completo de vacunación para la edad (triple viral a los 5 años)</t>
  </si>
  <si>
    <t>12.1</t>
  </si>
  <si>
    <t>Cuartos fríos adecuados</t>
  </si>
  <si>
    <t>12.1.1</t>
  </si>
  <si>
    <t>201663000-0139</t>
  </si>
  <si>
    <t>Fortalecimiento de las acciones de la prevención y protección en la población infantil en el Departamento del Quindío</t>
  </si>
  <si>
    <t>Cobertura útil con esquema completo de vacunación para la edad (triple viral a los 5 años)
Mortalidad por infección respiratoria aguda (IRA) menores 5 años (numero de muertes anual)
Mortalidad por diarreica aguda (EDA) menores 5 años (numero de muertes anual)
Tasa de mortalidad por malaria.</t>
  </si>
  <si>
    <t>12.10</t>
  </si>
  <si>
    <t>Servicio de gestión del riesgo para enfermedades emergentes, reemergentes y desatendidas</t>
  </si>
  <si>
    <t>12.10.1</t>
  </si>
  <si>
    <t>Campañas de gestión del riesgo para enfermedades emergentes, reemergentes y desatendidas implementadas.</t>
  </si>
  <si>
    <t>12.11</t>
  </si>
  <si>
    <t>Servicio de gestión del riesgo para enfermedades inmunoprevenibles</t>
  </si>
  <si>
    <t>12.11.1</t>
  </si>
  <si>
    <t>Campañas de gestión del riesgo para enfermedades inmunoprevenibles  implementadas</t>
  </si>
  <si>
    <t>Mortalidad por dengue (casos) 
Letalidad por dengue.</t>
  </si>
  <si>
    <t>Formulación e implementación del plan departamental en salud Ambiental de adaptación al cambio climático.</t>
  </si>
  <si>
    <t>201663000-0141</t>
  </si>
  <si>
    <t xml:space="preserve">Fortalecimiento de estrategia de gestión integral, vectores, cambio climático y zoonosis en el Departamento  del Quindío </t>
  </si>
  <si>
    <t>12.2</t>
  </si>
  <si>
    <t>12.2.1</t>
  </si>
  <si>
    <t>201663000-0142</t>
  </si>
  <si>
    <t xml:space="preserve">Fortalecimiento de la inclusión social para la disminución de riesgos de contraer enfermedades transmisibles  en el Departamento del Quindío </t>
  </si>
  <si>
    <t>Servicio de gestión del riesgo para enfermedades emergentes, reemergentes y desatendidas.</t>
  </si>
  <si>
    <t>202000363-0002</t>
  </si>
  <si>
    <t>Tu y Yo Contra  - COVID</t>
  </si>
  <si>
    <t>12.13</t>
  </si>
  <si>
    <t>Servicios de atención en salud pública en situaciones de emergencias y desastres</t>
  </si>
  <si>
    <t>12.13.1</t>
  </si>
  <si>
    <t>Personas en capacidad de ser atendidas</t>
  </si>
  <si>
    <t>201663000-0143</t>
  </si>
  <si>
    <t>Prevención en emergencias y desastres de eventos relacionados con la salud pública en el Departamento del  Quindío</t>
  </si>
  <si>
    <t>12.9</t>
  </si>
  <si>
    <t>Servicio de gestión del riesgo para abordar situaciones prevalentes de origen laboral</t>
  </si>
  <si>
    <t>12.9.1</t>
  </si>
  <si>
    <t>Campañas de gestión del riesgo para abordar situaciones prevalentes de origen laboral implementadas</t>
  </si>
  <si>
    <t>201663000-0145</t>
  </si>
  <si>
    <t xml:space="preserve"> Prevención vigilancia y control de eventos de origen laboral en el Departamento del Quindío</t>
  </si>
  <si>
    <t>12.3.1</t>
  </si>
  <si>
    <t xml:space="preserve">Documentos de planeación en epidemiología y demografía elaborados </t>
  </si>
  <si>
    <t>Porcentaje de atención institucional del parto.</t>
  </si>
  <si>
    <t>12.15</t>
  </si>
  <si>
    <t>Centros reguladores de urgencias, emergencias y desastres funcionando y dotados</t>
  </si>
  <si>
    <t>12.15.1</t>
  </si>
  <si>
    <t>Centros reguladores de urgencias, emergencias y desastres dotados y funcionando.</t>
  </si>
  <si>
    <t>201663000-0157</t>
  </si>
  <si>
    <t xml:space="preserve">Fortalecimiento de la red de urgencias y emergencias en el Departamento del Quindío </t>
  </si>
  <si>
    <t>201663000-0150</t>
  </si>
  <si>
    <t>13.7</t>
  </si>
  <si>
    <t>Servicio de promoción de afiliaciones al régimen contributivo del Sistema General de Seguridad Social de las personas con capacidad de pago</t>
  </si>
  <si>
    <t>13.7.1</t>
  </si>
  <si>
    <t>Personas con capacidad de pago afiliadas</t>
  </si>
  <si>
    <t>201663000-0153</t>
  </si>
  <si>
    <t>Subsidio afiliación al régimen subsidiado del Sistema General de Seguridad Social en Salud en el Departamento del Quindío</t>
  </si>
  <si>
    <t>Cobertura de tratamiento antiretroviral</t>
  </si>
  <si>
    <t>13.8</t>
  </si>
  <si>
    <t>Servicio de cofinanciación para la continuidad del  régimen subsidiado en salud en 11 municipios del departamento</t>
  </si>
  <si>
    <t>13.8.1</t>
  </si>
  <si>
    <t>Personas afiliadas</t>
  </si>
  <si>
    <t>13.5</t>
  </si>
  <si>
    <t>Servicio de apoyo con tecnologías para prestación de servicios en salud</t>
  </si>
  <si>
    <t>13.5.1</t>
  </si>
  <si>
    <t>Población inimputable atendida</t>
  </si>
  <si>
    <t>201663000-0154</t>
  </si>
  <si>
    <t xml:space="preserve">Prestación de Servicios a la Población no Afiliada al Sistema General de Seguridad Social en Salud  y en los no POS  a la Población Afiliada al Régimen Subsidiado.
</t>
  </si>
  <si>
    <t>13.5.2</t>
  </si>
  <si>
    <t>Pacientes atendidos</t>
  </si>
  <si>
    <t>Servicios de reconocimientos para el cumplimiento de metas de calidad, financiera, producción y transferencias especiales.</t>
  </si>
  <si>
    <t>13.9.1</t>
  </si>
  <si>
    <t>Porcentaje de recursos transferidos</t>
  </si>
  <si>
    <t>13.10</t>
  </si>
  <si>
    <t>Servicios de reconocimientos de deuda</t>
  </si>
  <si>
    <t>13.10.1</t>
  </si>
  <si>
    <t>Porcentaje de recursos pagados</t>
  </si>
  <si>
    <t>Tasa de mujeres de 15 a 19 años que han sido madres o están en embarazo.</t>
  </si>
  <si>
    <t>13.6</t>
  </si>
  <si>
    <t>Servicio de asistencia técnica a Instituciones prestadoras de servicios de salud</t>
  </si>
  <si>
    <t>13.6.1</t>
  </si>
  <si>
    <t>Instituciones Prestadoras de Servicios de salud asistidas técnicamente</t>
  </si>
  <si>
    <t>201663000-0159</t>
  </si>
  <si>
    <t>Fortalecimiento de la red de prestación de servicios pública  del Departamento del Quindío</t>
  </si>
  <si>
    <t>Facilitar el acceso y uso de las Tecnologías de la Información y las Comunicaciones en todo el departamento del Quindio. "Tú y yo somos ciudadanos TIC"</t>
  </si>
  <si>
    <t>Tasa de crecimiento de puntos de acceso a internet gratis 
Índice Departamental de Competitividad
Tasa de Desempleo</t>
  </si>
  <si>
    <t>16.4</t>
  </si>
  <si>
    <t>Servicio de acceso y uso de tecnologías de la información y las comunicaciones</t>
  </si>
  <si>
    <t>16.4.2</t>
  </si>
  <si>
    <t>Soluciones de conectividad en instituciones públicas instaladas</t>
  </si>
  <si>
    <t>202000363-0035</t>
  </si>
  <si>
    <t>Fortalecimiento  y apoyo a las tecnologías de la información de las comunicaciones en el departamento del Quindío</t>
  </si>
  <si>
    <t>Nivel de avance alto en el Índice de Gobierno digital
Índice Departamental de Competitividad
Tasa de Desempleo</t>
  </si>
  <si>
    <t>Servicio de educación informal en tecnologías de la información y las comunicaciones.</t>
  </si>
  <si>
    <t>16.5.1</t>
  </si>
  <si>
    <t>Personas capacitadas en tecnologías de la información y las comunicaciones</t>
  </si>
  <si>
    <t>Fomento del desarrollo de aplicaciones, software y contenidos para impulsar la apropiación de las Tecnologías de la Información y las Comunicaciones (TIC) "Quindío paraiso empresarial TIC-Quindío TIC"</t>
  </si>
  <si>
    <t>17.8</t>
  </si>
  <si>
    <t>Servicio de promoción de la industria de tecnologías de la información</t>
  </si>
  <si>
    <t>17.8.1</t>
  </si>
  <si>
    <t xml:space="preserve">Eventos para  promoción  de productos y Servicio de la industria TI realizados </t>
  </si>
  <si>
    <t>202000363-0036</t>
  </si>
  <si>
    <t>Fortalecimiento del sector empresarial del departamento del Quindío</t>
  </si>
  <si>
    <t xml:space="preserve">PRODUCTIVIDAD Y COMPETITIVIDAD </t>
  </si>
  <si>
    <t>3903</t>
  </si>
  <si>
    <t xml:space="preserve">Desarrollo tecnológico e innovación para el crecimiento empresarial </t>
  </si>
  <si>
    <t>Tasa de crecimiento de empresas en el sector productivo transformadas digitalmente</t>
  </si>
  <si>
    <t>31.1</t>
  </si>
  <si>
    <t>Servicio de apoyo para la transferencia de conocimiento y tecnología</t>
  </si>
  <si>
    <t>31.1.1</t>
  </si>
  <si>
    <t>Nuevas tecnologías adoptadas</t>
  </si>
  <si>
    <t>201663000-0001</t>
  </si>
  <si>
    <t>Apoyo a la estrategia de gobierno en linea en el Departamento del Quindío</t>
  </si>
  <si>
    <t>Generación de una cultura que valora y gestiona el conocimiento y la innovación.</t>
  </si>
  <si>
    <t>32.2</t>
  </si>
  <si>
    <t>Servicios de comunicación con enfoque en ciencia tecnología y sociedad</t>
  </si>
  <si>
    <t>32.2.1</t>
  </si>
  <si>
    <t>Juguetes, juegos o videojuegos para la comunicación de la ciencia, tecnología e innovación producidos</t>
  </si>
  <si>
    <t>202000363-0037</t>
  </si>
  <si>
    <t xml:space="preserve">Implementación  y  divulgación de la estratégia    "Quindío innovador y competitivo" </t>
  </si>
  <si>
    <t>Nivel de avance alto en el Índice de Gobierno digital</t>
  </si>
  <si>
    <t>17.6</t>
  </si>
  <si>
    <t>Servicio de educación informal para la implementación de la estrategia de gobierno digital</t>
  </si>
  <si>
    <t>17.6.1</t>
  </si>
  <si>
    <t>Personas capacitadas para la implementación de la Estrategia de Gobierno digital</t>
  </si>
  <si>
    <t>201663000-0004</t>
  </si>
  <si>
    <t>Apoyo a la sostenibilidad de las tecnologías de la información y comunicación de la Gobernación del Quindío</t>
  </si>
  <si>
    <t>17.10</t>
  </si>
  <si>
    <t>Servicio de educación informal en Gestión TI y en Seguridad y Privacidad de la Información</t>
  </si>
  <si>
    <t>17.10.1</t>
  </si>
  <si>
    <t>Personas capacitadas para en Gestión TI y en Seguridad y Privacidad de la Información</t>
  </si>
  <si>
    <t>TOTAL ADMINISTRACIÓN CENTRAL:</t>
  </si>
  <si>
    <t xml:space="preserve">319 INDEPORTES QUINDÍO </t>
  </si>
  <si>
    <t>39.1</t>
  </si>
  <si>
    <t>Servicio de Escuelas Deportivas</t>
  </si>
  <si>
    <t>39.1.1</t>
  </si>
  <si>
    <t>Municipios con Escuelas Deportivas</t>
  </si>
  <si>
    <t>201663000-0163</t>
  </si>
  <si>
    <t>Apoyo al Deporte formativo, deporte social comunitario y juegos  tradicionales en el Departamento del Quindío</t>
  </si>
  <si>
    <t>39.2</t>
  </si>
  <si>
    <t>Servicio de promoción de la actividad física, la recreación y el deporte</t>
  </si>
  <si>
    <t>39.2.1</t>
  </si>
  <si>
    <t>Municipios vinculados al programa Supérate-Intercolegiados</t>
  </si>
  <si>
    <t>39.2.2</t>
  </si>
  <si>
    <t>430103704</t>
  </si>
  <si>
    <t>Municipios implementando  programas de recreación, actividad física y deporte social comunitario</t>
  </si>
  <si>
    <t>201663000-0162</t>
  </si>
  <si>
    <t>Apoyo a los juegos intercolegiados en el Deparrtamento del Quindìo</t>
  </si>
  <si>
    <t>201663000-0164</t>
  </si>
  <si>
    <t xml:space="preserve"> Apoyo a la recreación,  para el bien común en el Departamento del Quindío</t>
  </si>
  <si>
    <t>39.3</t>
  </si>
  <si>
    <t>Formular e  implementar una  política pública para el desarrollo y acceso al deporte, la recreación, la actividad física, la educación física y el uso adecuado del tiempo libre, como ejes de transformación humana y social en el departamento del Quindío</t>
  </si>
  <si>
    <t>39.3.1</t>
  </si>
  <si>
    <t>201663000-0166</t>
  </si>
  <si>
    <t>Apoyo a proyectos deportivos, recreativos y de actividad fisica, en el Departamento del Quindìo</t>
  </si>
  <si>
    <t>201663000-0165</t>
  </si>
  <si>
    <t>Apoyo a la actividad fisica, salud y productiva en el Departamento del Quindío</t>
  </si>
  <si>
    <t>40.2</t>
  </si>
  <si>
    <t>Servicio de asistencia técnica para la promoción del deporte</t>
  </si>
  <si>
    <t>40.2.1</t>
  </si>
  <si>
    <t xml:space="preserve">Organismos deportivos asistidos </t>
  </si>
  <si>
    <t>201663000-0161</t>
  </si>
  <si>
    <t>Apoyo al deporte asociado en el Departamento del Quindío</t>
  </si>
  <si>
    <t>40.2.2</t>
  </si>
  <si>
    <t>Juegos Deportivos Realizados</t>
  </si>
  <si>
    <t>202000363-0038</t>
  </si>
  <si>
    <t>Desarrollo de los  XXII JUEGOS DEPORTIVOS NACIONALES Y VI JUEGOS PARANACIONALES   2023</t>
  </si>
  <si>
    <t xml:space="preserve">320 PROMOTORA DE VIVIENDA </t>
  </si>
  <si>
    <t>201663000-0171</t>
  </si>
  <si>
    <t xml:space="preserve">Apoyo en la formulación y ejecucion de proyectos de vivienda, infraestructura y equipamientos colectivos y comunitarios en el Departamento del Quindío  </t>
  </si>
  <si>
    <t>33.1</t>
  </si>
  <si>
    <t xml:space="preserve">Servicio de asistencia técnica y jurídica en saneamiento y titulación de predios </t>
  </si>
  <si>
    <t>33.1.1</t>
  </si>
  <si>
    <t>400100100</t>
  </si>
  <si>
    <t>Entidades territoriales asistidas técnica y jurídicamente</t>
  </si>
  <si>
    <t xml:space="preserve">7. Vivienda </t>
  </si>
  <si>
    <t>33.4</t>
  </si>
  <si>
    <t>33.4.1</t>
  </si>
  <si>
    <t>400101700</t>
  </si>
  <si>
    <t>Viviendas de Interés Prioritario urbanas construidas</t>
  </si>
  <si>
    <t>33.5</t>
  </si>
  <si>
    <t xml:space="preserve">Viviendas de Interés Prioritario urbanas mejoradas </t>
  </si>
  <si>
    <t>33.5.1</t>
  </si>
  <si>
    <t>400101800</t>
  </si>
  <si>
    <t>Viviendas de Interés Prioritario urbanas mejoradas</t>
  </si>
  <si>
    <t>33.6</t>
  </si>
  <si>
    <t>Estudios de preinversión e inversión</t>
  </si>
  <si>
    <t>33.6.1</t>
  </si>
  <si>
    <t>400103000</t>
  </si>
  <si>
    <t>321 INSTITUTO DEPARTAMENTAL DE TRANSITO</t>
  </si>
  <si>
    <t xml:space="preserve"> TERRITORIO, AMBIENTE Y DESARROLLO SOSTENIBLE</t>
  </si>
  <si>
    <t>Seguridad de Transporte. "Tú y yo seguros en la vía"</t>
  </si>
  <si>
    <t>19.1</t>
  </si>
  <si>
    <t>Formular e Implementar una estrategia de movilidad saludable, segura y sostenible.</t>
  </si>
  <si>
    <t>19.1.1</t>
  </si>
  <si>
    <t xml:space="preserve">Estrategia de movilidad saludable, segura y sostenible  formulada e implementada </t>
  </si>
  <si>
    <t xml:space="preserve">9. Transporte </t>
  </si>
  <si>
    <t>201663000-0172</t>
  </si>
  <si>
    <t>Fortalecimiento de la seguridad vial  en el Departamento del Quindío</t>
  </si>
  <si>
    <t>19.2</t>
  </si>
  <si>
    <t>Formular e Implementar un programa de formación en normas de tránsito y fomento de cultura  de la seguridad en la vía.</t>
  </si>
  <si>
    <t>19.2.1</t>
  </si>
  <si>
    <t>Programa de formación cultural  de la seguridad en la vía formulado e implementado.</t>
  </si>
  <si>
    <t>19.3</t>
  </si>
  <si>
    <t>Formular e Implementar un programa de control, prevención y atención del tránsito y el transporte en los municipios y vías de jurisdicción del IDTQ.</t>
  </si>
  <si>
    <t>19.3.1</t>
  </si>
  <si>
    <t>Programa de control y atención del tránsito y el transporte formulado e implementado</t>
  </si>
  <si>
    <t>19.4</t>
  </si>
  <si>
    <t>Diseñar e Implementar un programa de señalización y demarcación en los municipios y vías de jurisdicción del IDTQ.</t>
  </si>
  <si>
    <t>19.4.1</t>
  </si>
  <si>
    <t>Programa de Señalización y demarcación en los municipios y vías de jurisdicción del IDTQ diseñado e Implementado</t>
  </si>
  <si>
    <t>TOTAL ENTIDADES DESCENTRALIZADAS</t>
  </si>
  <si>
    <t>TOTAL POAI:</t>
  </si>
  <si>
    <t>CÓDIGO BPPIN</t>
  </si>
  <si>
    <t xml:space="preserve">NOMBRE DEL PROYECTO </t>
  </si>
  <si>
    <t>PRESUPUESTO 2020</t>
  </si>
  <si>
    <t>ADMINISTRACIÓN CENTRAL</t>
  </si>
  <si>
    <t>304 -Secretaría Administrativa</t>
  </si>
  <si>
    <t>Formulación e implementación del programa de seguridad y salud en el trabajo, capacitación y bienestar social en el Departamento del Quindio</t>
  </si>
  <si>
    <t>305 Secretaría de Planeación</t>
  </si>
  <si>
    <t>307 Secretaría de Hacienda</t>
  </si>
  <si>
    <t xml:space="preserve"> Mejoramiento de la sostenibilidad de los procesos de fiscalización liquidación control y cobranza de los tributos en el Departamento del Quindío</t>
  </si>
  <si>
    <t xml:space="preserve">Implementación de un programa de gestión fianciera para la optimización de los procesos en el area de tesorería, presupuesto y contabilidad en el Departamento del Quindio </t>
  </si>
  <si>
    <t xml:space="preserve">308 Secretaría de Agua e Infraestructura </t>
  </si>
  <si>
    <t>309 Secretaría del Interior</t>
  </si>
  <si>
    <t>310 Secretaría de Cultura</t>
  </si>
  <si>
    <t xml:space="preserve">311 Secretaría de Turismo, Industria y Comercio </t>
  </si>
  <si>
    <t>312 Secretaría de Agricultura, Desarrollo Rural y Medio Ambiente</t>
  </si>
  <si>
    <t>313 Oficina Privada</t>
  </si>
  <si>
    <t xml:space="preserve">314 Secretaría de Educación - </t>
  </si>
  <si>
    <t>316 Secretaría de Familia</t>
  </si>
  <si>
    <t>318 Secretaría de Salud - 1801- Régimen Subsidiado - 1802 Prestación de Servicios -1803 Salud Pública - 1804 Otros Gastos en Salud</t>
  </si>
  <si>
    <t xml:space="preserve">Fortalecimiento de la red de urgencias y emergencias en el Departamento del Quindio </t>
  </si>
  <si>
    <t xml:space="preserve">324 Secretaría de Tecnologías de la Información y las Comunicaciones </t>
  </si>
  <si>
    <t>ENTIDADES DESCENTRALIZADAS</t>
  </si>
  <si>
    <t>319 Indeportes Quindío</t>
  </si>
  <si>
    <t>202000363-0039</t>
  </si>
  <si>
    <t>Fortalecimiento al deporte competitivo y de altos logros "TU Y    YO SOMOS salvaVIDAS POR UN QUINDIO GANADOR" en el Departamento del Quindio</t>
  </si>
  <si>
    <t>320 Promotora de Vivienda</t>
  </si>
  <si>
    <t xml:space="preserve">321 Instituto Departamental de Transito </t>
  </si>
  <si>
    <t>TOTAL ENTIDADES DESCENTRALIZADAS:</t>
  </si>
  <si>
    <t>GRAN TOTAL:</t>
  </si>
  <si>
    <t>JOSÉ IGNACIO ROJAS SEPÚLVEDA</t>
  </si>
  <si>
    <t>Secretario de Planeación Departamental</t>
  </si>
  <si>
    <t>LINEA ESTRATEGICA</t>
  </si>
  <si>
    <t>TOTAL SECTOR CENTRAL</t>
  </si>
  <si>
    <t>SGP SALÚD PUBLICA - PRESTACIÓN DE SERVICIOS
 (171)(198)(61)(60)</t>
  </si>
  <si>
    <t>OTROS (IVA TELEFONIA MÓVIL  - REGISTRO - LEY 1816 (3% MONOPOLIO LICORES) (DEPORTES) EXTRACCION MATERIAL RIO  (47)</t>
  </si>
  <si>
    <t>NACIÓN  - COFINANCIACIÓN
CONV ANTICONTRABANDO
(111)(107)</t>
  </si>
  <si>
    <t>PENDIENTE DNP</t>
  </si>
  <si>
    <t xml:space="preserve">308 SECRETARÍA DE AGUAS E INFRAESTRUCTURA </t>
  </si>
  <si>
    <t>.Tasa de participación en procesos y actividades artísticas y culturales.
.Tasa de consumo de sustancias sicoactivas por 100.000 habitantes en el departamento del Quindío.</t>
  </si>
  <si>
    <t>400101500</t>
  </si>
  <si>
    <t>.Cobertura en formación artística y cultural
.Tasa de consumo de sustancias sicoactivas por 100.000 habitantes en el departamento del Quindío.</t>
  </si>
  <si>
    <t>.Tasa de lectura
.Tasa de consumo de sustancias sicoactivas por 100.000 habitantes en el departamento del Quindío.</t>
  </si>
  <si>
    <t>Índice Departamental de Competitividad
Tasa desempleo</t>
  </si>
  <si>
    <t>360201800</t>
  </si>
  <si>
    <t>360203201</t>
  </si>
  <si>
    <t>360202904</t>
  </si>
  <si>
    <t xml:space="preserve">Esquemas de Pago por Servicio ambientales implementados </t>
  </si>
  <si>
    <t xml:space="preserve">mecanismos de articulación implementados para la gestión de oferta social </t>
  </si>
  <si>
    <t xml:space="preserve"> I </t>
  </si>
  <si>
    <t>390300501</t>
  </si>
  <si>
    <t>Fortalecimiento, Habitos y estilos de vida saludable como instrumento SALVAVIDAS en el Departamento del Quindio</t>
  </si>
  <si>
    <t>Cobertura de ligas apoyadas en el departamento del Quindío.
Porcentaje de medallería del departamento del Quindío en los Juegos Nacionales.</t>
  </si>
  <si>
    <t>202000363-0040</t>
  </si>
  <si>
    <t>202000363-0113</t>
  </si>
  <si>
    <t>SEPTIEMBRE 30 2020</t>
  </si>
  <si>
    <t>307 SECRETARÍA DE HACIENDA</t>
  </si>
  <si>
    <t>Índice de Desempeño Fiscal Administración Departamental</t>
  </si>
  <si>
    <t>Servicio de asistencia técnica para la articulación de los operadores de los servicios de justicia</t>
  </si>
  <si>
    <t>Cobertura de Instituciones Educativas con Planes Escolares de Gestión del Riesgo de Desastres-PEGERD</t>
  </si>
  <si>
    <t xml:space="preserve"> DNP</t>
  </si>
  <si>
    <t xml:space="preserve">Administración del  riesgo mediante el conocimiento, la reducción y el manejo del desastres en el Departamento del Quindío </t>
  </si>
  <si>
    <t>Fortalecimiento de la oferta de prestadores de servicios, productos y atractivos turísticos en el Departamento del Quindío</t>
  </si>
  <si>
    <t>9.2</t>
  </si>
  <si>
    <t>Servicio de información actualizado</t>
  </si>
  <si>
    <t>9.2.1</t>
  </si>
  <si>
    <t>Sistemas de información actualizados</t>
  </si>
  <si>
    <t>Documentos de lineamientos técnicos para mejorar la calidad ambiental de las áreas urbanas elaborados</t>
  </si>
  <si>
    <t>Gestión integral de cuencas hidrográficas en el Departamento del Quindío</t>
  </si>
  <si>
    <t>Implementación de  las Dimensiones y Políticas  del Modelo Integrado de Planeación y de Gestión MIPG</t>
  </si>
  <si>
    <t>Instrumentos de planificación para  el  Ordenamiento y la Gestión Territorial Departamental (Plan de Desarrollo Departamental PDD, Políticas y Directrices de Ordenamiento Territorial, Sistema de Información Geográfica, Catastro Multipropósito  y mecanismos de integración)</t>
  </si>
  <si>
    <t>Implementación Sistema de Cooperación Internacional y  de Gestión de proyectos  del Departamento del Quindío - "Fabrica de Proyectos"</t>
  </si>
  <si>
    <t xml:space="preserve">Implementación de un programa de gestión financiera para la optimización de los procesos en el área de tesorería, presupuesto y contabilidad en el Departamento del Quindío </t>
  </si>
  <si>
    <t>Promoción al acceso a la justicia. "Tú y yo con justicia"</t>
  </si>
  <si>
    <t xml:space="preserve">Índice de competitividad  en el sector de infraestructura vial </t>
  </si>
  <si>
    <t>Déficit cualitativo de viviendas por hogares</t>
  </si>
  <si>
    <t>Implementación del plan departamental para el manejo empresarial de los servicios de agua y saneamiento básico en el Departamento del Quindío</t>
  </si>
  <si>
    <t>Cobertura de asistencia a los municipios del departamento del Quindío en los procesos de la garantía y prevención de derechos humanos.</t>
  </si>
  <si>
    <t>Cobertura  de municipios del departamento del Quindío  atendidos con estudios y/o construcción de obras   para mitigación y atención a desastres realizadas.</t>
  </si>
  <si>
    <t>1.Cobertura  de municipios del departamento del Quindío  atendidos con estudios y/o construcción de obras   para mitigación y atención a desastres realizadas.
2.Ecosistemas protegidos y/o en procesos de restauración en el Departamento</t>
  </si>
  <si>
    <t>Cobertura de   personas capacitadas en Gestión del Riesgo de Desastres  en el Departamento del Quindío, bajo el marco de Ciudades resilientes</t>
  </si>
  <si>
    <t>Municipios con organismos de acción comunal fortalecidos.</t>
  </si>
  <si>
    <t xml:space="preserve">Fortalecimiento de las veedurías ciudadanas en el Departamento del Quindío </t>
  </si>
  <si>
    <t xml:space="preserve">Implementación del programa "Tú y Yo Somos Cultura", para el fortalecimiento a la lectura,  escritura  y bibliotecas en el Departamento del Quindío </t>
  </si>
  <si>
    <t xml:space="preserve"> Implementación de la "Ruta de la felicidad y la identidad quindiana", para  el fortalecimiento y visibilización de los procesos   artísticos  y culturales   en el Departamento del Quindío</t>
  </si>
  <si>
    <t>Servicio de asistencia técnica para el desarrollo de iniciativas Clústers</t>
  </si>
  <si>
    <t>Índice Departamental de Competitividad Turística
Tasa desempleo</t>
  </si>
  <si>
    <t>Apoyo a la promoción nacional e internacional como destino turismo del Departamento del Quindío</t>
  </si>
  <si>
    <t>Servicio de asistencia técnica para la generación y formalización del empleo</t>
  </si>
  <si>
    <t>Adquisición, mantenimiento y administración de áreas de importancia estratégica para la conservación y regulación del recurso hídrico.</t>
  </si>
  <si>
    <t>Fortalecimiento  y potencialización de los servicios ecosistémicos en el Departamento del Quindío</t>
  </si>
  <si>
    <t>Implementación de acciones de Gestión del Cambio Climático en el marco del PIGCC.</t>
  </si>
  <si>
    <t xml:space="preserve">Encuentros ciudadanos en el Departamento del Quindío en aplicación de la Política de Transparencia, Acceso a la Información Pública y Lucha contra la Corrupción.  </t>
  </si>
  <si>
    <t>Fortalecimiento territorial para una gestión educativa integral en la Secretaría de Educación Departamental del Quindío</t>
  </si>
  <si>
    <t>Implementación de un fondo de apoyo departamental para el acceso y la permanencia de la educación técnica, tecnológica y superior en el Departamento del Quindío</t>
  </si>
  <si>
    <t>Implementación de un modelo de atención integral a niños y niñas en entornos protectores en el Departamento del Quindío</t>
  </si>
  <si>
    <t>Formulación e implementación de  la política pública  de la familia en el departamento del Quindío</t>
  </si>
  <si>
    <t xml:space="preserve">Cobertura de municipios del departamento apoyados con  emprendimientos juveniles </t>
  </si>
  <si>
    <t>Formulación e implementación de la política pública  de diversidad sexual en el Departamento del Quindío</t>
  </si>
  <si>
    <t>Implementación de la política pública de equidad de género para la mujer en el Departamento del Quindío</t>
  </si>
  <si>
    <t>Porcentaje de población asegurada al SGSSS
Oportunidad en la presunción diagnóstica y tratamiento oncológico en menores de 18 años (alta y media)</t>
  </si>
  <si>
    <t>Mortalidad por diarreica aguda (EDA) menores 5 años (numero de muertes anual)
Prevalencia de niños menores de 5 años con desnutrición aguda
Índice de riesgo de la calidad de agua para consumo humano IRCA</t>
  </si>
  <si>
    <t>Oportunidad en la presunción diagnóstica y tratamiento oncológico en menores de 18 años (alta y media)</t>
  </si>
  <si>
    <t>Formulación e implementación del Plan Departamental en Salud Ambiental de adaptación al cambio climático.</t>
  </si>
  <si>
    <t>Tasa ajustada por edad de mortalidad asociada a cáncer de cuello uterino (por 100.000 mujeres).
Oportunidad en la presunción diagnóstica y tratamiento oncológico en menores de 18 años (alta y media)</t>
  </si>
  <si>
    <t>Facilitar el acceso y uso de las Tecnologías de la Información y las Comunicaciones en todo el departamento del Quindío. "Tú y yo somos ciudadanos TIC"</t>
  </si>
  <si>
    <t>Fomento del desarrollo de aplicaciones, software y contenidos para impulsar la apropiación de las Tecnologías de la Información y las Comunicaciones (TIC) "Quindío paraíso empresarial TIC-Quindío TIC"</t>
  </si>
  <si>
    <t>Apoyo a la estrategia de gobierno en línea en el Departamento del Quindío</t>
  </si>
  <si>
    <t>Incremento de emprendimientos y/o empresas de base tecnológica</t>
  </si>
  <si>
    <t xml:space="preserve">Implementación  y  divulgación de la estrategia    "Quindío innovador y competitivo" </t>
  </si>
  <si>
    <t>Apoyo a los juegos Intercolegiados en el Departamento del Quindío</t>
  </si>
  <si>
    <t>Apoyo a proyectos deportivos, recreativos y de actividad física, en el Departamento del Quindío</t>
  </si>
  <si>
    <t>Apoyo a la actividad física, salud y productiva en el Departamento del Quindío</t>
  </si>
  <si>
    <t xml:space="preserve">Apoyo en la formulación y ejecución de proyectos de vivienda, infraestructura y equipamientos colectivos y comunitarios en el Departamento del Quindío  </t>
  </si>
  <si>
    <t xml:space="preserve">índice de competitividad  en el sector de infraestructura vial </t>
  </si>
  <si>
    <t>Déficit cuantitativo de viviendas por hogares</t>
  </si>
  <si>
    <t xml:space="preserve">Viviendas de Interés Prioritario urbanas construidas </t>
  </si>
  <si>
    <t xml:space="preserve">Infraestructura Institucional de edificios públicos de atención de servicios ciudadanos con procesos constructivos, y/o mejorados, y/o ampliados, y/o mantenidos y/o reforzados </t>
  </si>
  <si>
    <r>
      <t xml:space="preserve">Política de Transparencia, Acceso a la Información Pública y Lucha Contra la Corrupción  articulada   con el "Pacto por la Integridad , Transparencia y Legalidad" del Gobierno Nacional desarrollada.                                                                           </t>
    </r>
    <r>
      <rPr>
        <sz val="12"/>
        <color rgb="FF000000"/>
        <rFont val="Arial"/>
        <family val="2"/>
      </rPr>
      <t xml:space="preserve">        </t>
    </r>
  </si>
  <si>
    <t>Julio 30 de 2020</t>
  </si>
  <si>
    <t>Tasa de cobertura bruta en transición
Tasa de cobertura bruta en educación básica
Tasa de cobertura en educación media</t>
  </si>
  <si>
    <t>Servicios educativos de promoción del bilingüismo</t>
  </si>
  <si>
    <t>Tasa de participación en procesos y actividades artísticas y culturales.
Tasa de consumo de sustancias sicoactivas por 100.000 habitantes en el departamento del Quindío.</t>
  </si>
  <si>
    <t>Índice Departamental de Competitividad Turística
Tasa de desempleo</t>
  </si>
  <si>
    <t xml:space="preserve">Cobertura  de alcantarillado </t>
  </si>
  <si>
    <t xml:space="preserve">Cobertura en la  implementación del  modelo de entornos protectores y atención integral de la primera infancia </t>
  </si>
  <si>
    <t>Cobertura  de municipios   con  jóvenes en riesgo psicosocial impactados en los  barrios vulnerables del Departamento del Quindío</t>
  </si>
  <si>
    <t>Tasa de violencia de género.
Tasa de Suicidio  x 100.000 Habitantes en el Departamento del Quindío.
Tasa de suicidios en niños y niñas ( 6 a 11 años)
Tasa de suicidios en adolescentes (12 a 17 años)
Tasa de suicidios (18 - 28 años)
Tasa de Consumo de Sustancias Psicoactivas  x 100.000 habitantes en el Departamento del Quindío.</t>
  </si>
  <si>
    <t>Tasa de violencia Intrafamiliar x 100.000 Habitantes en el Departamento del Quindío.
Tasa de violencia contra niños y niñas 0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</si>
  <si>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Tasa de Violencia Intrafamiliar x 100.000 Habitantes en el Departamento del Quindío.
Tasa de violencia contra niños y niñas 0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</si>
  <si>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Cobertura  de población diferencial,  comunidades negras, afros raizales y palenqueras asentadas en el departamento del Quindío con una  política publica .</t>
  </si>
  <si>
    <t>Formular e implementar la política pública para la comunidad negra, afrocolombiana, raizal y palenquera residente en 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</si>
  <si>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</si>
  <si>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</si>
  <si>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</si>
  <si>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Cobertura  de  centros vida y centros de bienestar del adulto mayor (Legalmente constituidos)  apoyados con los recursos  de la  Estampilla Pro adulto Mayor .</t>
  </si>
  <si>
    <t xml:space="preserve">Política Pública de  Discapacidad  revisada, ajustada e implementada. </t>
  </si>
  <si>
    <t>FONDO LOCAL DE SALUD  - MONOPOLIO RENTAS CEDIDAS -LOTERIAS-RIFAS-PREMIO(152)(99)63)</t>
  </si>
  <si>
    <t>Realizar la vigilancia epidemiológica de plaguicidas en el marco del programa VEO (vigilancia epidemiológica de organofosforados y carbamatos) en los municipios de competencia departamental.</t>
  </si>
  <si>
    <t>Prevalencia de niños menores de 5 años con desnutrición aguda.</t>
  </si>
  <si>
    <t>Plan de Fortalecimiento de Capacidades en Salud Ambiental  formulado.</t>
  </si>
  <si>
    <t>Tasa de violencia de género.
Tasa de Suicidio  x 100.000 Habitantes en el Departamento del Quindío.
Tasa de suicidios en niños y niñas ( 6 a 11 años)
Tasa de suicidios en adolescentes (12 a 17 años)
Tasa de suicidios (18 - 28 años)
Tasa de Consumo de Sustancias Psicoactivas  x 100.000 Habitantes en el Departamento del Quindío.</t>
  </si>
  <si>
    <t xml:space="preserve">Infraestructura  vial    construida, mejorada, ampliada,  mantenida, y/o  reforzada </t>
  </si>
  <si>
    <t xml:space="preserve">Infraestructura   deportiva y/o recreativa construida y/o mejorada, y/o ampliada, y/o mantenida, y/o  reforzada </t>
  </si>
  <si>
    <t>324  SECRETARÍA TECNOLOGÍAS DE LA INFORMACIÓN Y COMUNICACIÓN</t>
  </si>
  <si>
    <t>37.4</t>
  </si>
  <si>
    <t>13.9</t>
  </si>
  <si>
    <t>12.22</t>
  </si>
  <si>
    <t>12.4</t>
  </si>
  <si>
    <t>12.12</t>
  </si>
  <si>
    <t>11.12</t>
  </si>
  <si>
    <t>11.16</t>
  </si>
  <si>
    <t>11.13</t>
  </si>
  <si>
    <t>16.5</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</si>
  <si>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</si>
  <si>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</si>
  <si>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picoactivas por 100.000 habitantes en el departamento del Quindío.</t>
  </si>
  <si>
    <t>.Tasa de cumplimiento al Plan de Biocultura en patrimonio y del PCC.
.Tasa de consumo de sustancias psicoactivas por 100.000 habitantes en el departamento del Quindío.</t>
  </si>
  <si>
    <t>Tasa de lesionados por siniestros viales por cada 100 habitantes.
Tasa de fallecidos por siniestros viales por cada 100 habitantes.</t>
  </si>
  <si>
    <t>Fortalecimiento, hábitos y estilos de vida saludable como instrumento SALVAVIDAS en el Departamento del Quindío</t>
  </si>
  <si>
    <t>Cobertura de municipios que participan en programas de recreación, actividad física y deporte social y comunitario en el Departamento del Quindío.
Tasa de Consumo de Sustancias Psicoactivas  x 100.000 Habitantes en el Departamento del Quindío.</t>
  </si>
  <si>
    <t>Fortalecimiento al deporte competitivo y de altos logros "TÚ Y  YO SOMOS SALVAVIDAS POR UN QUINDÍO GANADOR" en el Departamento del Quindío</t>
  </si>
  <si>
    <t>Política pública formulada e implementada</t>
  </si>
  <si>
    <t>PROGRAMACION PLAN OPERATIVO ANUAL DE INVERSIÓN  POAI 
PLAN DE DESARROLLO 2020-2023 "TÚ Y YO SOMOS QUINDIO "
SEPTIEMBRE 30 DE 2020</t>
  </si>
  <si>
    <t>F-PLA-42</t>
  </si>
  <si>
    <t>RELACION PROYECTOS DE INVERSION REGISTRADOS EN EL BANCO DE PROGRAMAS Y PROYECTOS, QUE FORMAN PARTE DEL PLAN OPERATIVO ANUAL DE INVERSIONES POAI DEL DEPARTAMENTO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</si>
</sst>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 #,##0_-;\-&quot;$&quot;\ * #,##0_-;_-&quot;$&quot;\ * &quot;-&quot;_-;_-@_-"/>
    <numFmt numFmtId="169" formatCode="_-&quot;$&quot;\ * #,##0.00_-;\-&quot;$&quot;\ * #,##0.00_-;_-&quot;$&quot;\ * &quot;-&quot;??_-;_-@_-"/>
    <numFmt numFmtId="170" formatCode="_([$$-240A]\ * #,##0.00_);_([$$-240A]\ * \(#,##0.00\);_([$$-240A]\ * &quot;-&quot;??_);_(@_)"/>
    <numFmt numFmtId="171" formatCode="_(* #,##0_);_(* \(#,##0\);_(* &quot;-&quot;??_);_(@_)"/>
    <numFmt numFmtId="172" formatCode="_-* #,##0.00_-;\-* #,##0.00_-;_-* &quot;-&quot;_-;_-@_-"/>
    <numFmt numFmtId="173" formatCode="00"/>
    <numFmt numFmtId="174" formatCode="_-* #,##0_-;\-* #,##0_-;_-* &quot;-&quot;??_-;_-@_-"/>
    <numFmt numFmtId="175" formatCode="0.0"/>
    <numFmt numFmtId="176" formatCode="_-&quot;$&quot;\ * #,##0.00_-;\-&quot;$&quot;\ * #,##0.00_-;_-&quot;$&quot;\ * &quot;-&quot;_-;_-@_-"/>
    <numFmt numFmtId="177" formatCode="_(&quot;$&quot;\ * #,##0_);_(&quot;$&quot;\ * \(#,##0\);_(&quot;$&quot;\ * &quot;-&quot;??_);_(@_)"/>
    <numFmt numFmtId="178" formatCode="#,##0.00000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rgb="FF6F6F6E"/>
      <name val="Calibri"/>
      <family val="2"/>
      <scheme val="minor"/>
    </font>
    <font>
      <sz val="12"/>
      <name val="Arial"/>
      <family val="2"/>
    </font>
    <font>
      <sz val="12"/>
      <color theme="1"/>
      <name val="Arial"/>
      <family val="2"/>
    </font>
    <font>
      <b/>
      <sz val="12"/>
      <color theme="0"/>
      <name val="Arial"/>
      <family val="2"/>
    </font>
    <font>
      <sz val="10"/>
      <name val="Arial"/>
      <family val="2"/>
    </font>
    <font>
      <sz val="10"/>
      <color theme="1"/>
      <name val="Arial"/>
      <family val="2"/>
    </font>
    <font>
      <b/>
      <sz val="12"/>
      <name val="Arial"/>
      <family val="2"/>
    </font>
    <font>
      <b/>
      <sz val="10"/>
      <name val="Arial"/>
      <family val="2"/>
    </font>
    <font>
      <sz val="12"/>
      <color theme="0"/>
      <name val="Arial"/>
      <family val="2"/>
    </font>
    <font>
      <sz val="12"/>
      <color indexed="8"/>
      <name val="Arial"/>
      <family val="2"/>
    </font>
    <font>
      <sz val="12"/>
      <color rgb="FFFF0000"/>
      <name val="Arial"/>
      <family val="2"/>
    </font>
    <font>
      <sz val="12"/>
      <color rgb="FF000000"/>
      <name val="Arial"/>
      <family val="2"/>
    </font>
    <font>
      <sz val="8"/>
      <name val="Calibri"/>
      <family val="2"/>
      <scheme val="minor"/>
    </font>
    <font>
      <b/>
      <sz val="8"/>
      <name val="Arial"/>
      <family val="2"/>
    </font>
    <font>
      <sz val="8"/>
      <name val="Arial"/>
      <family val="2"/>
    </font>
    <font>
      <sz val="8"/>
      <color theme="1"/>
      <name val="Calibri"/>
      <family val="2"/>
      <scheme val="minor"/>
    </font>
    <font>
      <b/>
      <sz val="8"/>
      <name val="Calibri"/>
      <family val="2"/>
      <scheme val="minor"/>
    </font>
    <font>
      <sz val="12"/>
      <color rgb="FF222222"/>
      <name val="Arial"/>
      <family val="2"/>
    </font>
  </fonts>
  <fills count="45">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CECEC"/>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theme="4" tint="0.39997558519241921"/>
        <bgColor indexed="64"/>
      </patternFill>
    </fill>
    <fill>
      <patternFill patternType="solid">
        <fgColor indexed="49"/>
        <bgColor indexed="64"/>
      </patternFill>
    </fill>
    <fill>
      <patternFill patternType="solid">
        <fgColor theme="2" tint="-0.249977111117893"/>
        <bgColor indexed="64"/>
      </patternFill>
    </fill>
    <fill>
      <patternFill patternType="solid">
        <fgColor theme="0"/>
        <bgColor theme="4" tint="0.79998168889431442"/>
      </patternFill>
    </fill>
    <fill>
      <patternFill patternType="solid">
        <fgColor theme="9" tint="0.39997558519241921"/>
        <bgColor indexed="64"/>
      </patternFill>
    </fill>
    <fill>
      <patternFill patternType="solid">
        <fgColor theme="4" tint="0.59999389629810485"/>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diagonal/>
    </border>
  </borders>
  <cellStyleXfs count="61">
    <xf numFmtId="0" fontId="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0" fillId="5" borderId="4" applyNumberFormat="0" applyAlignment="0" applyProtection="0"/>
    <xf numFmtId="0" fontId="12" fillId="6" borderId="7" applyNumberFormat="0" applyAlignment="0" applyProtection="0"/>
    <xf numFmtId="0" fontId="11"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8" fillId="4" borderId="4" applyNumberFormat="0" applyAlignment="0" applyProtection="0"/>
    <xf numFmtId="0" fontId="6" fillId="2" borderId="0" applyNumberFormat="0" applyBorder="0" applyAlignment="0" applyProtection="0"/>
    <xf numFmtId="0" fontId="7" fillId="3" borderId="0" applyNumberFormat="0" applyBorder="0" applyAlignment="0" applyProtection="0"/>
    <xf numFmtId="0" fontId="1" fillId="7" borderId="8" applyNumberFormat="0" applyFont="0" applyAlignment="0" applyProtection="0"/>
    <xf numFmtId="0" fontId="9" fillId="5"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5" fillId="0" borderId="9" applyNumberFormat="0" applyFill="0" applyAlignment="0" applyProtection="0"/>
    <xf numFmtId="43" fontId="17" fillId="0" borderId="0" applyFont="0" applyFill="0" applyBorder="0" applyAlignment="0" applyProtection="0"/>
    <xf numFmtId="167" fontId="1" fillId="0" borderId="0" applyFont="0" applyFill="0" applyBorder="0" applyAlignment="0" applyProtection="0"/>
    <xf numFmtId="0" fontId="18" fillId="32" borderId="10">
      <alignment horizontal="center" vertical="center" wrapText="1"/>
    </xf>
    <xf numFmtId="0" fontId="1" fillId="0" borderId="0"/>
    <xf numFmtId="9" fontId="17"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70" fontId="1" fillId="0" borderId="0"/>
    <xf numFmtId="170" fontId="18" fillId="32" borderId="10">
      <alignment horizontal="center" vertical="center" wrapText="1"/>
    </xf>
    <xf numFmtId="166"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70" fontId="22" fillId="0" borderId="0"/>
    <xf numFmtId="169" fontId="1" fillId="0" borderId="0" applyFont="0" applyFill="0" applyBorder="0" applyAlignment="0" applyProtection="0"/>
    <xf numFmtId="165" fontId="1" fillId="0" borderId="0" applyFont="0" applyFill="0" applyBorder="0" applyAlignment="0" applyProtection="0"/>
    <xf numFmtId="167" fontId="17" fillId="0" borderId="0" applyFont="0" applyFill="0" applyBorder="0" applyAlignment="0" applyProtection="0"/>
    <xf numFmtId="169" fontId="1" fillId="0" borderId="0" applyFont="0" applyFill="0" applyBorder="0" applyAlignment="0" applyProtection="0"/>
    <xf numFmtId="0" fontId="23" fillId="0" borderId="0"/>
    <xf numFmtId="168" fontId="1" fillId="0" borderId="0" applyFont="0" applyFill="0" applyBorder="0" applyAlignment="0" applyProtection="0"/>
    <xf numFmtId="170" fontId="22" fillId="0" borderId="0"/>
  </cellStyleXfs>
  <cellXfs count="512">
    <xf numFmtId="0" fontId="0" fillId="0" borderId="0" xfId="0"/>
    <xf numFmtId="0" fontId="20" fillId="0" borderId="11" xfId="0" applyFont="1" applyBorder="1" applyAlignment="1">
      <alignment horizontal="center" vertical="center"/>
    </xf>
    <xf numFmtId="0" fontId="20" fillId="0" borderId="11" xfId="0" applyFont="1" applyBorder="1" applyAlignment="1">
      <alignment horizontal="left" vertical="center" wrapText="1"/>
    </xf>
    <xf numFmtId="43" fontId="19" fillId="0" borderId="11" xfId="41" applyFont="1" applyFill="1" applyBorder="1" applyAlignment="1">
      <alignment horizontal="justify" vertical="center"/>
    </xf>
    <xf numFmtId="171" fontId="19" fillId="0" borderId="11" xfId="41" applyNumberFormat="1" applyFont="1" applyFill="1" applyBorder="1" applyAlignment="1">
      <alignment horizontal="center" vertical="center" wrapText="1"/>
    </xf>
    <xf numFmtId="0" fontId="19" fillId="0" borderId="11" xfId="41" applyNumberFormat="1" applyFont="1" applyFill="1" applyBorder="1" applyAlignment="1">
      <alignment horizontal="center" vertical="center" wrapText="1"/>
    </xf>
    <xf numFmtId="43" fontId="19" fillId="0" borderId="11" xfId="41" applyFont="1" applyFill="1" applyBorder="1"/>
    <xf numFmtId="0" fontId="19" fillId="0" borderId="11" xfId="49" applyNumberFormat="1" applyFont="1" applyFill="1" applyBorder="1" applyAlignment="1">
      <alignment horizontal="justify" vertical="center" wrapText="1"/>
    </xf>
    <xf numFmtId="0" fontId="19" fillId="0" borderId="11" xfId="51" applyNumberFormat="1" applyFont="1" applyFill="1" applyBorder="1" applyAlignment="1">
      <alignment horizontal="center" vertical="center" wrapText="1"/>
    </xf>
    <xf numFmtId="43" fontId="19" fillId="0" borderId="11" xfId="51" applyFont="1" applyFill="1" applyBorder="1" applyAlignment="1">
      <alignment horizontal="right" vertical="center" wrapText="1"/>
    </xf>
    <xf numFmtId="170" fontId="19" fillId="0" borderId="11" xfId="49" applyFont="1" applyFill="1" applyBorder="1" applyAlignment="1">
      <alignment horizontal="justify" vertical="center" wrapText="1"/>
    </xf>
    <xf numFmtId="174" fontId="19" fillId="0" borderId="0" xfId="51" applyNumberFormat="1" applyFont="1" applyAlignment="1">
      <alignment horizontal="center"/>
    </xf>
    <xf numFmtId="43" fontId="19" fillId="0" borderId="11" xfId="41" applyFont="1" applyBorder="1" applyAlignment="1">
      <alignment horizontal="justify" vertical="center"/>
    </xf>
    <xf numFmtId="0" fontId="19" fillId="0" borderId="11" xfId="49" applyNumberFormat="1" applyFont="1" applyFill="1" applyBorder="1" applyAlignment="1">
      <alignment horizontal="center" vertical="center"/>
    </xf>
    <xf numFmtId="43" fontId="19" fillId="38" borderId="11" xfId="41" applyFont="1" applyFill="1" applyBorder="1" applyAlignment="1">
      <alignment horizontal="justify" vertical="center"/>
    </xf>
    <xf numFmtId="43" fontId="24" fillId="38" borderId="11" xfId="41" applyFont="1" applyFill="1" applyBorder="1" applyAlignment="1">
      <alignment horizontal="justify" vertical="center"/>
    </xf>
    <xf numFmtId="167" fontId="19" fillId="0" borderId="11" xfId="42" applyFont="1" applyFill="1" applyBorder="1" applyAlignment="1">
      <alignment horizontal="center" vertical="center"/>
    </xf>
    <xf numFmtId="0" fontId="19" fillId="0" borderId="11" xfId="51" applyNumberFormat="1" applyFont="1" applyFill="1" applyBorder="1" applyAlignment="1">
      <alignment horizontal="justify" vertical="center" wrapText="1"/>
    </xf>
    <xf numFmtId="43" fontId="19" fillId="0" borderId="11" xfId="41" applyFont="1" applyFill="1" applyBorder="1" applyAlignment="1">
      <alignment horizontal="justify" vertical="center" wrapText="1"/>
    </xf>
    <xf numFmtId="43" fontId="28" fillId="0" borderId="11" xfId="41" applyFont="1" applyFill="1" applyBorder="1" applyAlignment="1">
      <alignment horizontal="justify" vertical="center"/>
    </xf>
    <xf numFmtId="43" fontId="19" fillId="0" borderId="11" xfId="51" applyFont="1" applyFill="1" applyBorder="1" applyAlignment="1">
      <alignment vertical="center"/>
    </xf>
    <xf numFmtId="43" fontId="19" fillId="0" borderId="11" xfId="51" applyFont="1" applyFill="1" applyBorder="1" applyAlignment="1">
      <alignment horizontal="center" vertical="center"/>
    </xf>
    <xf numFmtId="43" fontId="19" fillId="0" borderId="11" xfId="41" applyFont="1" applyFill="1" applyBorder="1" applyAlignment="1">
      <alignment horizontal="right" vertical="center"/>
    </xf>
    <xf numFmtId="43" fontId="24" fillId="38" borderId="11" xfId="51" applyFont="1" applyFill="1" applyBorder="1" applyAlignment="1">
      <alignment horizontal="center" vertical="center"/>
    </xf>
    <xf numFmtId="43" fontId="19" fillId="0" borderId="11" xfId="41" applyFont="1" applyFill="1" applyBorder="1" applyAlignment="1">
      <alignment horizontal="center" vertical="center" wrapText="1"/>
    </xf>
    <xf numFmtId="43" fontId="20" fillId="0" borderId="11" xfId="41" applyFont="1" applyFill="1" applyBorder="1" applyAlignment="1">
      <alignment horizontal="center" vertical="center" wrapText="1"/>
    </xf>
    <xf numFmtId="0" fontId="30" fillId="0" borderId="0" xfId="0" applyFont="1"/>
    <xf numFmtId="0" fontId="31" fillId="0" borderId="0" xfId="0" applyFont="1" applyAlignment="1">
      <alignment horizontal="center" vertical="center"/>
    </xf>
    <xf numFmtId="0" fontId="31" fillId="0" borderId="0" xfId="0" applyFont="1" applyAlignment="1">
      <alignment vertical="center"/>
    </xf>
    <xf numFmtId="0" fontId="32" fillId="0" borderId="11" xfId="0" applyFont="1" applyBorder="1" applyAlignment="1">
      <alignment horizontal="center" vertical="center" wrapText="1"/>
    </xf>
    <xf numFmtId="43" fontId="30" fillId="0" borderId="27" xfId="0" applyNumberFormat="1" applyFont="1" applyBorder="1" applyAlignment="1">
      <alignment vertical="center"/>
    </xf>
    <xf numFmtId="43" fontId="31" fillId="0" borderId="0" xfId="0" applyNumberFormat="1" applyFont="1" applyAlignment="1">
      <alignment vertical="center"/>
    </xf>
    <xf numFmtId="0" fontId="33" fillId="0" borderId="0" xfId="0" applyFont="1"/>
    <xf numFmtId="43" fontId="30" fillId="0" borderId="0" xfId="0" applyNumberFormat="1" applyFont="1"/>
    <xf numFmtId="0" fontId="32" fillId="0" borderId="18" xfId="0" applyFont="1" applyBorder="1" applyAlignment="1">
      <alignment horizontal="center" vertical="center" wrapText="1"/>
    </xf>
    <xf numFmtId="0" fontId="32" fillId="0" borderId="11" xfId="0" applyFont="1" applyFill="1" applyBorder="1" applyAlignment="1">
      <alignment horizontal="center" vertical="center" wrapText="1"/>
    </xf>
    <xf numFmtId="0" fontId="32" fillId="0" borderId="11" xfId="0" applyFont="1" applyFill="1" applyBorder="1" applyAlignment="1">
      <alignment horizontal="justify" vertical="center" wrapText="1"/>
    </xf>
    <xf numFmtId="0" fontId="30" fillId="0" borderId="0" xfId="0" applyFont="1" applyFill="1"/>
    <xf numFmtId="0" fontId="30" fillId="0" borderId="0" xfId="0" applyFont="1" applyAlignment="1">
      <alignment horizontal="left" vertical="center" wrapText="1"/>
    </xf>
    <xf numFmtId="1" fontId="32" fillId="0" borderId="11" xfId="0" applyNumberFormat="1" applyFont="1" applyBorder="1" applyAlignment="1">
      <alignment horizontal="center" vertical="center" wrapText="1"/>
    </xf>
    <xf numFmtId="0" fontId="30" fillId="0" borderId="11" xfId="0" applyFont="1" applyBorder="1" applyAlignment="1">
      <alignment horizontal="justify" vertical="center" wrapText="1"/>
    </xf>
    <xf numFmtId="1" fontId="32" fillId="0" borderId="18" xfId="0" applyNumberFormat="1" applyFont="1" applyBorder="1" applyAlignment="1">
      <alignment horizontal="center" vertical="center" wrapText="1"/>
    </xf>
    <xf numFmtId="0" fontId="31" fillId="41" borderId="19" xfId="0" applyFont="1" applyFill="1" applyBorder="1" applyAlignment="1">
      <alignment horizontal="center" vertical="center" wrapText="1"/>
    </xf>
    <xf numFmtId="43" fontId="30" fillId="33" borderId="0" xfId="0" applyNumberFormat="1" applyFont="1" applyFill="1"/>
    <xf numFmtId="0" fontId="30" fillId="33" borderId="0" xfId="0" applyFont="1" applyFill="1"/>
    <xf numFmtId="3" fontId="32" fillId="0" borderId="11" xfId="0" applyNumberFormat="1" applyFont="1" applyBorder="1" applyAlignment="1">
      <alignment horizontal="justify" vertical="center" wrapText="1"/>
    </xf>
    <xf numFmtId="3" fontId="30" fillId="0" borderId="11" xfId="0" applyNumberFormat="1" applyFont="1" applyBorder="1" applyAlignment="1">
      <alignment horizontal="justify" vertical="center" wrapText="1"/>
    </xf>
    <xf numFmtId="171" fontId="32" fillId="0" borderId="11" xfId="0" applyNumberFormat="1" applyFont="1" applyBorder="1" applyAlignment="1">
      <alignment horizontal="justify" vertical="center" wrapText="1"/>
    </xf>
    <xf numFmtId="0" fontId="34" fillId="0" borderId="0" xfId="0" applyFont="1"/>
    <xf numFmtId="0" fontId="34" fillId="39" borderId="31" xfId="0" applyFont="1" applyFill="1" applyBorder="1" applyAlignment="1">
      <alignment horizontal="justify" vertical="center" wrapText="1"/>
    </xf>
    <xf numFmtId="0" fontId="30" fillId="33" borderId="0" xfId="0" applyFont="1" applyFill="1" applyAlignment="1">
      <alignment horizontal="justify" vertical="center" wrapText="1"/>
    </xf>
    <xf numFmtId="0" fontId="32" fillId="33" borderId="0" xfId="0" applyFont="1" applyFill="1" applyAlignment="1">
      <alignment horizontal="center" vertical="center" wrapText="1"/>
    </xf>
    <xf numFmtId="167" fontId="30" fillId="33" borderId="0" xfId="0" applyNumberFormat="1" applyFont="1" applyFill="1" applyAlignment="1">
      <alignment vertical="center"/>
    </xf>
    <xf numFmtId="4" fontId="30" fillId="33" borderId="0" xfId="0" applyNumberFormat="1" applyFont="1" applyFill="1" applyAlignment="1">
      <alignment vertical="center" wrapText="1"/>
    </xf>
    <xf numFmtId="0" fontId="30" fillId="33" borderId="0" xfId="0" applyFont="1" applyFill="1" applyAlignment="1">
      <alignment vertical="center"/>
    </xf>
    <xf numFmtId="0" fontId="30" fillId="0" borderId="0" xfId="0" applyFont="1" applyAlignment="1">
      <alignment horizontal="justify" vertical="center" wrapText="1"/>
    </xf>
    <xf numFmtId="0" fontId="32" fillId="0" borderId="0" xfId="0" applyFont="1" applyAlignment="1">
      <alignment horizontal="center" vertical="center" wrapText="1"/>
    </xf>
    <xf numFmtId="0" fontId="30" fillId="0" borderId="0" xfId="0" applyFont="1" applyAlignment="1">
      <alignment vertical="center"/>
    </xf>
    <xf numFmtId="0" fontId="32" fillId="0" borderId="14" xfId="0" applyFont="1" applyBorder="1" applyAlignment="1">
      <alignment horizontal="justify" vertical="center" wrapText="1"/>
    </xf>
    <xf numFmtId="0" fontId="32" fillId="0" borderId="20" xfId="0" applyFont="1" applyBorder="1" applyAlignment="1">
      <alignment horizontal="center" vertical="center" wrapText="1"/>
    </xf>
    <xf numFmtId="43" fontId="31" fillId="40" borderId="32" xfId="0" applyNumberFormat="1" applyFont="1" applyFill="1" applyBorder="1" applyAlignment="1">
      <alignment horizontal="left" vertical="center" wrapText="1"/>
    </xf>
    <xf numFmtId="0" fontId="32" fillId="0" borderId="37" xfId="0" applyFont="1" applyBorder="1" applyAlignment="1">
      <alignment horizontal="justify" vertical="center" wrapText="1"/>
    </xf>
    <xf numFmtId="0" fontId="32" fillId="0" borderId="37" xfId="0" applyFont="1" applyBorder="1" applyAlignment="1">
      <alignment horizontal="center" vertical="center" wrapText="1"/>
    </xf>
    <xf numFmtId="43" fontId="30" fillId="0" borderId="38" xfId="0" applyNumberFormat="1" applyFont="1" applyBorder="1" applyAlignment="1">
      <alignment vertical="center"/>
    </xf>
    <xf numFmtId="43" fontId="30" fillId="0" borderId="34" xfId="0" applyNumberFormat="1" applyFont="1" applyBorder="1" applyAlignment="1">
      <alignment vertical="center"/>
    </xf>
    <xf numFmtId="43" fontId="31" fillId="40" borderId="35" xfId="0" applyNumberFormat="1" applyFont="1" applyFill="1" applyBorder="1" applyAlignment="1">
      <alignment horizontal="left" vertical="center"/>
    </xf>
    <xf numFmtId="0" fontId="32" fillId="0" borderId="12" xfId="0" applyFont="1" applyBorder="1" applyAlignment="1">
      <alignment horizontal="justify" vertical="center" wrapText="1"/>
    </xf>
    <xf numFmtId="43" fontId="31" fillId="40" borderId="32" xfId="0" applyNumberFormat="1" applyFont="1" applyFill="1" applyBorder="1" applyAlignment="1">
      <alignment horizontal="left" vertical="center"/>
    </xf>
    <xf numFmtId="0" fontId="32" fillId="0" borderId="15" xfId="0" applyFont="1" applyBorder="1" applyAlignment="1">
      <alignment horizontal="justify" vertical="center" wrapText="1"/>
    </xf>
    <xf numFmtId="43" fontId="30" fillId="0" borderId="40" xfId="0" applyNumberFormat="1" applyFont="1" applyBorder="1" applyAlignment="1">
      <alignment vertical="center"/>
    </xf>
    <xf numFmtId="43" fontId="31" fillId="40" borderId="33" xfId="0" applyNumberFormat="1" applyFont="1" applyFill="1" applyBorder="1" applyAlignment="1">
      <alignment horizontal="left" vertical="center"/>
    </xf>
    <xf numFmtId="0" fontId="32" fillId="0" borderId="20" xfId="0" applyFont="1" applyFill="1" applyBorder="1" applyAlignment="1">
      <alignment horizontal="center" vertical="center" wrapText="1"/>
    </xf>
    <xf numFmtId="1" fontId="32" fillId="0" borderId="18" xfId="0" applyNumberFormat="1" applyFont="1" applyFill="1" applyBorder="1" applyAlignment="1">
      <alignment horizontal="center" vertical="center" wrapText="1"/>
    </xf>
    <xf numFmtId="0" fontId="30" fillId="0" borderId="18" xfId="0" applyFont="1" applyBorder="1" applyAlignment="1">
      <alignment horizontal="justify" vertical="center" wrapText="1"/>
    </xf>
    <xf numFmtId="171" fontId="32" fillId="0" borderId="20" xfId="0" applyNumberFormat="1" applyFont="1" applyBorder="1" applyAlignment="1">
      <alignment horizontal="justify" vertical="center" wrapText="1"/>
    </xf>
    <xf numFmtId="172" fontId="31" fillId="40" borderId="33" xfId="55" applyNumberFormat="1" applyFont="1" applyFill="1" applyBorder="1" applyAlignment="1">
      <alignment horizontal="justify" vertical="center" wrapText="1"/>
    </xf>
    <xf numFmtId="43" fontId="31" fillId="41" borderId="41" xfId="51" applyFont="1" applyFill="1" applyBorder="1" applyAlignment="1">
      <alignment horizontal="center" vertical="center" wrapText="1"/>
    </xf>
    <xf numFmtId="43" fontId="31" fillId="39" borderId="33" xfId="41" applyFont="1" applyFill="1" applyBorder="1" applyAlignment="1">
      <alignment vertical="center"/>
    </xf>
    <xf numFmtId="0" fontId="30" fillId="0" borderId="42" xfId="0" applyFont="1" applyBorder="1"/>
    <xf numFmtId="0" fontId="30" fillId="0" borderId="22" xfId="0" applyFont="1" applyBorder="1"/>
    <xf numFmtId="0" fontId="31" fillId="0" borderId="22" xfId="0" applyFont="1" applyBorder="1" applyAlignment="1">
      <alignment horizontal="center" vertical="center"/>
    </xf>
    <xf numFmtId="0" fontId="31" fillId="41" borderId="25" xfId="0" applyFont="1" applyFill="1" applyBorder="1" applyAlignment="1">
      <alignment horizontal="center" vertical="center" wrapText="1"/>
    </xf>
    <xf numFmtId="0" fontId="31" fillId="0" borderId="22" xfId="0" applyFont="1" applyBorder="1" applyAlignment="1">
      <alignment vertical="center"/>
    </xf>
    <xf numFmtId="0" fontId="30" fillId="0" borderId="22" xfId="0" applyFont="1" applyBorder="1" applyAlignment="1">
      <alignment horizontal="center" vertical="center"/>
    </xf>
    <xf numFmtId="0" fontId="34" fillId="0" borderId="22" xfId="0" applyFont="1" applyBorder="1" applyAlignment="1">
      <alignment horizontal="center" vertical="center" wrapText="1"/>
    </xf>
    <xf numFmtId="0" fontId="34" fillId="0" borderId="45" xfId="0" applyFont="1" applyBorder="1"/>
    <xf numFmtId="0" fontId="20" fillId="0" borderId="11" xfId="0" applyFont="1" applyFill="1" applyBorder="1" applyAlignment="1">
      <alignment horizontal="center" vertical="center" wrapText="1"/>
    </xf>
    <xf numFmtId="0" fontId="19" fillId="0" borderId="0" xfId="0" applyFont="1"/>
    <xf numFmtId="0" fontId="24" fillId="0" borderId="11" xfId="0" applyFont="1" applyBorder="1" applyAlignment="1">
      <alignment vertical="center"/>
    </xf>
    <xf numFmtId="0" fontId="19" fillId="33" borderId="0" xfId="0" applyFont="1" applyFill="1"/>
    <xf numFmtId="0" fontId="24" fillId="0" borderId="11" xfId="0" applyFont="1" applyBorder="1" applyAlignment="1">
      <alignment horizontal="left" vertical="center"/>
    </xf>
    <xf numFmtId="0" fontId="25" fillId="0" borderId="0" xfId="0" applyFont="1" applyAlignment="1">
      <alignment horizontal="center" vertical="center"/>
    </xf>
    <xf numFmtId="0" fontId="26" fillId="36" borderId="11" xfId="0" applyFont="1" applyFill="1" applyBorder="1" applyAlignment="1">
      <alignment horizontal="center" vertical="center"/>
    </xf>
    <xf numFmtId="43" fontId="21" fillId="36" borderId="11" xfId="0" applyNumberFormat="1" applyFont="1" applyFill="1" applyBorder="1" applyAlignment="1">
      <alignment horizontal="center" vertical="center"/>
    </xf>
    <xf numFmtId="0" fontId="24" fillId="0" borderId="0" xfId="0" applyFont="1" applyAlignment="1">
      <alignment vertical="center"/>
    </xf>
    <xf numFmtId="0" fontId="24" fillId="37" borderId="11" xfId="0" applyFont="1" applyFill="1" applyBorder="1" applyAlignment="1">
      <alignment horizontal="left" vertical="center"/>
    </xf>
    <xf numFmtId="0" fontId="24" fillId="37" borderId="11" xfId="0" applyFont="1" applyFill="1" applyBorder="1" applyAlignment="1">
      <alignment horizontal="center" vertical="center"/>
    </xf>
    <xf numFmtId="0" fontId="24" fillId="37" borderId="11" xfId="0" applyFont="1" applyFill="1" applyBorder="1" applyAlignment="1">
      <alignment horizontal="justify" vertical="center" wrapText="1"/>
    </xf>
    <xf numFmtId="0" fontId="24" fillId="37" borderId="11" xfId="0" applyFont="1" applyFill="1" applyBorder="1" applyAlignment="1">
      <alignment horizontal="center" vertical="center" wrapText="1"/>
    </xf>
    <xf numFmtId="0" fontId="19" fillId="37" borderId="11" xfId="0" applyFont="1" applyFill="1" applyBorder="1" applyAlignment="1">
      <alignment horizontal="center" vertical="center"/>
    </xf>
    <xf numFmtId="0" fontId="19" fillId="37" borderId="11" xfId="0" applyFont="1" applyFill="1" applyBorder="1" applyAlignment="1">
      <alignment vertical="center"/>
    </xf>
    <xf numFmtId="43" fontId="24" fillId="37" borderId="11" xfId="0" applyNumberFormat="1" applyFont="1" applyFill="1" applyBorder="1" applyAlignment="1">
      <alignment vertical="center"/>
    </xf>
    <xf numFmtId="0" fontId="24" fillId="38" borderId="11" xfId="0" applyFont="1" applyFill="1" applyBorder="1" applyAlignment="1">
      <alignment horizontal="justify" vertical="center" wrapText="1"/>
    </xf>
    <xf numFmtId="0" fontId="24" fillId="38" borderId="11" xfId="0" applyFont="1" applyFill="1" applyBorder="1" applyAlignment="1">
      <alignment horizontal="center" vertical="center" wrapText="1"/>
    </xf>
    <xf numFmtId="0" fontId="19" fillId="38" borderId="11" xfId="0" applyFont="1" applyFill="1" applyBorder="1" applyAlignment="1">
      <alignment horizontal="center" vertical="center"/>
    </xf>
    <xf numFmtId="0" fontId="19" fillId="38" borderId="11" xfId="0" applyFont="1" applyFill="1" applyBorder="1" applyAlignment="1">
      <alignment vertical="center"/>
    </xf>
    <xf numFmtId="0" fontId="24" fillId="38" borderId="11" xfId="0" applyFont="1" applyFill="1" applyBorder="1" applyAlignment="1">
      <alignment horizontal="center" vertical="center"/>
    </xf>
    <xf numFmtId="43" fontId="24" fillId="38" borderId="11" xfId="0" applyNumberFormat="1" applyFont="1" applyFill="1" applyBorder="1" applyAlignment="1">
      <alignment vertical="center"/>
    </xf>
    <xf numFmtId="170" fontId="19" fillId="0" borderId="11" xfId="57" applyNumberFormat="1" applyFont="1" applyFill="1" applyBorder="1" applyAlignment="1">
      <alignment horizontal="center" vertical="center"/>
    </xf>
    <xf numFmtId="43" fontId="19" fillId="0" borderId="11" xfId="0" applyNumberFormat="1" applyFont="1" applyBorder="1" applyAlignment="1">
      <alignment vertical="center"/>
    </xf>
    <xf numFmtId="170" fontId="20" fillId="0" borderId="11" xfId="57" applyNumberFormat="1" applyFont="1" applyFill="1" applyBorder="1" applyAlignment="1">
      <alignment vertical="center"/>
    </xf>
    <xf numFmtId="170" fontId="20" fillId="0" borderId="11" xfId="57" applyNumberFormat="1" applyFont="1" applyFill="1" applyBorder="1" applyAlignment="1">
      <alignment horizontal="right" vertical="center"/>
    </xf>
    <xf numFmtId="43" fontId="21" fillId="36" borderId="11" xfId="51" applyFont="1" applyFill="1" applyBorder="1" applyAlignment="1">
      <alignment horizontal="center" vertical="center"/>
    </xf>
    <xf numFmtId="43" fontId="24" fillId="37" borderId="11" xfId="51" applyFont="1" applyFill="1" applyBorder="1" applyAlignment="1">
      <alignment horizontal="center" vertical="center"/>
    </xf>
    <xf numFmtId="43" fontId="24" fillId="0" borderId="11" xfId="0" applyNumberFormat="1" applyFont="1" applyBorder="1" applyAlignment="1">
      <alignment vertical="center"/>
    </xf>
    <xf numFmtId="0" fontId="20" fillId="0" borderId="0" xfId="0" applyFont="1"/>
    <xf numFmtId="0" fontId="19" fillId="0" borderId="0" xfId="0" applyFont="1" applyAlignment="1">
      <alignment horizontal="left" vertical="center" wrapText="1"/>
    </xf>
    <xf numFmtId="0" fontId="19" fillId="0" borderId="11" xfId="0" applyFont="1" applyBorder="1"/>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center" wrapText="1"/>
    </xf>
    <xf numFmtId="43" fontId="21" fillId="36" borderId="11" xfId="0" applyNumberFormat="1" applyFont="1" applyFill="1" applyBorder="1" applyAlignment="1">
      <alignment horizontal="left" vertical="center"/>
    </xf>
    <xf numFmtId="0" fontId="20" fillId="0" borderId="11" xfId="0" applyFont="1" applyBorder="1" applyAlignment="1" applyProtection="1">
      <alignment horizontal="justify" vertical="center" wrapText="1"/>
      <protection locked="0"/>
    </xf>
    <xf numFmtId="0" fontId="20" fillId="0" borderId="11" xfId="0" applyFont="1" applyBorder="1" applyAlignment="1" applyProtection="1">
      <alignment horizontal="center" vertical="center" wrapText="1"/>
      <protection locked="0"/>
    </xf>
    <xf numFmtId="43" fontId="24" fillId="0" borderId="11" xfId="0" applyNumberFormat="1" applyFont="1" applyBorder="1" applyAlignment="1">
      <alignment horizontal="left" vertical="center"/>
    </xf>
    <xf numFmtId="43" fontId="19" fillId="0" borderId="11" xfId="0" applyNumberFormat="1" applyFont="1" applyBorder="1" applyAlignment="1">
      <alignment horizontal="left" vertical="center"/>
    </xf>
    <xf numFmtId="0" fontId="27" fillId="0" borderId="11" xfId="0" applyFont="1" applyBorder="1" applyAlignment="1">
      <alignment horizontal="justify" vertical="center" wrapText="1"/>
    </xf>
    <xf numFmtId="172" fontId="19" fillId="0" borderId="11" xfId="55" applyNumberFormat="1" applyFont="1" applyFill="1" applyBorder="1" applyAlignment="1">
      <alignment horizontal="right" vertical="center"/>
    </xf>
    <xf numFmtId="0" fontId="24" fillId="38" borderId="11" xfId="0" applyFont="1" applyFill="1" applyBorder="1" applyAlignment="1">
      <alignment horizontal="left" vertical="center" wrapText="1"/>
    </xf>
    <xf numFmtId="170" fontId="20" fillId="0" borderId="11" xfId="57" applyNumberFormat="1" applyFont="1" applyFill="1" applyBorder="1" applyAlignment="1">
      <alignment horizontal="center" vertical="center" wrapText="1"/>
    </xf>
    <xf numFmtId="0" fontId="27" fillId="0" borderId="11" xfId="0" applyFont="1" applyBorder="1" applyAlignment="1">
      <alignment horizontal="center" vertical="center" wrapText="1"/>
    </xf>
    <xf numFmtId="167" fontId="19" fillId="0" borderId="11" xfId="0" applyNumberFormat="1" applyFont="1" applyBorder="1" applyAlignment="1">
      <alignment vertical="center"/>
    </xf>
    <xf numFmtId="0" fontId="19" fillId="0" borderId="11" xfId="49" applyNumberFormat="1" applyFont="1" applyFill="1" applyBorder="1">
      <alignment horizontal="center" vertical="center" wrapText="1"/>
    </xf>
    <xf numFmtId="172" fontId="19" fillId="0" borderId="11" xfId="55" applyNumberFormat="1" applyFont="1" applyFill="1" applyBorder="1" applyAlignment="1">
      <alignment horizontal="right" vertical="center" wrapText="1"/>
    </xf>
    <xf numFmtId="43" fontId="19" fillId="0" borderId="11" xfId="0" applyNumberFormat="1" applyFont="1" applyFill="1" applyBorder="1" applyAlignment="1">
      <alignment vertical="center"/>
    </xf>
    <xf numFmtId="0" fontId="19" fillId="0" borderId="0" xfId="0" applyFont="1" applyFill="1"/>
    <xf numFmtId="43" fontId="24" fillId="38" borderId="11" xfId="0" applyNumberFormat="1" applyFont="1" applyFill="1" applyBorder="1" applyAlignment="1">
      <alignment horizontal="justify" vertical="center" wrapText="1"/>
    </xf>
    <xf numFmtId="170" fontId="29" fillId="0" borderId="11" xfId="57" applyNumberFormat="1" applyFont="1" applyFill="1" applyBorder="1" applyAlignment="1">
      <alignment horizontal="center" vertical="center" wrapText="1"/>
    </xf>
    <xf numFmtId="170" fontId="19" fillId="0" borderId="11" xfId="57" applyNumberFormat="1" applyFont="1" applyFill="1" applyBorder="1" applyAlignment="1">
      <alignment horizontal="center" vertical="center" wrapText="1"/>
    </xf>
    <xf numFmtId="170" fontId="29" fillId="0" borderId="11" xfId="57" applyNumberFormat="1" applyFont="1" applyFill="1" applyBorder="1" applyAlignment="1">
      <alignment vertical="center" wrapText="1"/>
    </xf>
    <xf numFmtId="170" fontId="19" fillId="0" borderId="11" xfId="57" applyNumberFormat="1" applyFont="1" applyFill="1" applyBorder="1" applyAlignment="1">
      <alignment horizontal="left" vertical="center" wrapText="1"/>
    </xf>
    <xf numFmtId="0" fontId="19" fillId="0" borderId="0" xfId="0" applyFont="1" applyAlignment="1">
      <alignment vertical="center"/>
    </xf>
    <xf numFmtId="0" fontId="21" fillId="36" borderId="11" xfId="0" applyFont="1" applyFill="1" applyBorder="1" applyAlignment="1">
      <alignment horizontal="left" vertical="center"/>
    </xf>
    <xf numFmtId="0" fontId="21" fillId="36" borderId="11" xfId="0" applyFont="1" applyFill="1" applyBorder="1" applyAlignment="1">
      <alignment horizontal="center" vertical="center"/>
    </xf>
    <xf numFmtId="0" fontId="21" fillId="36" borderId="11" xfId="0" applyFont="1" applyFill="1" applyBorder="1" applyAlignment="1">
      <alignment horizontal="justify" vertical="center" wrapText="1"/>
    </xf>
    <xf numFmtId="0" fontId="21" fillId="36" borderId="11" xfId="0" applyFont="1" applyFill="1" applyBorder="1" applyAlignment="1">
      <alignment horizontal="center" vertical="center" wrapText="1"/>
    </xf>
    <xf numFmtId="176" fontId="19" fillId="0" borderId="11" xfId="59" applyNumberFormat="1" applyFont="1" applyFill="1" applyBorder="1" applyAlignment="1">
      <alignment horizontal="center" vertical="center" wrapText="1"/>
    </xf>
    <xf numFmtId="176" fontId="19" fillId="0" borderId="11" xfId="59" applyNumberFormat="1" applyFont="1" applyFill="1" applyBorder="1" applyAlignment="1">
      <alignment horizontal="center" vertical="center"/>
    </xf>
    <xf numFmtId="0" fontId="19" fillId="0" borderId="11" xfId="0" applyFont="1" applyBorder="1" applyAlignment="1">
      <alignment vertical="center" wrapText="1"/>
    </xf>
    <xf numFmtId="43" fontId="19" fillId="0" borderId="11" xfId="0" applyNumberFormat="1" applyFont="1" applyBorder="1" applyAlignment="1">
      <alignment horizontal="justify" vertical="center"/>
    </xf>
    <xf numFmtId="0" fontId="24" fillId="38" borderId="11" xfId="0" applyFont="1" applyFill="1" applyBorder="1" applyAlignment="1">
      <alignment vertical="center" wrapText="1"/>
    </xf>
    <xf numFmtId="0" fontId="19" fillId="38" borderId="11" xfId="0" applyFont="1" applyFill="1" applyBorder="1" applyAlignment="1">
      <alignment horizontal="center" vertical="center" wrapText="1"/>
    </xf>
    <xf numFmtId="0" fontId="19" fillId="38" borderId="11" xfId="0" applyFont="1" applyFill="1" applyBorder="1" applyAlignment="1">
      <alignment horizontal="justify" vertical="center" wrapText="1"/>
    </xf>
    <xf numFmtId="0" fontId="19" fillId="0" borderId="11" xfId="0" applyFont="1" applyFill="1" applyBorder="1"/>
    <xf numFmtId="4" fontId="19" fillId="0" borderId="11" xfId="0" applyNumberFormat="1" applyFont="1" applyBorder="1" applyAlignment="1">
      <alignment horizontal="right" vertical="center" wrapText="1"/>
    </xf>
    <xf numFmtId="0" fontId="24" fillId="38" borderId="11" xfId="0" applyFont="1" applyFill="1" applyBorder="1" applyAlignment="1">
      <alignment vertical="center"/>
    </xf>
    <xf numFmtId="0" fontId="19" fillId="33" borderId="11" xfId="0" applyFont="1" applyFill="1" applyBorder="1" applyAlignment="1">
      <alignment horizontal="justify" vertical="center" wrapText="1"/>
    </xf>
    <xf numFmtId="0" fontId="19" fillId="33" borderId="11" xfId="0" applyFont="1" applyFill="1" applyBorder="1" applyAlignment="1">
      <alignment horizontal="center" vertical="center" wrapText="1"/>
    </xf>
    <xf numFmtId="43" fontId="24" fillId="33" borderId="11" xfId="0" applyNumberFormat="1" applyFont="1" applyFill="1" applyBorder="1" applyAlignment="1">
      <alignment vertical="center"/>
    </xf>
    <xf numFmtId="177" fontId="20" fillId="0" borderId="11" xfId="57" applyNumberFormat="1" applyFont="1" applyBorder="1" applyAlignment="1">
      <alignment vertical="center" wrapText="1"/>
    </xf>
    <xf numFmtId="43" fontId="19" fillId="0" borderId="11" xfId="0" applyNumberFormat="1" applyFont="1" applyBorder="1" applyAlignment="1">
      <alignment horizontal="justify" vertical="center" wrapText="1"/>
    </xf>
    <xf numFmtId="43" fontId="19" fillId="0" borderId="11" xfId="0" applyNumberFormat="1" applyFont="1" applyBorder="1" applyAlignment="1">
      <alignment horizontal="right" vertical="center"/>
    </xf>
    <xf numFmtId="43" fontId="20" fillId="0" borderId="11" xfId="0" applyNumberFormat="1" applyFont="1" applyBorder="1" applyAlignment="1">
      <alignment vertical="center"/>
    </xf>
    <xf numFmtId="0" fontId="19" fillId="0" borderId="11" xfId="0" applyFont="1" applyFill="1" applyBorder="1" applyAlignment="1">
      <alignment horizontal="center" vertical="center"/>
    </xf>
    <xf numFmtId="1" fontId="19" fillId="0" borderId="11" xfId="0" applyNumberFormat="1" applyFont="1" applyBorder="1" applyAlignment="1">
      <alignment horizontal="center" vertical="center" wrapText="1"/>
    </xf>
    <xf numFmtId="0" fontId="19" fillId="0" borderId="11"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justify" vertical="center" wrapText="1"/>
      <protection locked="0"/>
    </xf>
    <xf numFmtId="0" fontId="20" fillId="0" borderId="0" xfId="0" applyFont="1" applyFill="1"/>
    <xf numFmtId="0" fontId="19" fillId="0" borderId="11" xfId="0" applyFont="1" applyBorder="1" applyAlignment="1" applyProtection="1">
      <alignment horizontal="center" vertical="center" wrapText="1"/>
      <protection locked="0"/>
    </xf>
    <xf numFmtId="0" fontId="19" fillId="0" borderId="11" xfId="0" applyFont="1" applyBorder="1" applyAlignment="1" applyProtection="1">
      <alignment horizontal="justify" vertical="center" wrapText="1"/>
      <protection locked="0"/>
    </xf>
    <xf numFmtId="4" fontId="19" fillId="0" borderId="11" xfId="0" applyNumberFormat="1" applyFont="1" applyBorder="1" applyAlignment="1">
      <alignment vertical="center" wrapText="1"/>
    </xf>
    <xf numFmtId="4" fontId="29" fillId="0" borderId="11" xfId="0" applyNumberFormat="1" applyFont="1" applyBorder="1" applyAlignment="1">
      <alignment horizontal="center" vertical="center"/>
    </xf>
    <xf numFmtId="169" fontId="19" fillId="0" borderId="11" xfId="57" applyFont="1" applyFill="1" applyBorder="1" applyAlignment="1">
      <alignment horizontal="center" vertical="center"/>
    </xf>
    <xf numFmtId="0" fontId="19" fillId="0" borderId="0" xfId="0" applyFont="1" applyBorder="1"/>
    <xf numFmtId="0" fontId="20" fillId="0" borderId="11" xfId="0" applyFont="1" applyFill="1" applyBorder="1" applyAlignment="1">
      <alignment horizontal="justify" vertical="center" wrapText="1"/>
    </xf>
    <xf numFmtId="4" fontId="19" fillId="0" borderId="11" xfId="0" applyNumberFormat="1" applyFont="1" applyBorder="1" applyAlignment="1">
      <alignment vertical="center"/>
    </xf>
    <xf numFmtId="43" fontId="19" fillId="0" borderId="11" xfId="0" applyNumberFormat="1" applyFont="1" applyBorder="1" applyAlignment="1">
      <alignment horizontal="right" vertical="center" wrapText="1"/>
    </xf>
    <xf numFmtId="0" fontId="24" fillId="39" borderId="11" xfId="0" applyFont="1" applyFill="1" applyBorder="1" applyAlignment="1">
      <alignment horizontal="center" vertical="center" wrapText="1"/>
    </xf>
    <xf numFmtId="0" fontId="24" fillId="39" borderId="11" xfId="0" applyFont="1" applyFill="1" applyBorder="1" applyAlignment="1">
      <alignment horizontal="justify" vertical="center" wrapText="1"/>
    </xf>
    <xf numFmtId="43" fontId="24" fillId="39" borderId="11" xfId="0" applyNumberFormat="1" applyFont="1" applyFill="1" applyBorder="1" applyAlignment="1">
      <alignment vertical="center"/>
    </xf>
    <xf numFmtId="0" fontId="24" fillId="0" borderId="0" xfId="0" applyFont="1"/>
    <xf numFmtId="43" fontId="19" fillId="0" borderId="11" xfId="51" applyFont="1" applyBorder="1" applyAlignment="1">
      <alignment horizontal="right" vertical="center"/>
    </xf>
    <xf numFmtId="43" fontId="19" fillId="0" borderId="11" xfId="0" applyNumberFormat="1" applyFont="1" applyBorder="1" applyAlignment="1">
      <alignment horizontal="center" vertical="center"/>
    </xf>
    <xf numFmtId="43" fontId="20" fillId="0" borderId="11" xfId="0" applyNumberFormat="1" applyFont="1" applyBorder="1" applyAlignment="1">
      <alignment horizontal="center" vertical="center"/>
    </xf>
    <xf numFmtId="43" fontId="24" fillId="37" borderId="11" xfId="0" applyNumberFormat="1" applyFont="1" applyFill="1" applyBorder="1" applyAlignment="1">
      <alignment vertical="center" wrapText="1"/>
    </xf>
    <xf numFmtId="43" fontId="24" fillId="38" borderId="11" xfId="0" applyNumberFormat="1" applyFont="1" applyFill="1" applyBorder="1" applyAlignment="1">
      <alignment horizontal="center" vertical="center" wrapText="1"/>
    </xf>
    <xf numFmtId="43" fontId="19" fillId="38" borderId="11" xfId="0" applyNumberFormat="1" applyFont="1" applyFill="1" applyBorder="1" applyAlignment="1">
      <alignment vertical="center" wrapText="1"/>
    </xf>
    <xf numFmtId="0" fontId="19" fillId="38" borderId="11" xfId="0" applyFont="1" applyFill="1" applyBorder="1" applyAlignment="1">
      <alignment vertical="center" wrapText="1"/>
    </xf>
    <xf numFmtId="43" fontId="24" fillId="38" borderId="11" xfId="0" applyNumberFormat="1" applyFont="1" applyFill="1" applyBorder="1" applyAlignment="1">
      <alignment vertical="center" wrapText="1"/>
    </xf>
    <xf numFmtId="0" fontId="19" fillId="0" borderId="11" xfId="0" applyFont="1" applyBorder="1" applyAlignment="1" applyProtection="1">
      <alignment horizontal="center" vertical="center"/>
      <protection locked="0"/>
    </xf>
    <xf numFmtId="0" fontId="24" fillId="37" borderId="11" xfId="0" applyFont="1" applyFill="1" applyBorder="1" applyAlignment="1">
      <alignment horizontal="left" vertical="center" wrapText="1"/>
    </xf>
    <xf numFmtId="4" fontId="19" fillId="33" borderId="0" xfId="0" applyNumberFormat="1" applyFont="1" applyFill="1"/>
    <xf numFmtId="165" fontId="31" fillId="0" borderId="0" xfId="55" applyFont="1" applyAlignment="1">
      <alignment vertical="center"/>
    </xf>
    <xf numFmtId="165" fontId="34" fillId="0" borderId="0" xfId="55" applyFont="1"/>
    <xf numFmtId="167" fontId="30" fillId="0" borderId="0" xfId="0" applyNumberFormat="1" applyFont="1"/>
    <xf numFmtId="0" fontId="32" fillId="0" borderId="22" xfId="0" applyFont="1" applyBorder="1" applyAlignment="1">
      <alignment horizontal="justify" vertical="center" wrapText="1"/>
    </xf>
    <xf numFmtId="0" fontId="32" fillId="0" borderId="0" xfId="0" applyFont="1" applyBorder="1" applyAlignment="1">
      <alignment horizontal="center" vertical="center" wrapText="1"/>
    </xf>
    <xf numFmtId="0" fontId="32" fillId="0" borderId="21" xfId="0" applyFont="1" applyBorder="1" applyAlignment="1">
      <alignment horizontal="center" vertical="center" wrapText="1"/>
    </xf>
    <xf numFmtId="0" fontId="30" fillId="0" borderId="24" xfId="0" applyFont="1" applyFill="1" applyBorder="1" applyAlignment="1">
      <alignment horizontal="center" vertical="center" wrapText="1"/>
    </xf>
    <xf numFmtId="0" fontId="31" fillId="41" borderId="24" xfId="0" applyFont="1" applyFill="1" applyBorder="1" applyAlignment="1">
      <alignment horizontal="left" vertical="center"/>
    </xf>
    <xf numFmtId="43" fontId="33" fillId="0" borderId="27" xfId="0" applyNumberFormat="1" applyFont="1" applyBorder="1" applyAlignment="1">
      <alignment vertical="center"/>
    </xf>
    <xf numFmtId="43" fontId="32" fillId="0" borderId="27" xfId="0" applyNumberFormat="1" applyFont="1" applyBorder="1" applyAlignment="1">
      <alignment vertical="center"/>
    </xf>
    <xf numFmtId="43" fontId="32" fillId="0" borderId="34" xfId="0" applyNumberFormat="1" applyFont="1" applyFill="1" applyBorder="1" applyAlignment="1">
      <alignment horizontal="left" vertical="center" wrapText="1"/>
    </xf>
    <xf numFmtId="43" fontId="32" fillId="0" borderId="27" xfId="0" applyNumberFormat="1" applyFont="1" applyFill="1" applyBorder="1" applyAlignment="1">
      <alignment horizontal="left" vertical="center" wrapText="1"/>
    </xf>
    <xf numFmtId="43" fontId="32" fillId="0" borderId="40" xfId="0" applyNumberFormat="1" applyFont="1" applyFill="1" applyBorder="1" applyAlignment="1">
      <alignment horizontal="left" vertical="center" wrapText="1"/>
    </xf>
    <xf numFmtId="171" fontId="32" fillId="0" borderId="18" xfId="0" applyNumberFormat="1" applyFont="1" applyBorder="1" applyAlignment="1">
      <alignment horizontal="justify" vertical="center" wrapText="1"/>
    </xf>
    <xf numFmtId="43" fontId="30" fillId="0" borderId="46" xfId="0" applyNumberFormat="1" applyFont="1" applyBorder="1" applyAlignment="1">
      <alignment vertical="center"/>
    </xf>
    <xf numFmtId="3" fontId="32" fillId="0" borderId="20" xfId="0" applyNumberFormat="1" applyFont="1" applyBorder="1" applyAlignment="1">
      <alignment horizontal="justify" vertical="center" wrapText="1"/>
    </xf>
    <xf numFmtId="0" fontId="31" fillId="41" borderId="31" xfId="0" applyFont="1" applyFill="1" applyBorder="1" applyAlignment="1">
      <alignment horizontal="center" vertical="center" wrapText="1"/>
    </xf>
    <xf numFmtId="0" fontId="31" fillId="41" borderId="32" xfId="0" applyFont="1" applyFill="1" applyBorder="1" applyAlignment="1">
      <alignment horizontal="justify" vertical="center" wrapText="1"/>
    </xf>
    <xf numFmtId="43" fontId="31" fillId="41" borderId="33" xfId="41" applyFont="1" applyFill="1" applyBorder="1" applyAlignment="1">
      <alignment horizontal="justify" vertical="center"/>
    </xf>
    <xf numFmtId="43" fontId="31" fillId="40" borderId="35" xfId="0" applyNumberFormat="1" applyFont="1" applyFill="1" applyBorder="1" applyAlignment="1">
      <alignment horizontal="left" vertical="center" wrapText="1"/>
    </xf>
    <xf numFmtId="0" fontId="31" fillId="39" borderId="33" xfId="0" applyFont="1" applyFill="1" applyBorder="1" applyAlignment="1">
      <alignment horizontal="center" vertical="center" wrapText="1"/>
    </xf>
    <xf numFmtId="43" fontId="19" fillId="33" borderId="11" xfId="0" applyNumberFormat="1" applyFont="1" applyFill="1" applyBorder="1" applyAlignment="1">
      <alignment vertical="center"/>
    </xf>
    <xf numFmtId="176" fontId="19" fillId="33" borderId="11" xfId="59" applyNumberFormat="1" applyFont="1" applyFill="1" applyBorder="1" applyAlignment="1">
      <alignment horizontal="center" vertical="center"/>
    </xf>
    <xf numFmtId="0" fontId="19" fillId="0" borderId="11" xfId="58" applyFont="1" applyBorder="1" applyAlignment="1">
      <alignment horizontal="center" vertical="center" wrapText="1"/>
    </xf>
    <xf numFmtId="0" fontId="20" fillId="0" borderId="11" xfId="58" applyFont="1" applyBorder="1" applyAlignment="1">
      <alignment horizontal="justify" vertical="center"/>
    </xf>
    <xf numFmtId="0" fontId="19" fillId="0" borderId="11" xfId="58" applyFont="1" applyBorder="1" applyAlignment="1">
      <alignment horizontal="center" vertical="center"/>
    </xf>
    <xf numFmtId="0" fontId="19" fillId="0" borderId="11" xfId="43" applyFont="1" applyFill="1" applyBorder="1">
      <alignment horizontal="center" vertical="center" wrapText="1"/>
    </xf>
    <xf numFmtId="0" fontId="19" fillId="0" borderId="11" xfId="43" applyFont="1" applyFill="1" applyBorder="1" applyAlignment="1">
      <alignment horizontal="justify" vertical="center" wrapText="1"/>
    </xf>
    <xf numFmtId="0" fontId="19" fillId="0" borderId="11" xfId="58" applyFont="1" applyFill="1" applyBorder="1" applyAlignment="1">
      <alignment horizontal="center" vertical="center" wrapText="1"/>
    </xf>
    <xf numFmtId="0" fontId="19" fillId="0" borderId="11" xfId="58" applyFont="1" applyBorder="1" applyAlignment="1">
      <alignment horizontal="justify" vertical="center" wrapText="1"/>
    </xf>
    <xf numFmtId="0" fontId="20" fillId="0" borderId="11" xfId="58" applyFont="1" applyBorder="1" applyAlignment="1">
      <alignment horizontal="center" vertical="center" wrapText="1"/>
    </xf>
    <xf numFmtId="0" fontId="20" fillId="0" borderId="11" xfId="58" applyFont="1" applyBorder="1" applyAlignment="1">
      <alignment horizontal="justify" vertical="center" wrapText="1"/>
    </xf>
    <xf numFmtId="2" fontId="19" fillId="0" borderId="11" xfId="42" applyNumberFormat="1" applyFont="1" applyFill="1" applyBorder="1" applyAlignment="1">
      <alignment horizontal="center" vertical="center" wrapText="1"/>
    </xf>
    <xf numFmtId="0" fontId="19" fillId="0" borderId="11" xfId="58" applyFont="1" applyFill="1" applyBorder="1" applyAlignment="1">
      <alignment horizontal="justify" vertical="center" wrapText="1"/>
    </xf>
    <xf numFmtId="0" fontId="20" fillId="0" borderId="11" xfId="58" applyFont="1" applyBorder="1" applyAlignment="1">
      <alignment horizontal="center" vertical="center"/>
    </xf>
    <xf numFmtId="0" fontId="20" fillId="0" borderId="11" xfId="58" applyFont="1" applyFill="1" applyBorder="1" applyAlignment="1">
      <alignment horizontal="center" vertical="center"/>
    </xf>
    <xf numFmtId="0" fontId="19" fillId="0" borderId="11" xfId="42" applyNumberFormat="1" applyFont="1" applyFill="1" applyBorder="1" applyAlignment="1">
      <alignment horizontal="center" vertical="center" wrapText="1"/>
    </xf>
    <xf numFmtId="49" fontId="20" fillId="0" borderId="11" xfId="58" applyNumberFormat="1" applyFont="1" applyBorder="1" applyAlignment="1">
      <alignment horizontal="justify" vertical="center" wrapText="1"/>
    </xf>
    <xf numFmtId="0" fontId="20" fillId="0" borderId="11" xfId="55" applyNumberFormat="1" applyFont="1" applyFill="1" applyBorder="1" applyAlignment="1">
      <alignment horizontal="center" vertical="center"/>
    </xf>
    <xf numFmtId="2" fontId="19" fillId="0" borderId="11" xfId="43" applyNumberFormat="1" applyFont="1" applyFill="1" applyBorder="1">
      <alignment horizontal="center" vertical="center" wrapText="1"/>
    </xf>
    <xf numFmtId="175" fontId="19" fillId="0" borderId="11" xfId="43" applyNumberFormat="1" applyFont="1" applyFill="1" applyBorder="1">
      <alignment horizontal="center" vertical="center" wrapText="1"/>
    </xf>
    <xf numFmtId="0" fontId="20" fillId="0" borderId="11" xfId="58" applyFont="1" applyFill="1" applyBorder="1" applyAlignment="1">
      <alignment horizontal="justify" vertical="center" wrapText="1"/>
    </xf>
    <xf numFmtId="175" fontId="19" fillId="0" borderId="11" xfId="58" applyNumberFormat="1" applyFont="1" applyBorder="1" applyAlignment="1">
      <alignment horizontal="center" vertical="center" wrapText="1"/>
    </xf>
    <xf numFmtId="0" fontId="35" fillId="0" borderId="11" xfId="58" applyFont="1" applyBorder="1" applyAlignment="1">
      <alignment horizontal="center" vertical="center" wrapText="1"/>
    </xf>
    <xf numFmtId="4" fontId="19" fillId="33" borderId="11" xfId="41" applyNumberFormat="1" applyFont="1" applyFill="1" applyBorder="1" applyAlignment="1">
      <alignment horizontal="center" vertical="center" wrapText="1"/>
    </xf>
    <xf numFmtId="4" fontId="19" fillId="33" borderId="11" xfId="42" applyNumberFormat="1" applyFont="1" applyFill="1" applyBorder="1" applyAlignment="1">
      <alignment horizontal="center" vertical="center"/>
    </xf>
    <xf numFmtId="0" fontId="19" fillId="42" borderId="11" xfId="0" applyFont="1" applyFill="1" applyBorder="1" applyAlignment="1">
      <alignment horizontal="justify" vertical="center" wrapText="1"/>
    </xf>
    <xf numFmtId="4" fontId="19" fillId="33" borderId="11" xfId="0" applyNumberFormat="1" applyFont="1" applyFill="1" applyBorder="1" applyAlignment="1">
      <alignment horizontal="center" vertical="center"/>
    </xf>
    <xf numFmtId="4" fontId="19" fillId="33" borderId="11" xfId="41" applyNumberFormat="1" applyFont="1" applyFill="1" applyBorder="1" applyAlignment="1">
      <alignment horizontal="center" vertical="center"/>
    </xf>
    <xf numFmtId="4" fontId="19" fillId="0" borderId="11" xfId="42" applyNumberFormat="1" applyFont="1" applyFill="1" applyBorder="1" applyAlignment="1">
      <alignment horizontal="center" vertical="center"/>
    </xf>
    <xf numFmtId="0" fontId="24" fillId="0" borderId="11" xfId="0" applyFont="1" applyBorder="1" applyAlignment="1">
      <alignment horizontal="right"/>
    </xf>
    <xf numFmtId="173" fontId="24" fillId="0" borderId="11" xfId="0" applyNumberFormat="1" applyFont="1" applyBorder="1" applyAlignment="1">
      <alignment horizontal="right"/>
    </xf>
    <xf numFmtId="17" fontId="24" fillId="0" borderId="11" xfId="0" applyNumberFormat="1" applyFont="1" applyBorder="1" applyAlignment="1">
      <alignment horizontal="right"/>
    </xf>
    <xf numFmtId="3" fontId="24" fillId="34" borderId="11" xfId="0" applyNumberFormat="1" applyFont="1" applyFill="1" applyBorder="1" applyAlignment="1">
      <alignment horizontal="right" wrapText="1"/>
    </xf>
    <xf numFmtId="0" fontId="19" fillId="33" borderId="11" xfId="58" applyFont="1" applyFill="1" applyBorder="1" applyAlignment="1">
      <alignment horizontal="center" vertical="center"/>
    </xf>
    <xf numFmtId="0" fontId="19" fillId="33" borderId="11" xfId="49" applyNumberFormat="1" applyFont="1" applyFill="1" applyBorder="1">
      <alignment horizontal="center" vertical="center" wrapText="1"/>
    </xf>
    <xf numFmtId="0" fontId="19" fillId="33" borderId="11" xfId="58" applyFont="1" applyFill="1" applyBorder="1" applyAlignment="1">
      <alignment horizontal="center" vertical="center" wrapText="1"/>
    </xf>
    <xf numFmtId="0" fontId="20" fillId="33" borderId="11" xfId="58" applyFont="1" applyFill="1" applyBorder="1" applyAlignment="1">
      <alignment horizontal="center" vertical="center"/>
    </xf>
    <xf numFmtId="0" fontId="20" fillId="33" borderId="11" xfId="0" applyFont="1" applyFill="1" applyBorder="1" applyAlignment="1">
      <alignment horizontal="center" vertical="center"/>
    </xf>
    <xf numFmtId="0" fontId="20" fillId="33" borderId="11" xfId="0" applyFont="1" applyFill="1" applyBorder="1" applyAlignment="1">
      <alignment horizontal="justify" vertical="center" wrapText="1"/>
    </xf>
    <xf numFmtId="0" fontId="20" fillId="33" borderId="11" xfId="0" applyFont="1" applyFill="1" applyBorder="1" applyAlignment="1">
      <alignment horizontal="center" vertical="center" wrapText="1"/>
    </xf>
    <xf numFmtId="3" fontId="19" fillId="33" borderId="11" xfId="0" applyNumberFormat="1"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29" fillId="33" borderId="11" xfId="0" applyFont="1" applyFill="1" applyBorder="1" applyAlignment="1">
      <alignment horizontal="justify" vertical="center" wrapText="1"/>
    </xf>
    <xf numFmtId="0" fontId="19" fillId="33" borderId="11" xfId="0" applyFont="1" applyFill="1" applyBorder="1" applyAlignment="1">
      <alignment horizontal="center" vertical="center"/>
    </xf>
    <xf numFmtId="0" fontId="19" fillId="33" borderId="11" xfId="43" applyFont="1" applyFill="1" applyBorder="1">
      <alignment horizontal="center" vertical="center" wrapText="1"/>
    </xf>
    <xf numFmtId="0" fontId="19" fillId="33" borderId="11" xfId="58" applyFont="1" applyFill="1" applyBorder="1" applyAlignment="1">
      <alignment horizontal="justify" vertical="center" wrapText="1"/>
    </xf>
    <xf numFmtId="167" fontId="24" fillId="38" borderId="11" xfId="0" applyNumberFormat="1" applyFont="1" applyFill="1" applyBorder="1" applyAlignment="1">
      <alignment vertical="center"/>
    </xf>
    <xf numFmtId="43" fontId="19" fillId="33" borderId="11" xfId="41" applyFont="1" applyFill="1" applyBorder="1" applyAlignment="1">
      <alignment horizontal="justify" vertical="center"/>
    </xf>
    <xf numFmtId="175" fontId="19" fillId="33" borderId="11" xfId="43" applyNumberFormat="1" applyFont="1" applyFill="1" applyBorder="1">
      <alignment horizontal="center" vertical="center" wrapText="1"/>
    </xf>
    <xf numFmtId="4" fontId="19" fillId="33" borderId="11" xfId="0" applyNumberFormat="1" applyFont="1" applyFill="1" applyBorder="1" applyAlignment="1">
      <alignment vertical="center"/>
    </xf>
    <xf numFmtId="2" fontId="19" fillId="33" borderId="11" xfId="58" applyNumberFormat="1" applyFont="1" applyFill="1" applyBorder="1" applyAlignment="1">
      <alignment horizontal="center" vertical="center" wrapText="1"/>
    </xf>
    <xf numFmtId="43" fontId="19" fillId="33" borderId="11" xfId="41" applyFont="1" applyFill="1" applyBorder="1" applyAlignment="1">
      <alignment horizontal="right" vertical="center"/>
    </xf>
    <xf numFmtId="2" fontId="19" fillId="33" borderId="11" xfId="43" applyNumberFormat="1" applyFont="1" applyFill="1" applyBorder="1">
      <alignment horizontal="center" vertical="center" wrapText="1"/>
    </xf>
    <xf numFmtId="175" fontId="19" fillId="33" borderId="11" xfId="58" applyNumberFormat="1" applyFont="1" applyFill="1" applyBorder="1" applyAlignment="1">
      <alignment horizontal="center" vertical="center" wrapText="1"/>
    </xf>
    <xf numFmtId="0" fontId="20" fillId="33" borderId="11" xfId="58" applyFont="1" applyFill="1" applyBorder="1" applyAlignment="1">
      <alignment horizontal="center" vertical="center" wrapText="1"/>
    </xf>
    <xf numFmtId="0" fontId="24" fillId="0" borderId="11"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1" xfId="0" applyFont="1" applyBorder="1" applyAlignment="1">
      <alignment horizontal="justify" vertical="center" wrapText="1"/>
    </xf>
    <xf numFmtId="0" fontId="20" fillId="0" borderId="11" xfId="0" applyFont="1" applyBorder="1" applyAlignment="1">
      <alignment horizontal="justify" vertical="center" wrapText="1"/>
    </xf>
    <xf numFmtId="0" fontId="24" fillId="38" borderId="11" xfId="0" applyFont="1" applyFill="1" applyBorder="1" applyAlignment="1">
      <alignment horizontal="left" vertical="center"/>
    </xf>
    <xf numFmtId="3" fontId="19" fillId="0" borderId="11" xfId="0" applyNumberFormat="1" applyFont="1" applyBorder="1" applyAlignment="1">
      <alignment horizontal="center" vertical="center" wrapText="1"/>
    </xf>
    <xf numFmtId="2" fontId="19" fillId="0" borderId="11" xfId="58" applyNumberFormat="1" applyFont="1" applyBorder="1" applyAlignment="1">
      <alignment horizontal="center" vertical="center" wrapText="1"/>
    </xf>
    <xf numFmtId="43" fontId="19" fillId="0" borderId="11" xfId="5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center" wrapText="1"/>
    </xf>
    <xf numFmtId="0" fontId="20" fillId="0" borderId="11" xfId="0" applyFont="1" applyBorder="1" applyAlignment="1">
      <alignment horizontal="center" vertical="center" wrapText="1"/>
    </xf>
    <xf numFmtId="0" fontId="19" fillId="0" borderId="11" xfId="0" applyFont="1" applyBorder="1" applyAlignment="1">
      <alignment horizontal="center" vertical="center"/>
    </xf>
    <xf numFmtId="43" fontId="19" fillId="33" borderId="11" xfId="51" applyFont="1" applyFill="1" applyBorder="1" applyAlignment="1">
      <alignment horizontal="right" vertical="center" wrapText="1"/>
    </xf>
    <xf numFmtId="167" fontId="29" fillId="33" borderId="11" xfId="0" applyNumberFormat="1" applyFont="1" applyFill="1" applyBorder="1" applyAlignment="1">
      <alignment horizontal="center" vertical="center"/>
    </xf>
    <xf numFmtId="0" fontId="19" fillId="33" borderId="11" xfId="0" applyFont="1" applyFill="1" applyBorder="1" applyAlignment="1" applyProtection="1">
      <alignment horizontal="center" vertical="center" wrapText="1"/>
      <protection locked="0"/>
    </xf>
    <xf numFmtId="0" fontId="19" fillId="33" borderId="11" xfId="0" applyFont="1" applyFill="1" applyBorder="1" applyAlignment="1" applyProtection="1">
      <alignment horizontal="justify" vertical="center" wrapText="1"/>
      <protection locked="0"/>
    </xf>
    <xf numFmtId="0" fontId="19" fillId="33" borderId="11" xfId="42" applyNumberFormat="1" applyFont="1" applyFill="1" applyBorder="1" applyAlignment="1">
      <alignment horizontal="center" vertical="center" wrapText="1"/>
    </xf>
    <xf numFmtId="43" fontId="20" fillId="33" borderId="11" xfId="41" applyFont="1" applyFill="1" applyBorder="1" applyAlignment="1">
      <alignment horizontal="justify" vertical="center"/>
    </xf>
    <xf numFmtId="0" fontId="24" fillId="0" borderId="11" xfId="0" applyFont="1" applyBorder="1" applyAlignment="1">
      <alignment horizontal="left" vertical="center" wrapText="1"/>
    </xf>
    <xf numFmtId="0" fontId="24" fillId="0" borderId="11" xfId="0" applyFont="1" applyBorder="1" applyAlignment="1">
      <alignment horizontal="center" vertical="center" wrapText="1"/>
    </xf>
    <xf numFmtId="0" fontId="19" fillId="0" borderId="11" xfId="0" applyFont="1" applyBorder="1" applyAlignment="1">
      <alignment horizontal="left" vertical="center" wrapText="1"/>
    </xf>
    <xf numFmtId="171" fontId="20" fillId="0" borderId="11" xfId="41" applyNumberFormat="1" applyFont="1" applyFill="1" applyBorder="1" applyAlignment="1">
      <alignment horizontal="center" vertical="center" wrapText="1"/>
    </xf>
    <xf numFmtId="0" fontId="20" fillId="0" borderId="11" xfId="41" applyNumberFormat="1" applyFont="1" applyFill="1" applyBorder="1" applyAlignment="1">
      <alignment horizontal="center" vertical="center" wrapText="1"/>
    </xf>
    <xf numFmtId="43" fontId="20" fillId="0" borderId="11" xfId="41" applyFont="1" applyFill="1" applyBorder="1" applyAlignment="1">
      <alignment horizontal="justify" vertical="center"/>
    </xf>
    <xf numFmtId="43" fontId="20" fillId="0" borderId="11" xfId="51" applyFont="1" applyFill="1" applyBorder="1" applyAlignment="1">
      <alignment horizontal="right" vertical="center" wrapText="1"/>
    </xf>
    <xf numFmtId="2" fontId="19" fillId="0" borderId="11" xfId="58" applyNumberFormat="1" applyFont="1" applyBorder="1" applyAlignment="1">
      <alignment horizontal="center" vertical="center"/>
    </xf>
    <xf numFmtId="0" fontId="19" fillId="0" borderId="11" xfId="0" applyFont="1" applyBorder="1" applyAlignment="1">
      <alignment horizontal="left" vertical="center"/>
    </xf>
    <xf numFmtId="0" fontId="24" fillId="0" borderId="11" xfId="0" applyFont="1" applyFill="1" applyBorder="1" applyAlignment="1">
      <alignment horizontal="left" vertical="center" wrapText="1"/>
    </xf>
    <xf numFmtId="170" fontId="19" fillId="0" borderId="11" xfId="49" applyFont="1" applyFill="1" applyBorder="1">
      <alignment horizontal="center" vertical="center" wrapText="1"/>
    </xf>
    <xf numFmtId="43" fontId="24" fillId="38" borderId="11" xfId="0" applyNumberFormat="1" applyFont="1" applyFill="1" applyBorder="1" applyAlignment="1">
      <alignment horizontal="left" vertical="center"/>
    </xf>
    <xf numFmtId="43" fontId="19" fillId="0" borderId="11" xfId="41" applyFont="1" applyFill="1" applyBorder="1" applyAlignment="1">
      <alignment vertical="center"/>
    </xf>
    <xf numFmtId="0" fontId="24" fillId="33" borderId="11" xfId="0" applyFont="1" applyFill="1" applyBorder="1" applyAlignment="1">
      <alignment horizontal="center" vertical="center" wrapText="1"/>
    </xf>
    <xf numFmtId="43" fontId="19" fillId="0" borderId="11" xfId="51" applyFont="1" applyFill="1" applyBorder="1" applyAlignment="1">
      <alignment horizontal="right" vertical="center"/>
    </xf>
    <xf numFmtId="0" fontId="24" fillId="37" borderId="11" xfId="0" applyFont="1" applyFill="1" applyBorder="1" applyAlignment="1">
      <alignment vertical="center"/>
    </xf>
    <xf numFmtId="0" fontId="19" fillId="33" borderId="11" xfId="0" applyFont="1" applyFill="1" applyBorder="1" applyAlignment="1">
      <alignment horizontal="center" vertical="center" wrapText="1"/>
    </xf>
    <xf numFmtId="0" fontId="24" fillId="33" borderId="11" xfId="0" applyFont="1" applyFill="1" applyBorder="1" applyAlignment="1">
      <alignment horizontal="left" vertical="center" wrapText="1"/>
    </xf>
    <xf numFmtId="0" fontId="19" fillId="0" borderId="11" xfId="0" applyFont="1" applyFill="1" applyBorder="1" applyAlignment="1">
      <alignment horizontal="left" vertical="center"/>
    </xf>
    <xf numFmtId="0" fontId="24" fillId="0" borderId="11" xfId="0" applyFont="1" applyBorder="1" applyAlignment="1">
      <alignment horizontal="center" vertical="center"/>
    </xf>
    <xf numFmtId="43" fontId="19" fillId="33" borderId="11" xfId="51" applyFont="1" applyFill="1" applyBorder="1" applyAlignment="1">
      <alignment horizontal="center" vertical="center"/>
    </xf>
    <xf numFmtId="4" fontId="19" fillId="0" borderId="11" xfId="0" applyNumberFormat="1" applyFont="1" applyBorder="1" applyAlignment="1">
      <alignment horizontal="center" vertical="center"/>
    </xf>
    <xf numFmtId="43" fontId="19" fillId="33" borderId="11" xfId="51" applyFont="1" applyFill="1" applyBorder="1" applyAlignment="1">
      <alignment vertical="center"/>
    </xf>
    <xf numFmtId="0" fontId="24" fillId="38" borderId="11" xfId="58" applyFont="1" applyFill="1" applyBorder="1" applyAlignment="1">
      <alignment horizontal="left" vertical="center"/>
    </xf>
    <xf numFmtId="0" fontId="19" fillId="38" borderId="11" xfId="0" applyFont="1" applyFill="1" applyBorder="1" applyAlignment="1">
      <alignment horizontal="right" vertical="center"/>
    </xf>
    <xf numFmtId="0" fontId="19" fillId="0" borderId="11" xfId="0" applyFont="1" applyFill="1" applyBorder="1" applyAlignment="1">
      <alignment horizontal="left" vertical="center" wrapText="1"/>
    </xf>
    <xf numFmtId="43" fontId="19" fillId="38" borderId="11" xfId="51" applyFont="1" applyFill="1" applyBorder="1" applyAlignment="1">
      <alignment horizontal="center" vertical="center"/>
    </xf>
    <xf numFmtId="0" fontId="19" fillId="38" borderId="11" xfId="51" applyNumberFormat="1" applyFont="1" applyFill="1" applyBorder="1" applyAlignment="1">
      <alignment horizontal="center" vertical="center"/>
    </xf>
    <xf numFmtId="0" fontId="19" fillId="38" borderId="11" xfId="0" applyFont="1" applyFill="1" applyBorder="1" applyAlignment="1">
      <alignment horizontal="justify" vertical="center"/>
    </xf>
    <xf numFmtId="0" fontId="20" fillId="0" borderId="11" xfId="0" applyFont="1" applyBorder="1" applyAlignment="1">
      <alignment vertical="center" wrapText="1"/>
    </xf>
    <xf numFmtId="167" fontId="24" fillId="37" borderId="11" xfId="0" applyNumberFormat="1" applyFont="1" applyFill="1" applyBorder="1" applyAlignment="1">
      <alignment vertical="center"/>
    </xf>
    <xf numFmtId="0" fontId="19" fillId="0" borderId="11" xfId="0" applyFont="1" applyFill="1" applyBorder="1" applyAlignment="1">
      <alignment vertical="center" wrapText="1"/>
    </xf>
    <xf numFmtId="0" fontId="24" fillId="39" borderId="11" xfId="0" applyFont="1" applyFill="1" applyBorder="1" applyAlignment="1">
      <alignment vertical="center"/>
    </xf>
    <xf numFmtId="0" fontId="24" fillId="39" borderId="11" xfId="0" applyFont="1" applyFill="1" applyBorder="1" applyAlignment="1">
      <alignment vertical="center" wrapText="1"/>
    </xf>
    <xf numFmtId="3" fontId="19" fillId="0" borderId="11" xfId="0" applyNumberFormat="1" applyFont="1" applyBorder="1" applyAlignment="1">
      <alignment horizontal="justify" vertical="center" wrapText="1"/>
    </xf>
    <xf numFmtId="3" fontId="19" fillId="0" borderId="11" xfId="0" applyNumberFormat="1" applyFont="1" applyBorder="1" applyAlignment="1">
      <alignment horizontal="justify" vertical="center"/>
    </xf>
    <xf numFmtId="43" fontId="20" fillId="33" borderId="11" xfId="0" applyNumberFormat="1" applyFont="1" applyFill="1" applyBorder="1" applyAlignment="1">
      <alignment horizontal="center" vertical="center" wrapText="1"/>
    </xf>
    <xf numFmtId="0" fontId="19" fillId="37" borderId="11" xfId="0" applyFont="1" applyFill="1" applyBorder="1" applyAlignment="1">
      <alignment horizontal="center" vertical="center" wrapText="1"/>
    </xf>
    <xf numFmtId="0" fontId="19" fillId="37" borderId="11" xfId="0" applyFont="1" applyFill="1" applyBorder="1" applyAlignment="1">
      <alignment vertical="center" wrapText="1"/>
    </xf>
    <xf numFmtId="171" fontId="19" fillId="0" borderId="11" xfId="0" applyNumberFormat="1" applyFont="1" applyBorder="1" applyAlignment="1">
      <alignment horizontal="justify" vertical="center" wrapText="1"/>
    </xf>
    <xf numFmtId="43" fontId="20" fillId="0" borderId="11" xfId="51" applyFont="1" applyFill="1" applyBorder="1" applyAlignment="1">
      <alignment horizontal="center" vertical="center" wrapText="1"/>
    </xf>
    <xf numFmtId="43" fontId="19" fillId="0" borderId="11" xfId="51" applyFont="1" applyBorder="1" applyAlignment="1">
      <alignment horizontal="center" vertical="center"/>
    </xf>
    <xf numFmtId="0" fontId="20" fillId="0" borderId="11" xfId="44" applyFont="1" applyFill="1" applyBorder="1" applyAlignment="1">
      <alignment horizontal="justify" vertical="center" wrapText="1"/>
    </xf>
    <xf numFmtId="0" fontId="19" fillId="33" borderId="11" xfId="58" applyFont="1" applyFill="1" applyBorder="1" applyAlignment="1">
      <alignment horizontal="center" vertical="center" wrapText="1"/>
    </xf>
    <xf numFmtId="0" fontId="27" fillId="33" borderId="11" xfId="0" applyFont="1" applyFill="1" applyBorder="1" applyAlignment="1">
      <alignment horizontal="center" vertical="center" wrapText="1"/>
    </xf>
    <xf numFmtId="170" fontId="19" fillId="33" borderId="11" xfId="49" applyFont="1" applyFill="1" applyBorder="1">
      <alignment horizontal="center" vertical="center" wrapText="1"/>
    </xf>
    <xf numFmtId="0" fontId="19" fillId="0" borderId="11" xfId="0" applyFont="1" applyBorder="1" applyAlignment="1">
      <alignment horizontal="justify" vertical="center" wrapText="1"/>
    </xf>
    <xf numFmtId="0" fontId="19" fillId="0" borderId="11" xfId="0" applyFont="1" applyFill="1" applyBorder="1" applyAlignment="1">
      <alignment horizontal="justify" vertical="center" wrapText="1"/>
    </xf>
    <xf numFmtId="0" fontId="20" fillId="0" borderId="11" xfId="0" applyFont="1" applyBorder="1" applyAlignment="1">
      <alignment horizontal="justify" vertical="center" wrapText="1"/>
    </xf>
    <xf numFmtId="0" fontId="24" fillId="38" borderId="11" xfId="0" applyFont="1" applyFill="1" applyBorder="1" applyAlignment="1">
      <alignment horizontal="justify" vertical="center"/>
    </xf>
    <xf numFmtId="0" fontId="21" fillId="36" borderId="11" xfId="0" applyFont="1" applyFill="1" applyBorder="1" applyAlignment="1">
      <alignment horizontal="justify" vertical="center"/>
    </xf>
    <xf numFmtId="0" fontId="24" fillId="37" borderId="11" xfId="0" applyFont="1" applyFill="1" applyBorder="1" applyAlignment="1">
      <alignment horizontal="justify" vertical="center"/>
    </xf>
    <xf numFmtId="0" fontId="19" fillId="0" borderId="11" xfId="0" applyFont="1" applyBorder="1" applyAlignment="1">
      <alignment horizontal="justify" vertical="center"/>
    </xf>
    <xf numFmtId="9" fontId="19" fillId="0" borderId="11" xfId="0" applyNumberFormat="1" applyFont="1" applyBorder="1" applyAlignment="1">
      <alignment horizontal="justify" vertical="center" wrapText="1"/>
    </xf>
    <xf numFmtId="0" fontId="19" fillId="33" borderId="11" xfId="0" applyFont="1" applyFill="1" applyBorder="1" applyAlignment="1">
      <alignment horizontal="justify" vertical="center" wrapText="1"/>
    </xf>
    <xf numFmtId="2" fontId="19" fillId="0" borderId="11" xfId="60" applyNumberFormat="1" applyFont="1" applyBorder="1" applyAlignment="1" applyProtection="1">
      <alignment horizontal="justify" vertical="center" wrapText="1"/>
      <protection locked="0"/>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0" fontId="27" fillId="33" borderId="11" xfId="0" applyFont="1" applyFill="1" applyBorder="1" applyAlignment="1">
      <alignment horizontal="justify" vertical="center" wrapText="1"/>
    </xf>
    <xf numFmtId="4" fontId="29" fillId="33" borderId="11" xfId="0" applyNumberFormat="1" applyFont="1" applyFill="1" applyBorder="1" applyAlignment="1">
      <alignment horizontal="center" vertical="center" readingOrder="1"/>
    </xf>
    <xf numFmtId="43" fontId="19" fillId="33" borderId="11" xfId="0" applyNumberFormat="1" applyFont="1" applyFill="1" applyBorder="1" applyAlignment="1">
      <alignment vertical="center" wrapText="1"/>
    </xf>
    <xf numFmtId="178" fontId="19" fillId="33" borderId="0" xfId="0" applyNumberFormat="1" applyFont="1" applyFill="1"/>
    <xf numFmtId="0" fontId="24" fillId="0" borderId="18" xfId="0" applyFont="1" applyBorder="1" applyAlignment="1">
      <alignment vertical="center"/>
    </xf>
    <xf numFmtId="0" fontId="19" fillId="0" borderId="21" xfId="0" applyFont="1" applyBorder="1"/>
    <xf numFmtId="0" fontId="19" fillId="0" borderId="20" xfId="0" applyFont="1" applyBorder="1"/>
    <xf numFmtId="0" fontId="24" fillId="0" borderId="18" xfId="0" applyFont="1" applyBorder="1" applyAlignment="1">
      <alignment horizontal="left" vertical="center" wrapText="1"/>
    </xf>
    <xf numFmtId="0" fontId="24" fillId="0" borderId="21" xfId="0" applyFont="1" applyBorder="1" applyAlignment="1">
      <alignment horizontal="left" vertical="center" wrapText="1"/>
    </xf>
    <xf numFmtId="0" fontId="24" fillId="0" borderId="20" xfId="0" applyFont="1" applyBorder="1" applyAlignment="1">
      <alignment horizontal="left" vertical="center" wrapText="1"/>
    </xf>
    <xf numFmtId="0" fontId="19" fillId="0" borderId="14" xfId="0" applyFont="1" applyBorder="1"/>
    <xf numFmtId="0" fontId="24" fillId="0" borderId="19" xfId="0" applyFont="1" applyBorder="1" applyAlignment="1">
      <alignment horizontal="left" vertical="center" wrapText="1"/>
    </xf>
    <xf numFmtId="0" fontId="24" fillId="0" borderId="19" xfId="0" applyFont="1" applyBorder="1" applyAlignment="1">
      <alignment horizontal="center" vertical="center" wrapText="1"/>
    </xf>
    <xf numFmtId="0" fontId="19" fillId="0" borderId="19" xfId="0" applyFont="1" applyBorder="1" applyAlignment="1">
      <alignment horizontal="justify" vertical="center" wrapText="1"/>
    </xf>
    <xf numFmtId="0" fontId="19" fillId="0" borderId="19" xfId="0" applyFont="1" applyBorder="1" applyAlignment="1">
      <alignment horizontal="center" vertical="center" wrapText="1"/>
    </xf>
    <xf numFmtId="0" fontId="20" fillId="0" borderId="19" xfId="0" applyFont="1" applyBorder="1" applyAlignment="1">
      <alignment horizontal="justify" vertical="center" wrapText="1"/>
    </xf>
    <xf numFmtId="0" fontId="20" fillId="0" borderId="19" xfId="0" applyFont="1" applyBorder="1" applyAlignment="1">
      <alignment horizontal="center" vertical="center" wrapText="1"/>
    </xf>
    <xf numFmtId="43" fontId="19" fillId="0" borderId="19" xfId="41" applyFont="1" applyFill="1" applyBorder="1" applyAlignment="1">
      <alignment horizontal="justify" vertical="center"/>
    </xf>
    <xf numFmtId="170" fontId="20" fillId="0" borderId="19" xfId="0" applyNumberFormat="1" applyFont="1" applyBorder="1" applyAlignment="1">
      <alignment vertical="center"/>
    </xf>
    <xf numFmtId="0" fontId="19" fillId="0" borderId="18" xfId="0" applyFont="1" applyBorder="1"/>
    <xf numFmtId="0" fontId="20" fillId="0" borderId="21" xfId="0" applyFont="1" applyBorder="1"/>
    <xf numFmtId="0" fontId="20" fillId="0" borderId="21" xfId="0" applyFont="1" applyBorder="1" applyAlignment="1">
      <alignment horizontal="left" vertical="center" wrapText="1"/>
    </xf>
    <xf numFmtId="0" fontId="19" fillId="0" borderId="20" xfId="0" applyFont="1" applyBorder="1" applyAlignment="1">
      <alignment horizontal="left" vertical="center"/>
    </xf>
    <xf numFmtId="0" fontId="19" fillId="0" borderId="21" xfId="0" applyFont="1" applyFill="1" applyBorder="1"/>
    <xf numFmtId="0" fontId="24" fillId="0" borderId="21"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21" xfId="0" applyFont="1" applyBorder="1" applyAlignment="1">
      <alignment vertical="center"/>
    </xf>
    <xf numFmtId="0" fontId="19" fillId="33" borderId="21" xfId="0" applyFont="1" applyFill="1" applyBorder="1"/>
    <xf numFmtId="0" fontId="24" fillId="0" borderId="21" xfId="0" applyFont="1" applyBorder="1" applyAlignment="1">
      <alignment vertical="center"/>
    </xf>
    <xf numFmtId="0" fontId="24" fillId="33" borderId="21" xfId="0" applyFont="1" applyFill="1" applyBorder="1" applyAlignment="1">
      <alignment horizontal="left" vertical="center" wrapText="1"/>
    </xf>
    <xf numFmtId="0" fontId="19" fillId="0" borderId="21" xfId="0" applyFont="1" applyBorder="1" applyAlignment="1">
      <alignment horizontal="left" vertical="center"/>
    </xf>
    <xf numFmtId="0" fontId="19" fillId="0" borderId="21" xfId="0" applyFont="1" applyFill="1" applyBorder="1" applyAlignment="1">
      <alignment horizontal="left" vertical="center"/>
    </xf>
    <xf numFmtId="0" fontId="19" fillId="33" borderId="20" xfId="0" applyFont="1" applyFill="1" applyBorder="1"/>
    <xf numFmtId="0" fontId="24" fillId="33" borderId="20" xfId="0" applyFont="1" applyFill="1" applyBorder="1" applyAlignment="1">
      <alignment horizontal="left" vertical="center" wrapText="1"/>
    </xf>
    <xf numFmtId="0" fontId="20" fillId="0" borderId="18" xfId="0" applyFont="1" applyBorder="1"/>
    <xf numFmtId="0" fontId="20" fillId="0" borderId="21" xfId="0" applyFont="1" applyFill="1" applyBorder="1"/>
    <xf numFmtId="0" fontId="20" fillId="0" borderId="20" xfId="0" applyFont="1" applyBorder="1"/>
    <xf numFmtId="0" fontId="19" fillId="0" borderId="20" xfId="0" applyFont="1" applyFill="1" applyBorder="1"/>
    <xf numFmtId="0" fontId="24" fillId="0" borderId="20" xfId="0" applyFont="1" applyFill="1" applyBorder="1" applyAlignment="1">
      <alignment horizontal="left" vertical="center" wrapText="1"/>
    </xf>
    <xf numFmtId="0" fontId="24" fillId="0" borderId="21" xfId="0" applyFont="1" applyBorder="1" applyAlignment="1">
      <alignment horizontal="left" vertical="center"/>
    </xf>
    <xf numFmtId="0" fontId="24" fillId="0" borderId="18" xfId="0" applyFont="1" applyBorder="1" applyAlignment="1">
      <alignment horizontal="left" vertical="center"/>
    </xf>
    <xf numFmtId="0" fontId="24" fillId="0" borderId="11" xfId="0" applyFont="1" applyFill="1" applyBorder="1" applyAlignment="1">
      <alignment horizontal="left" vertical="center"/>
    </xf>
    <xf numFmtId="0" fontId="24" fillId="0" borderId="11" xfId="0" applyFont="1" applyFill="1" applyBorder="1" applyAlignment="1">
      <alignment horizontal="center" vertical="center"/>
    </xf>
    <xf numFmtId="0" fontId="24" fillId="0" borderId="11" xfId="0" applyFont="1" applyFill="1" applyBorder="1" applyAlignment="1">
      <alignment horizontal="center"/>
    </xf>
    <xf numFmtId="0" fontId="24" fillId="0" borderId="11" xfId="0" applyFont="1" applyFill="1" applyBorder="1" applyAlignment="1">
      <alignment horizontal="justify" vertical="center" wrapText="1"/>
    </xf>
    <xf numFmtId="0" fontId="24" fillId="0" borderId="11" xfId="0" applyFont="1" applyFill="1" applyBorder="1" applyAlignment="1">
      <alignment horizontal="center" wrapText="1"/>
    </xf>
    <xf numFmtId="0" fontId="24" fillId="0" borderId="0" xfId="0" applyFont="1" applyFill="1"/>
    <xf numFmtId="0" fontId="19" fillId="0" borderId="11" xfId="0" applyFont="1" applyFill="1" applyBorder="1" applyAlignment="1">
      <alignment horizontal="center"/>
    </xf>
    <xf numFmtId="0" fontId="19" fillId="0" borderId="11" xfId="0" applyFont="1" applyFill="1" applyBorder="1" applyAlignment="1">
      <alignment horizontal="center" wrapText="1"/>
    </xf>
    <xf numFmtId="167" fontId="24" fillId="39" borderId="11" xfId="0" applyNumberFormat="1" applyFont="1" applyFill="1" applyBorder="1"/>
    <xf numFmtId="167" fontId="24" fillId="43" borderId="11" xfId="0" applyNumberFormat="1" applyFont="1" applyFill="1" applyBorder="1"/>
    <xf numFmtId="43" fontId="19" fillId="33" borderId="0" xfId="0" applyNumberFormat="1" applyFont="1" applyFill="1"/>
    <xf numFmtId="43" fontId="24" fillId="0" borderId="0" xfId="0" applyNumberFormat="1" applyFont="1" applyAlignment="1">
      <alignment vertical="center"/>
    </xf>
    <xf numFmtId="43" fontId="30" fillId="33" borderId="0" xfId="0" applyNumberFormat="1" applyFont="1" applyFill="1" applyAlignment="1">
      <alignment vertical="center"/>
    </xf>
    <xf numFmtId="0" fontId="19" fillId="0" borderId="11" xfId="0" applyFont="1" applyBorder="1" applyAlignment="1">
      <alignment horizontal="justify" vertical="center" wrapText="1"/>
    </xf>
    <xf numFmtId="43" fontId="19" fillId="44" borderId="11" xfId="41" applyFont="1" applyFill="1" applyBorder="1" applyAlignment="1">
      <alignment horizontal="justify" vertical="center"/>
    </xf>
    <xf numFmtId="43" fontId="19" fillId="44" borderId="11" xfId="51" applyFont="1" applyFill="1" applyBorder="1" applyAlignment="1">
      <alignment horizontal="right" vertical="center" wrapText="1"/>
    </xf>
    <xf numFmtId="170" fontId="25" fillId="35" borderId="11" xfId="48" applyFont="1" applyFill="1" applyBorder="1" applyAlignment="1">
      <alignment horizontal="center" vertical="center" wrapText="1"/>
    </xf>
    <xf numFmtId="170" fontId="25" fillId="35" borderId="18" xfId="48" applyFont="1" applyFill="1" applyBorder="1" applyAlignment="1">
      <alignment horizontal="center" vertical="center" wrapText="1"/>
    </xf>
    <xf numFmtId="0" fontId="25" fillId="35" borderId="11" xfId="48" applyNumberFormat="1" applyFont="1" applyFill="1" applyBorder="1" applyAlignment="1">
      <alignment horizontal="center" vertical="center" wrapText="1"/>
    </xf>
    <xf numFmtId="0" fontId="25" fillId="35" borderId="18" xfId="48" applyNumberFormat="1" applyFont="1" applyFill="1" applyBorder="1" applyAlignment="1">
      <alignment horizontal="center" vertical="center" wrapText="1"/>
    </xf>
    <xf numFmtId="171" fontId="25" fillId="35" borderId="14" xfId="41" applyNumberFormat="1" applyFont="1" applyFill="1" applyBorder="1" applyAlignment="1">
      <alignment horizontal="center" vertical="center" wrapText="1"/>
    </xf>
    <xf numFmtId="0" fontId="24" fillId="38" borderId="11" xfId="0" applyFont="1" applyFill="1" applyBorder="1" applyAlignment="1">
      <alignment horizontal="left" vertical="center"/>
    </xf>
    <xf numFmtId="0" fontId="24" fillId="0" borderId="21"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170" fontId="25" fillId="35" borderId="11" xfId="48" applyFont="1" applyFill="1" applyBorder="1" applyAlignment="1">
      <alignment horizontal="center" vertical="center"/>
    </xf>
    <xf numFmtId="171" fontId="25" fillId="35" borderId="12" xfId="41" applyNumberFormat="1" applyFont="1" applyFill="1" applyBorder="1" applyAlignment="1">
      <alignment horizontal="center" vertical="center" wrapText="1"/>
    </xf>
    <xf numFmtId="0" fontId="32" fillId="0" borderId="21" xfId="0" applyFont="1" applyBorder="1" applyAlignment="1">
      <alignment horizontal="justify" vertical="center" wrapText="1"/>
    </xf>
    <xf numFmtId="0" fontId="32" fillId="0" borderId="20" xfId="0" applyFont="1" applyBorder="1" applyAlignment="1">
      <alignment horizontal="justify" vertical="center" wrapText="1"/>
    </xf>
    <xf numFmtId="0" fontId="32" fillId="0" borderId="18" xfId="0" applyFont="1" applyBorder="1" applyAlignment="1">
      <alignment horizontal="justify" vertical="center" wrapText="1"/>
    </xf>
    <xf numFmtId="0" fontId="32" fillId="0" borderId="29" xfId="0" applyFont="1" applyBorder="1" applyAlignment="1">
      <alignment horizontal="justify" vertical="center" wrapText="1"/>
    </xf>
    <xf numFmtId="0" fontId="32" fillId="0" borderId="26" xfId="0" applyFont="1" applyBorder="1" applyAlignment="1">
      <alignment horizontal="justify" vertical="center" wrapText="1"/>
    </xf>
    <xf numFmtId="0" fontId="32" fillId="0" borderId="20" xfId="0" applyFont="1" applyFill="1" applyBorder="1" applyAlignment="1">
      <alignment horizontal="justify" vertical="center" wrapText="1"/>
    </xf>
    <xf numFmtId="0" fontId="32" fillId="0" borderId="18" xfId="0" applyFont="1" applyFill="1" applyBorder="1" applyAlignment="1">
      <alignment horizontal="justify" vertical="center" wrapText="1"/>
    </xf>
    <xf numFmtId="0" fontId="32" fillId="0" borderId="11" xfId="0" applyFont="1" applyBorder="1" applyAlignment="1">
      <alignment horizontal="justify" vertical="center" wrapText="1"/>
    </xf>
    <xf numFmtId="0" fontId="31" fillId="0" borderId="26" xfId="0" applyFont="1" applyBorder="1" applyAlignment="1">
      <alignment horizontal="justify" vertical="center" wrapText="1"/>
    </xf>
    <xf numFmtId="0" fontId="31" fillId="39" borderId="30" xfId="0" applyFont="1" applyFill="1" applyBorder="1" applyAlignment="1">
      <alignment horizontal="center" vertical="center" wrapText="1"/>
    </xf>
    <xf numFmtId="0" fontId="31" fillId="39" borderId="31" xfId="0" applyFont="1" applyFill="1" applyBorder="1" applyAlignment="1">
      <alignment horizontal="center" vertical="center" wrapText="1"/>
    </xf>
    <xf numFmtId="0" fontId="31" fillId="39" borderId="32" xfId="0" applyFont="1" applyFill="1" applyBorder="1" applyAlignment="1">
      <alignment horizontal="center" vertical="center" wrapText="1"/>
    </xf>
    <xf numFmtId="43" fontId="24" fillId="0" borderId="11" xfId="41" applyFont="1" applyFill="1" applyBorder="1" applyAlignment="1">
      <alignment horizontal="justify" vertical="center"/>
    </xf>
    <xf numFmtId="2" fontId="19" fillId="0" borderId="11" xfId="58"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xf>
    <xf numFmtId="171" fontId="25" fillId="35" borderId="20" xfId="41" applyNumberFormat="1" applyFont="1" applyFill="1" applyBorder="1" applyAlignment="1">
      <alignment horizontal="center" vertical="center" wrapText="1"/>
    </xf>
    <xf numFmtId="170" fontId="20" fillId="0" borderId="16" xfId="0" applyNumberFormat="1" applyFont="1" applyBorder="1" applyAlignment="1">
      <alignment vertical="center"/>
    </xf>
    <xf numFmtId="0" fontId="24" fillId="0" borderId="0"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7" xfId="0" applyFont="1" applyBorder="1" applyAlignment="1">
      <alignment horizontal="center" vertical="center" wrapText="1"/>
    </xf>
    <xf numFmtId="171" fontId="19" fillId="0" borderId="11" xfId="0" applyNumberFormat="1" applyFont="1" applyBorder="1" applyAlignment="1">
      <alignment horizontal="justify" vertical="center" wrapText="1"/>
    </xf>
    <xf numFmtId="0" fontId="19" fillId="0" borderId="11" xfId="0" applyFont="1" applyBorder="1" applyAlignment="1">
      <alignment horizontal="justify" vertical="center"/>
    </xf>
    <xf numFmtId="0" fontId="19" fillId="0" borderId="11" xfId="0" applyFont="1" applyBorder="1" applyAlignment="1">
      <alignment horizontal="center" vertical="center" wrapText="1"/>
    </xf>
    <xf numFmtId="0" fontId="19" fillId="0" borderId="11" xfId="0" applyFont="1" applyBorder="1" applyAlignment="1">
      <alignment horizontal="justify" vertical="center" wrapText="1"/>
    </xf>
    <xf numFmtId="0" fontId="24" fillId="0" borderId="18" xfId="0" applyFont="1" applyBorder="1" applyAlignment="1">
      <alignment horizontal="left" vertical="center"/>
    </xf>
    <xf numFmtId="0" fontId="24" fillId="0" borderId="21" xfId="0" applyFont="1" applyBorder="1" applyAlignment="1">
      <alignment horizontal="left" vertical="center"/>
    </xf>
    <xf numFmtId="0" fontId="24" fillId="0" borderId="21" xfId="0" applyFont="1" applyBorder="1" applyAlignment="1">
      <alignment horizontal="left" vertical="center" wrapText="1"/>
    </xf>
    <xf numFmtId="0" fontId="24" fillId="0" borderId="20" xfId="0" applyFont="1" applyBorder="1" applyAlignment="1">
      <alignment horizontal="left" vertical="center" wrapText="1"/>
    </xf>
    <xf numFmtId="0" fontId="24" fillId="0" borderId="11" xfId="0" applyFont="1" applyBorder="1" applyAlignment="1">
      <alignment horizontal="left" vertical="center" wrapText="1"/>
    </xf>
    <xf numFmtId="0" fontId="20" fillId="0" borderId="11" xfId="0" applyFont="1" applyBorder="1" applyAlignment="1">
      <alignment horizontal="justify" vertical="center" wrapText="1"/>
    </xf>
    <xf numFmtId="0" fontId="20" fillId="0" borderId="11" xfId="0" applyFont="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1" xfId="0" applyFont="1" applyFill="1" applyBorder="1" applyAlignment="1">
      <alignment horizontal="justify" vertical="center" wrapText="1"/>
    </xf>
    <xf numFmtId="0" fontId="24" fillId="0" borderId="21"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0" fontId="24" fillId="0" borderId="18" xfId="0" applyFont="1" applyBorder="1" applyAlignment="1">
      <alignment horizontal="left" vertical="center" wrapText="1"/>
    </xf>
    <xf numFmtId="0" fontId="19" fillId="33" borderId="11" xfId="58" applyFont="1" applyFill="1" applyBorder="1" applyAlignment="1">
      <alignment horizontal="center" vertical="center" wrapText="1"/>
    </xf>
    <xf numFmtId="0" fontId="19" fillId="0" borderId="11" xfId="0" applyFont="1" applyBorder="1" applyAlignment="1">
      <alignment horizontal="left" vertical="center" wrapText="1"/>
    </xf>
    <xf numFmtId="3" fontId="19" fillId="0" borderId="11" xfId="0" applyNumberFormat="1" applyFont="1" applyBorder="1" applyAlignment="1">
      <alignment horizontal="justify" vertical="center" wrapText="1"/>
    </xf>
    <xf numFmtId="169" fontId="19" fillId="0" borderId="11" xfId="57" applyFont="1" applyFill="1" applyBorder="1" applyAlignment="1">
      <alignment horizontal="justify" vertical="center" wrapText="1"/>
    </xf>
    <xf numFmtId="3" fontId="19" fillId="0" borderId="11" xfId="0" applyNumberFormat="1" applyFont="1" applyBorder="1" applyAlignment="1">
      <alignment horizontal="justify" vertical="center"/>
    </xf>
    <xf numFmtId="0" fontId="24" fillId="38" borderId="11" xfId="0" applyFont="1" applyFill="1" applyBorder="1" applyAlignment="1">
      <alignment horizontal="left" vertical="center"/>
    </xf>
    <xf numFmtId="0" fontId="24" fillId="0" borderId="11" xfId="0" applyFont="1" applyBorder="1" applyAlignment="1">
      <alignment horizontal="center" vertical="center" wrapText="1"/>
    </xf>
    <xf numFmtId="0" fontId="20" fillId="33" borderId="11" xfId="0" applyFont="1" applyFill="1" applyBorder="1" applyAlignment="1">
      <alignment horizontal="justify" vertical="center" wrapText="1"/>
    </xf>
    <xf numFmtId="0" fontId="24" fillId="0" borderId="11" xfId="0" applyFont="1" applyFill="1" applyBorder="1" applyAlignment="1">
      <alignment horizontal="left" vertical="center"/>
    </xf>
    <xf numFmtId="2" fontId="19" fillId="0" borderId="11" xfId="58" applyNumberFormat="1" applyFont="1" applyBorder="1" applyAlignment="1">
      <alignment horizontal="center" vertical="center" wrapText="1"/>
    </xf>
    <xf numFmtId="43" fontId="19" fillId="0" borderId="11" xfId="51" applyFont="1" applyFill="1" applyBorder="1" applyAlignment="1">
      <alignment horizontal="center" vertical="center" wrapText="1"/>
    </xf>
    <xf numFmtId="0" fontId="31" fillId="40" borderId="30" xfId="0" applyFont="1" applyFill="1" applyBorder="1" applyAlignment="1">
      <alignment horizontal="left" vertical="center" wrapText="1"/>
    </xf>
    <xf numFmtId="0" fontId="31" fillId="40" borderId="31" xfId="0" applyFont="1" applyFill="1" applyBorder="1" applyAlignment="1">
      <alignment horizontal="left" vertical="center" wrapText="1"/>
    </xf>
    <xf numFmtId="0" fontId="32" fillId="0" borderId="39" xfId="0" applyFont="1" applyBorder="1" applyAlignment="1">
      <alignment horizontal="justify" vertical="center" wrapText="1"/>
    </xf>
    <xf numFmtId="0" fontId="32" fillId="0" borderId="28" xfId="0" applyFont="1" applyBorder="1" applyAlignment="1">
      <alignment horizontal="justify" vertical="center" wrapText="1"/>
    </xf>
    <xf numFmtId="0" fontId="32" fillId="0" borderId="26" xfId="0" applyFont="1" applyBorder="1" applyAlignment="1">
      <alignment horizontal="justify" vertical="center" wrapText="1"/>
    </xf>
    <xf numFmtId="0" fontId="32" fillId="0" borderId="21" xfId="0" applyFont="1" applyBorder="1" applyAlignment="1">
      <alignment horizontal="justify" vertical="center" wrapText="1"/>
    </xf>
    <xf numFmtId="0" fontId="32" fillId="0" borderId="20" xfId="0" applyFont="1" applyBorder="1" applyAlignment="1">
      <alignment horizontal="justify"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3" xfId="0" applyFont="1" applyBorder="1" applyAlignment="1">
      <alignment horizontal="center" vertical="center" wrapText="1"/>
    </xf>
    <xf numFmtId="0" fontId="31" fillId="39" borderId="30" xfId="0" applyFont="1" applyFill="1" applyBorder="1" applyAlignment="1">
      <alignment horizontal="center" vertical="center" wrapText="1"/>
    </xf>
    <xf numFmtId="0" fontId="31" fillId="39" borderId="31" xfId="0" applyFont="1" applyFill="1" applyBorder="1" applyAlignment="1">
      <alignment horizontal="center" vertical="center" wrapText="1"/>
    </xf>
    <xf numFmtId="0" fontId="31" fillId="39" borderId="32" xfId="0" applyFont="1" applyFill="1" applyBorder="1" applyAlignment="1">
      <alignment horizontal="center" vertical="center" wrapText="1"/>
    </xf>
    <xf numFmtId="0" fontId="32" fillId="0" borderId="18" xfId="0" applyFont="1" applyBorder="1" applyAlignment="1">
      <alignment horizontal="justify" vertical="center" wrapText="1"/>
    </xf>
    <xf numFmtId="0" fontId="31" fillId="40" borderId="32" xfId="0" applyFont="1" applyFill="1" applyBorder="1" applyAlignment="1">
      <alignment horizontal="left" vertical="center" wrapText="1"/>
    </xf>
    <xf numFmtId="0" fontId="31" fillId="0" borderId="39" xfId="0" applyFont="1" applyBorder="1" applyAlignment="1">
      <alignment horizontal="justify" vertical="center" wrapText="1"/>
    </xf>
    <xf numFmtId="0" fontId="31" fillId="0" borderId="26" xfId="0" applyFont="1" applyBorder="1" applyAlignment="1">
      <alignment horizontal="justify" vertical="center" wrapText="1"/>
    </xf>
    <xf numFmtId="0" fontId="30" fillId="0" borderId="22" xfId="0" applyFont="1" applyBorder="1" applyAlignment="1">
      <alignment horizontal="center" vertical="center"/>
    </xf>
    <xf numFmtId="0" fontId="32" fillId="0" borderId="28" xfId="41" applyNumberFormat="1" applyFont="1" applyFill="1" applyBorder="1" applyAlignment="1">
      <alignment horizontal="justify" vertical="center" wrapText="1"/>
    </xf>
    <xf numFmtId="0" fontId="32" fillId="0" borderId="11" xfId="0" applyFont="1" applyBorder="1" applyAlignment="1">
      <alignment horizontal="justify" vertical="center" wrapText="1"/>
    </xf>
    <xf numFmtId="0" fontId="32" fillId="0" borderId="29" xfId="0" applyFont="1" applyFill="1" applyBorder="1" applyAlignment="1">
      <alignment horizontal="justify" vertical="center" wrapText="1"/>
    </xf>
    <xf numFmtId="0" fontId="31" fillId="0" borderId="29" xfId="0" applyFont="1" applyBorder="1" applyAlignment="1">
      <alignment horizontal="justify" vertical="center" wrapText="1"/>
    </xf>
    <xf numFmtId="0" fontId="32" fillId="0" borderId="26" xfId="41" applyNumberFormat="1" applyFont="1" applyFill="1" applyBorder="1" applyAlignment="1">
      <alignment horizontal="justify" vertical="center" wrapText="1"/>
    </xf>
    <xf numFmtId="0" fontId="31" fillId="0" borderId="28" xfId="0" applyFont="1" applyBorder="1" applyAlignment="1">
      <alignment horizontal="justify" vertical="center" wrapText="1"/>
    </xf>
    <xf numFmtId="0" fontId="31" fillId="0" borderId="36" xfId="0" applyFont="1" applyBorder="1" applyAlignment="1">
      <alignment horizontal="justify" vertical="center" wrapText="1"/>
    </xf>
    <xf numFmtId="0" fontId="32" fillId="0" borderId="21" xfId="0" applyFont="1" applyFill="1" applyBorder="1" applyAlignment="1">
      <alignment horizontal="justify" vertical="center" wrapText="1"/>
    </xf>
    <xf numFmtId="0" fontId="32" fillId="0" borderId="20" xfId="0" applyFont="1" applyFill="1" applyBorder="1" applyAlignment="1">
      <alignment horizontal="justify" vertical="center" wrapText="1"/>
    </xf>
    <xf numFmtId="0" fontId="32" fillId="0" borderId="18" xfId="0" applyFont="1" applyFill="1" applyBorder="1" applyAlignment="1">
      <alignment horizontal="justify" vertical="center" wrapText="1"/>
    </xf>
    <xf numFmtId="0" fontId="32" fillId="0" borderId="29" xfId="0" applyFont="1" applyBorder="1" applyAlignment="1">
      <alignment horizontal="justify" vertical="center" wrapText="1"/>
    </xf>
    <xf numFmtId="0" fontId="31" fillId="41" borderId="30" xfId="0" applyFont="1" applyFill="1" applyBorder="1" applyAlignment="1">
      <alignment horizontal="justify" vertical="center" wrapText="1"/>
    </xf>
    <xf numFmtId="0" fontId="31" fillId="41" borderId="31" xfId="0" applyFont="1" applyFill="1" applyBorder="1" applyAlignment="1">
      <alignment horizontal="justify" vertical="center" wrapText="1"/>
    </xf>
    <xf numFmtId="0" fontId="31" fillId="0" borderId="29" xfId="0" applyFont="1" applyBorder="1" applyAlignment="1">
      <alignment horizontal="left" vertical="center" wrapText="1"/>
    </xf>
    <xf numFmtId="0" fontId="31" fillId="0" borderId="21" xfId="0" applyFont="1" applyBorder="1" applyAlignment="1">
      <alignment horizontal="left" vertical="center" wrapText="1"/>
    </xf>
    <xf numFmtId="0" fontId="31" fillId="0" borderId="47" xfId="0" applyFont="1" applyBorder="1" applyAlignment="1">
      <alignment horizontal="left" vertical="center" wrapText="1"/>
    </xf>
    <xf numFmtId="0" fontId="31" fillId="33" borderId="0" xfId="0" applyFont="1" applyFill="1" applyAlignment="1">
      <alignment horizontal="center"/>
    </xf>
    <xf numFmtId="0" fontId="30" fillId="33" borderId="0" xfId="0" applyFont="1" applyFill="1" applyAlignment="1">
      <alignment horizontal="center"/>
    </xf>
    <xf numFmtId="0" fontId="32" fillId="33" borderId="0" xfId="0" applyFont="1" applyFill="1" applyAlignment="1">
      <alignment horizontal="left" vertical="center"/>
    </xf>
    <xf numFmtId="0" fontId="32" fillId="33" borderId="0" xfId="0" applyFont="1" applyFill="1" applyAlignment="1">
      <alignment horizontal="left" vertical="center" wrapText="1"/>
    </xf>
    <xf numFmtId="0" fontId="31" fillId="39" borderId="30" xfId="0" applyFont="1" applyFill="1" applyBorder="1" applyAlignment="1">
      <alignment horizontal="justify" vertical="center" wrapText="1"/>
    </xf>
    <xf numFmtId="0" fontId="31" fillId="39" borderId="31" xfId="0" applyFont="1" applyFill="1" applyBorder="1" applyAlignment="1">
      <alignment horizontal="justify" vertical="center" wrapText="1"/>
    </xf>
  </cellXfs>
  <cellStyles count="6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1" xfId="2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KPT04" xfId="49"/>
    <cellStyle name="KPT04 2" xfId="43"/>
    <cellStyle name="Millares [0]" xfId="55" builtinId="6"/>
    <cellStyle name="Millares [0] 2" xfId="46"/>
    <cellStyle name="Millares 2" xfId="41"/>
    <cellStyle name="Millares 2 2" xfId="51"/>
    <cellStyle name="Millares 2 2 2 2" xfId="42"/>
    <cellStyle name="Millares 2 4" xfId="56"/>
    <cellStyle name="Moneda [0] 2" xfId="52"/>
    <cellStyle name="Moneda [0] 2 2" xfId="59"/>
    <cellStyle name="Moneda 2" xfId="50"/>
    <cellStyle name="Moneda 2 2" xfId="54"/>
    <cellStyle name="Moneda 2 4" xfId="57"/>
    <cellStyle name="Neutral" xfId="32" builtinId="28" customBuiltin="1"/>
    <cellStyle name="Normal" xfId="0" builtinId="0"/>
    <cellStyle name="Normal 2" xfId="44"/>
    <cellStyle name="Normal 2 2" xfId="53"/>
    <cellStyle name="Normal 2 2 2" xfId="60"/>
    <cellStyle name="Normal 2 3" xfId="58"/>
    <cellStyle name="Normal 3" xfId="48"/>
    <cellStyle name="Notas" xfId="33" builtinId="10" customBuiltin="1"/>
    <cellStyle name="Porcentaje 2 2" xfId="45"/>
    <cellStyle name="Porcentaje 2 2 2" xfId="47"/>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730250</xdr:colOff>
      <xdr:row>0</xdr:row>
      <xdr:rowOff>0</xdr:rowOff>
    </xdr:from>
    <xdr:to>
      <xdr:col>5</xdr:col>
      <xdr:colOff>238125</xdr:colOff>
      <xdr:row>3</xdr:row>
      <xdr:rowOff>301624</xdr:rowOff>
    </xdr:to>
    <xdr:pic>
      <xdr:nvPicPr>
        <xdr:cNvPr id="2" name="Imagen 1">
          <a:extLst>
            <a:ext uri="{FF2B5EF4-FFF2-40B4-BE49-F238E27FC236}">
              <a16:creationId xmlns="" xmlns:a16="http://schemas.microsoft.com/office/drawing/2014/main" id="{D3A3E867-7E82-46EF-A99C-64353A5E8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996" t="12991" r="67844" b="74319"/>
        <a:stretch>
          <a:fillRect/>
        </a:stretch>
      </xdr:blipFill>
      <xdr:spPr bwMode="auto">
        <a:xfrm>
          <a:off x="2092325" y="0"/>
          <a:ext cx="1317625" cy="121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8"/>
  <sheetViews>
    <sheetView showGridLines="0" tabSelected="1" zoomScale="55" zoomScaleNormal="55" workbookViewId="0">
      <selection sqref="A1:AD4"/>
    </sheetView>
  </sheetViews>
  <sheetFormatPr baseColWidth="10" defaultColWidth="11.42578125" defaultRowHeight="15" x14ac:dyDescent="0.2"/>
  <cols>
    <col min="1" max="1" width="17.42578125" style="87" customWidth="1"/>
    <col min="2" max="2" width="19" style="118" customWidth="1"/>
    <col min="3" max="3" width="20.140625" style="118" customWidth="1"/>
    <col min="4" max="4" width="16.140625" style="119" customWidth="1"/>
    <col min="5" max="5" width="18.7109375" style="120" customWidth="1"/>
    <col min="6" max="6" width="49.7109375" style="121" customWidth="1"/>
    <col min="7" max="7" width="18.5703125" style="122" customWidth="1"/>
    <col min="8" max="8" width="23.140625" style="120" customWidth="1"/>
    <col min="9" max="9" width="63.42578125" style="121" customWidth="1"/>
    <col min="10" max="10" width="24.140625" style="122" customWidth="1"/>
    <col min="11" max="11" width="23.85546875" style="122" customWidth="1"/>
    <col min="12" max="12" width="33" style="121" customWidth="1"/>
    <col min="13" max="13" width="11.42578125" style="120" customWidth="1"/>
    <col min="14" max="14" width="16.7109375" style="120" customWidth="1"/>
    <col min="15" max="15" width="13.5703125" style="122" customWidth="1"/>
    <col min="16" max="16" width="26.140625" style="120" bestFit="1" customWidth="1"/>
    <col min="17" max="17" width="21.5703125" style="123" bestFit="1" customWidth="1"/>
    <col min="18" max="18" width="64.7109375" style="121" bestFit="1" customWidth="1"/>
    <col min="19" max="19" width="28.140625" style="87" customWidth="1"/>
    <col min="20" max="20" width="30.85546875" style="87" customWidth="1"/>
    <col min="21" max="21" width="27.42578125" style="87" customWidth="1"/>
    <col min="22" max="22" width="28.5703125" style="87" customWidth="1"/>
    <col min="23" max="23" width="28.7109375" style="87" customWidth="1"/>
    <col min="24" max="24" width="32.7109375" style="87" customWidth="1"/>
    <col min="25" max="25" width="31.5703125" style="89" customWidth="1"/>
    <col min="26" max="26" width="31.42578125" style="89" customWidth="1"/>
    <col min="27" max="27" width="32.85546875" style="87" customWidth="1"/>
    <col min="28" max="28" width="29.5703125" style="87" customWidth="1"/>
    <col min="29" max="29" width="30.85546875" style="11" customWidth="1"/>
    <col min="30" max="30" width="33.42578125" style="87" customWidth="1"/>
    <col min="31" max="31" width="29.140625" style="87" customWidth="1"/>
    <col min="32" max="32" width="35.140625" style="89" customWidth="1"/>
    <col min="33" max="33" width="28.42578125" style="87" customWidth="1"/>
    <col min="34" max="34" width="31.28515625" style="87" customWidth="1"/>
    <col min="35" max="35" width="26.5703125" style="87" customWidth="1"/>
    <col min="36" max="36" width="34.85546875" style="87" customWidth="1"/>
    <col min="37" max="37" width="28.5703125" style="87" customWidth="1"/>
    <col min="38" max="38" width="30.42578125" style="87" customWidth="1"/>
    <col min="39" max="16384" width="11.42578125" style="87"/>
  </cols>
  <sheetData>
    <row r="1" spans="1:38" ht="24.75" customHeight="1" x14ac:dyDescent="0.25">
      <c r="A1" s="435" t="s">
        <v>1468</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6"/>
      <c r="AE1" s="88" t="s">
        <v>13</v>
      </c>
      <c r="AF1" s="245" t="s">
        <v>1469</v>
      </c>
    </row>
    <row r="2" spans="1:38" ht="24.75" customHeight="1" x14ac:dyDescent="0.25">
      <c r="A2" s="435"/>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6"/>
      <c r="AE2" s="90" t="s">
        <v>14</v>
      </c>
      <c r="AF2" s="246">
        <v>3</v>
      </c>
    </row>
    <row r="3" spans="1:38" ht="22.5" customHeight="1" x14ac:dyDescent="0.25">
      <c r="A3" s="435"/>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6"/>
      <c r="AE3" s="88" t="s">
        <v>15</v>
      </c>
      <c r="AF3" s="247" t="s">
        <v>1424</v>
      </c>
    </row>
    <row r="4" spans="1:38" ht="33.75" customHeight="1" x14ac:dyDescent="0.25">
      <c r="A4" s="437"/>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8"/>
      <c r="AE4" s="88" t="s">
        <v>16</v>
      </c>
      <c r="AF4" s="248" t="s">
        <v>17</v>
      </c>
    </row>
    <row r="5" spans="1:38" s="91" customFormat="1" ht="75.75" customHeight="1" x14ac:dyDescent="0.25">
      <c r="A5" s="408" t="s">
        <v>12</v>
      </c>
      <c r="B5" s="408" t="s">
        <v>18</v>
      </c>
      <c r="C5" s="408" t="s">
        <v>19</v>
      </c>
      <c r="D5" s="408" t="s">
        <v>20</v>
      </c>
      <c r="E5" s="406" t="s">
        <v>21</v>
      </c>
      <c r="F5" s="406" t="s">
        <v>22</v>
      </c>
      <c r="G5" s="406" t="s">
        <v>23</v>
      </c>
      <c r="H5" s="406" t="s">
        <v>24</v>
      </c>
      <c r="I5" s="416" t="s">
        <v>25</v>
      </c>
      <c r="J5" s="406" t="s">
        <v>26</v>
      </c>
      <c r="K5" s="406" t="s">
        <v>27</v>
      </c>
      <c r="L5" s="406" t="s">
        <v>28</v>
      </c>
      <c r="M5" s="406" t="s">
        <v>29</v>
      </c>
      <c r="N5" s="408" t="s">
        <v>30</v>
      </c>
      <c r="O5" s="409" t="s">
        <v>31</v>
      </c>
      <c r="P5" s="406" t="s">
        <v>32</v>
      </c>
      <c r="Q5" s="407" t="s">
        <v>33</v>
      </c>
      <c r="R5" s="407" t="s">
        <v>34</v>
      </c>
      <c r="S5" s="410" t="s">
        <v>35</v>
      </c>
      <c r="T5" s="410" t="s">
        <v>36</v>
      </c>
      <c r="U5" s="410" t="s">
        <v>37</v>
      </c>
      <c r="V5" s="410" t="s">
        <v>38</v>
      </c>
      <c r="W5" s="410" t="s">
        <v>1339</v>
      </c>
      <c r="X5" s="410" t="s">
        <v>1442</v>
      </c>
      <c r="Y5" s="410" t="s">
        <v>39</v>
      </c>
      <c r="Z5" s="410" t="s">
        <v>40</v>
      </c>
      <c r="AA5" s="410" t="s">
        <v>41</v>
      </c>
      <c r="AB5" s="410" t="s">
        <v>42</v>
      </c>
      <c r="AC5" s="410" t="s">
        <v>43</v>
      </c>
      <c r="AD5" s="410" t="s">
        <v>1340</v>
      </c>
      <c r="AE5" s="417" t="s">
        <v>1341</v>
      </c>
      <c r="AF5" s="433" t="s">
        <v>44</v>
      </c>
    </row>
    <row r="6" spans="1:38" s="176" customFormat="1" ht="15.75" x14ac:dyDescent="0.2">
      <c r="A6" s="357"/>
      <c r="B6" s="358"/>
      <c r="C6" s="358"/>
      <c r="D6" s="359"/>
      <c r="E6" s="360"/>
      <c r="F6" s="360"/>
      <c r="G6" s="361"/>
      <c r="H6" s="361"/>
      <c r="I6" s="362"/>
      <c r="J6" s="363"/>
      <c r="K6" s="363"/>
      <c r="L6" s="362"/>
      <c r="M6" s="361"/>
      <c r="N6" s="361"/>
      <c r="O6" s="363"/>
      <c r="P6" s="361"/>
      <c r="Q6" s="361"/>
      <c r="R6" s="362"/>
      <c r="S6" s="364"/>
      <c r="T6" s="364"/>
      <c r="U6" s="364"/>
      <c r="V6" s="364"/>
      <c r="W6" s="364"/>
      <c r="X6" s="364"/>
      <c r="Y6" s="364"/>
      <c r="Z6" s="364"/>
      <c r="AA6" s="364"/>
      <c r="AB6" s="364"/>
      <c r="AC6" s="365"/>
      <c r="AD6" s="364"/>
      <c r="AE6" s="364"/>
      <c r="AF6" s="434"/>
    </row>
    <row r="7" spans="1:38" s="94" customFormat="1" ht="15.75" x14ac:dyDescent="0.25">
      <c r="A7" s="145" t="s">
        <v>45</v>
      </c>
      <c r="B7" s="145"/>
      <c r="C7" s="145"/>
      <c r="D7" s="146"/>
      <c r="E7" s="146"/>
      <c r="F7" s="147"/>
      <c r="G7" s="148"/>
      <c r="H7" s="92"/>
      <c r="I7" s="147"/>
      <c r="J7" s="148"/>
      <c r="K7" s="148"/>
      <c r="L7" s="147"/>
      <c r="M7" s="92"/>
      <c r="N7" s="92"/>
      <c r="O7" s="148"/>
      <c r="P7" s="146"/>
      <c r="Q7" s="148"/>
      <c r="R7" s="147"/>
      <c r="S7" s="93">
        <f t="shared" ref="S7:AF7" si="0">S8</f>
        <v>0</v>
      </c>
      <c r="T7" s="93">
        <f t="shared" si="0"/>
        <v>0</v>
      </c>
      <c r="U7" s="93">
        <f t="shared" si="0"/>
        <v>0</v>
      </c>
      <c r="V7" s="93">
        <f t="shared" si="0"/>
        <v>0</v>
      </c>
      <c r="W7" s="93">
        <f t="shared" si="0"/>
        <v>0</v>
      </c>
      <c r="X7" s="93">
        <f t="shared" si="0"/>
        <v>0</v>
      </c>
      <c r="Y7" s="93">
        <f t="shared" si="0"/>
        <v>0</v>
      </c>
      <c r="Z7" s="93">
        <f t="shared" si="0"/>
        <v>0</v>
      </c>
      <c r="AA7" s="93">
        <f t="shared" si="0"/>
        <v>0</v>
      </c>
      <c r="AB7" s="93">
        <f t="shared" si="0"/>
        <v>0</v>
      </c>
      <c r="AC7" s="93">
        <f t="shared" si="0"/>
        <v>75702140</v>
      </c>
      <c r="AD7" s="93">
        <f t="shared" si="0"/>
        <v>0</v>
      </c>
      <c r="AE7" s="93">
        <f t="shared" si="0"/>
        <v>0</v>
      </c>
      <c r="AF7" s="93">
        <f t="shared" si="0"/>
        <v>75702140</v>
      </c>
      <c r="AG7" s="401"/>
      <c r="AH7" s="401"/>
      <c r="AI7" s="401"/>
      <c r="AJ7" s="401"/>
      <c r="AK7" s="401"/>
      <c r="AL7" s="401"/>
    </row>
    <row r="8" spans="1:38" s="94" customFormat="1" ht="15.75" x14ac:dyDescent="0.25">
      <c r="A8" s="351"/>
      <c r="B8" s="193">
        <v>4</v>
      </c>
      <c r="C8" s="95" t="s">
        <v>46</v>
      </c>
      <c r="D8" s="96"/>
      <c r="E8" s="96"/>
      <c r="F8" s="97"/>
      <c r="G8" s="98"/>
      <c r="H8" s="99"/>
      <c r="I8" s="97"/>
      <c r="J8" s="98"/>
      <c r="K8" s="98"/>
      <c r="L8" s="97"/>
      <c r="M8" s="100"/>
      <c r="N8" s="100"/>
      <c r="O8" s="98"/>
      <c r="P8" s="96"/>
      <c r="Q8" s="98"/>
      <c r="R8" s="97"/>
      <c r="S8" s="101">
        <f>S9+S12</f>
        <v>0</v>
      </c>
      <c r="T8" s="101">
        <f t="shared" ref="T8:AF8" si="1">T9+T12</f>
        <v>0</v>
      </c>
      <c r="U8" s="101">
        <f t="shared" si="1"/>
        <v>0</v>
      </c>
      <c r="V8" s="101">
        <f t="shared" si="1"/>
        <v>0</v>
      </c>
      <c r="W8" s="101">
        <f t="shared" si="1"/>
        <v>0</v>
      </c>
      <c r="X8" s="101">
        <f t="shared" si="1"/>
        <v>0</v>
      </c>
      <c r="Y8" s="101">
        <f t="shared" si="1"/>
        <v>0</v>
      </c>
      <c r="Z8" s="101">
        <f t="shared" si="1"/>
        <v>0</v>
      </c>
      <c r="AA8" s="101">
        <f t="shared" si="1"/>
        <v>0</v>
      </c>
      <c r="AB8" s="101">
        <f t="shared" si="1"/>
        <v>0</v>
      </c>
      <c r="AC8" s="101">
        <f t="shared" si="1"/>
        <v>75702140</v>
      </c>
      <c r="AD8" s="101">
        <f t="shared" si="1"/>
        <v>0</v>
      </c>
      <c r="AE8" s="101">
        <f t="shared" si="1"/>
        <v>0</v>
      </c>
      <c r="AF8" s="101">
        <f t="shared" si="1"/>
        <v>75702140</v>
      </c>
    </row>
    <row r="9" spans="1:38" ht="15.75" x14ac:dyDescent="0.2">
      <c r="A9" s="352"/>
      <c r="B9" s="354"/>
      <c r="C9" s="275">
        <v>45</v>
      </c>
      <c r="D9" s="106" t="s">
        <v>47</v>
      </c>
      <c r="E9" s="275" t="s">
        <v>48</v>
      </c>
      <c r="F9" s="102"/>
      <c r="G9" s="103"/>
      <c r="H9" s="104"/>
      <c r="I9" s="102"/>
      <c r="J9" s="103"/>
      <c r="K9" s="103"/>
      <c r="L9" s="102"/>
      <c r="M9" s="105"/>
      <c r="N9" s="105"/>
      <c r="O9" s="103"/>
      <c r="P9" s="106"/>
      <c r="Q9" s="103"/>
      <c r="R9" s="102"/>
      <c r="S9" s="107">
        <f>SUM(S10:S11)</f>
        <v>0</v>
      </c>
      <c r="T9" s="107">
        <f t="shared" ref="T9:AF9" si="2">SUM(T10:T11)</f>
        <v>0</v>
      </c>
      <c r="U9" s="107">
        <f t="shared" si="2"/>
        <v>0</v>
      </c>
      <c r="V9" s="107">
        <f t="shared" si="2"/>
        <v>0</v>
      </c>
      <c r="W9" s="107">
        <f t="shared" si="2"/>
        <v>0</v>
      </c>
      <c r="X9" s="107">
        <f t="shared" si="2"/>
        <v>0</v>
      </c>
      <c r="Y9" s="107">
        <f t="shared" si="2"/>
        <v>0</v>
      </c>
      <c r="Z9" s="107">
        <f t="shared" si="2"/>
        <v>0</v>
      </c>
      <c r="AA9" s="107">
        <f t="shared" si="2"/>
        <v>0</v>
      </c>
      <c r="AB9" s="107">
        <f t="shared" si="2"/>
        <v>0</v>
      </c>
      <c r="AC9" s="107">
        <f t="shared" si="2"/>
        <v>45702140</v>
      </c>
      <c r="AD9" s="107">
        <f t="shared" si="2"/>
        <v>0</v>
      </c>
      <c r="AE9" s="107">
        <f t="shared" si="2"/>
        <v>0</v>
      </c>
      <c r="AF9" s="107">
        <f t="shared" si="2"/>
        <v>45702140</v>
      </c>
    </row>
    <row r="10" spans="1:38" ht="111.75" customHeight="1" x14ac:dyDescent="0.2">
      <c r="A10" s="352"/>
      <c r="B10" s="355"/>
      <c r="C10" s="289"/>
      <c r="D10" s="290"/>
      <c r="E10" s="272" t="s">
        <v>47</v>
      </c>
      <c r="F10" s="337" t="s">
        <v>49</v>
      </c>
      <c r="G10" s="281" t="s">
        <v>50</v>
      </c>
      <c r="H10" s="272" t="s">
        <v>47</v>
      </c>
      <c r="I10" s="337" t="s">
        <v>1374</v>
      </c>
      <c r="J10" s="281" t="s">
        <v>51</v>
      </c>
      <c r="K10" s="281" t="s">
        <v>47</v>
      </c>
      <c r="L10" s="274" t="s">
        <v>52</v>
      </c>
      <c r="M10" s="272" t="s">
        <v>53</v>
      </c>
      <c r="N10" s="250">
        <v>5</v>
      </c>
      <c r="O10" s="250">
        <v>5</v>
      </c>
      <c r="P10" s="335" t="s">
        <v>54</v>
      </c>
      <c r="Q10" s="272" t="s">
        <v>55</v>
      </c>
      <c r="R10" s="274" t="s">
        <v>56</v>
      </c>
      <c r="S10" s="3"/>
      <c r="T10" s="3"/>
      <c r="U10" s="3"/>
      <c r="V10" s="3"/>
      <c r="W10" s="3"/>
      <c r="X10" s="3"/>
      <c r="Y10" s="3"/>
      <c r="Z10" s="3"/>
      <c r="AA10" s="3"/>
      <c r="AB10" s="3"/>
      <c r="AC10" s="108">
        <f>60000000-30000000</f>
        <v>30000000</v>
      </c>
      <c r="AD10" s="3"/>
      <c r="AE10" s="3"/>
      <c r="AF10" s="109">
        <f>+S10+T10+U10+V10+W10+X10+Y10+Z10+AA10+AB10+AC10+AD10+AE10</f>
        <v>30000000</v>
      </c>
    </row>
    <row r="11" spans="1:38" ht="142.5" customHeight="1" x14ac:dyDescent="0.2">
      <c r="A11" s="352"/>
      <c r="B11" s="355"/>
      <c r="C11" s="289"/>
      <c r="D11" s="290"/>
      <c r="E11" s="272" t="s">
        <v>47</v>
      </c>
      <c r="F11" s="337" t="s">
        <v>49</v>
      </c>
      <c r="G11" s="281" t="s">
        <v>57</v>
      </c>
      <c r="H11" s="272" t="s">
        <v>47</v>
      </c>
      <c r="I11" s="337" t="s">
        <v>58</v>
      </c>
      <c r="J11" s="281" t="s">
        <v>59</v>
      </c>
      <c r="K11" s="281" t="s">
        <v>47</v>
      </c>
      <c r="L11" s="274" t="s">
        <v>60</v>
      </c>
      <c r="M11" s="272" t="s">
        <v>53</v>
      </c>
      <c r="N11" s="250">
        <v>4</v>
      </c>
      <c r="O11" s="250">
        <v>4</v>
      </c>
      <c r="P11" s="335" t="s">
        <v>54</v>
      </c>
      <c r="Q11" s="272" t="s">
        <v>61</v>
      </c>
      <c r="R11" s="274" t="s">
        <v>62</v>
      </c>
      <c r="S11" s="3"/>
      <c r="T11" s="3"/>
      <c r="U11" s="3"/>
      <c r="V11" s="3"/>
      <c r="W11" s="3"/>
      <c r="X11" s="3"/>
      <c r="Y11" s="3"/>
      <c r="Z11" s="3"/>
      <c r="AA11" s="3"/>
      <c r="AB11" s="3"/>
      <c r="AC11" s="110">
        <f>31000000-15297860</f>
        <v>15702140</v>
      </c>
      <c r="AD11" s="3"/>
      <c r="AE11" s="3"/>
      <c r="AF11" s="109">
        <f>+S11+T11+U11+V11+W11+X11+Y11+Z11+AA11+AB11+AC11+AD11+AE11</f>
        <v>15702140</v>
      </c>
    </row>
    <row r="12" spans="1:38" ht="15.75" x14ac:dyDescent="0.2">
      <c r="A12" s="352"/>
      <c r="B12" s="355"/>
      <c r="C12" s="275">
        <v>42</v>
      </c>
      <c r="D12" s="106">
        <v>4502</v>
      </c>
      <c r="E12" s="158" t="s">
        <v>63</v>
      </c>
      <c r="F12" s="102"/>
      <c r="G12" s="103"/>
      <c r="H12" s="104"/>
      <c r="I12" s="102"/>
      <c r="J12" s="103"/>
      <c r="K12" s="103"/>
      <c r="L12" s="102"/>
      <c r="M12" s="105"/>
      <c r="N12" s="105"/>
      <c r="O12" s="103"/>
      <c r="P12" s="338"/>
      <c r="Q12" s="103"/>
      <c r="R12" s="102"/>
      <c r="S12" s="107">
        <f>SUM(S13)</f>
        <v>0</v>
      </c>
      <c r="T12" s="107">
        <f t="shared" ref="T12:AF12" si="3">SUM(T13)</f>
        <v>0</v>
      </c>
      <c r="U12" s="107">
        <f t="shared" si="3"/>
        <v>0</v>
      </c>
      <c r="V12" s="107">
        <f t="shared" si="3"/>
        <v>0</v>
      </c>
      <c r="W12" s="107">
        <f t="shared" si="3"/>
        <v>0</v>
      </c>
      <c r="X12" s="107">
        <f t="shared" si="3"/>
        <v>0</v>
      </c>
      <c r="Y12" s="107">
        <f t="shared" si="3"/>
        <v>0</v>
      </c>
      <c r="Z12" s="107">
        <f t="shared" si="3"/>
        <v>0</v>
      </c>
      <c r="AA12" s="107">
        <f t="shared" si="3"/>
        <v>0</v>
      </c>
      <c r="AB12" s="107">
        <f t="shared" si="3"/>
        <v>0</v>
      </c>
      <c r="AC12" s="107">
        <f t="shared" si="3"/>
        <v>30000000</v>
      </c>
      <c r="AD12" s="107">
        <f t="shared" si="3"/>
        <v>0</v>
      </c>
      <c r="AE12" s="107">
        <f t="shared" si="3"/>
        <v>0</v>
      </c>
      <c r="AF12" s="107">
        <f t="shared" si="3"/>
        <v>30000000</v>
      </c>
    </row>
    <row r="13" spans="1:38" ht="106.5" customHeight="1" x14ac:dyDescent="0.2">
      <c r="A13" s="353"/>
      <c r="B13" s="356"/>
      <c r="C13" s="289"/>
      <c r="D13" s="290"/>
      <c r="E13" s="272" t="s">
        <v>47</v>
      </c>
      <c r="F13" s="335" t="s">
        <v>64</v>
      </c>
      <c r="G13" s="272" t="s">
        <v>65</v>
      </c>
      <c r="H13" s="272" t="s">
        <v>47</v>
      </c>
      <c r="I13" s="337" t="s">
        <v>66</v>
      </c>
      <c r="J13" s="218" t="s">
        <v>67</v>
      </c>
      <c r="K13" s="218" t="s">
        <v>47</v>
      </c>
      <c r="L13" s="219" t="s">
        <v>68</v>
      </c>
      <c r="M13" s="272" t="s">
        <v>53</v>
      </c>
      <c r="N13" s="272">
        <v>1</v>
      </c>
      <c r="O13" s="135">
        <v>1</v>
      </c>
      <c r="P13" s="337" t="s">
        <v>69</v>
      </c>
      <c r="Q13" s="272" t="s">
        <v>70</v>
      </c>
      <c r="R13" s="274" t="s">
        <v>0</v>
      </c>
      <c r="S13" s="3"/>
      <c r="T13" s="3"/>
      <c r="U13" s="3"/>
      <c r="V13" s="3"/>
      <c r="W13" s="3"/>
      <c r="X13" s="3"/>
      <c r="Y13" s="3"/>
      <c r="Z13" s="3"/>
      <c r="AA13" s="3"/>
      <c r="AB13" s="3"/>
      <c r="AC13" s="111">
        <f>55122927.21+0.39-25122927.6</f>
        <v>30000000</v>
      </c>
      <c r="AD13" s="3"/>
      <c r="AE13" s="3"/>
      <c r="AF13" s="109">
        <f>+S13+T13+U13+V13+W13+X13+Y13+Z13+AA13+AB13+AC13+AD13+AE13</f>
        <v>30000000</v>
      </c>
    </row>
    <row r="14" spans="1:38" s="176" customFormat="1" ht="15.75" x14ac:dyDescent="0.2">
      <c r="A14" s="357"/>
      <c r="B14" s="358"/>
      <c r="C14" s="358"/>
      <c r="D14" s="359"/>
      <c r="E14" s="360"/>
      <c r="F14" s="360"/>
      <c r="G14" s="361"/>
      <c r="H14" s="361"/>
      <c r="I14" s="362"/>
      <c r="J14" s="363"/>
      <c r="K14" s="363"/>
      <c r="L14" s="362"/>
      <c r="M14" s="361"/>
      <c r="N14" s="361"/>
      <c r="O14" s="363"/>
      <c r="P14" s="361"/>
      <c r="Q14" s="361"/>
      <c r="R14" s="362"/>
      <c r="S14" s="364"/>
      <c r="T14" s="364"/>
      <c r="U14" s="364"/>
      <c r="V14" s="364"/>
      <c r="W14" s="364"/>
      <c r="X14" s="364"/>
      <c r="Y14" s="364"/>
      <c r="Z14" s="364"/>
      <c r="AA14" s="364"/>
      <c r="AB14" s="364"/>
      <c r="AC14" s="365"/>
      <c r="AD14" s="364"/>
      <c r="AE14" s="364"/>
      <c r="AF14" s="434"/>
    </row>
    <row r="15" spans="1:38" s="94" customFormat="1" ht="15.75" x14ac:dyDescent="0.25">
      <c r="A15" s="145" t="s">
        <v>71</v>
      </c>
      <c r="B15" s="145"/>
      <c r="C15" s="145"/>
      <c r="D15" s="146"/>
      <c r="E15" s="146"/>
      <c r="F15" s="147"/>
      <c r="G15" s="148"/>
      <c r="H15" s="92"/>
      <c r="I15" s="147"/>
      <c r="J15" s="148"/>
      <c r="K15" s="148"/>
      <c r="L15" s="147"/>
      <c r="M15" s="92"/>
      <c r="N15" s="92"/>
      <c r="O15" s="148"/>
      <c r="P15" s="339"/>
      <c r="Q15" s="148"/>
      <c r="R15" s="147"/>
      <c r="S15" s="112">
        <f t="shared" ref="S15:AF15" si="4">S16</f>
        <v>0</v>
      </c>
      <c r="T15" s="112">
        <f t="shared" si="4"/>
        <v>0</v>
      </c>
      <c r="U15" s="112">
        <f t="shared" si="4"/>
        <v>0</v>
      </c>
      <c r="V15" s="112">
        <f t="shared" si="4"/>
        <v>0</v>
      </c>
      <c r="W15" s="112">
        <f t="shared" si="4"/>
        <v>0</v>
      </c>
      <c r="X15" s="112">
        <f t="shared" si="4"/>
        <v>0</v>
      </c>
      <c r="Y15" s="112">
        <f t="shared" si="4"/>
        <v>0</v>
      </c>
      <c r="Z15" s="112">
        <f t="shared" si="4"/>
        <v>0</v>
      </c>
      <c r="AA15" s="112">
        <f t="shared" si="4"/>
        <v>0</v>
      </c>
      <c r="AB15" s="112">
        <f t="shared" si="4"/>
        <v>0</v>
      </c>
      <c r="AC15" s="112">
        <f t="shared" si="4"/>
        <v>677628511</v>
      </c>
      <c r="AD15" s="112">
        <f t="shared" si="4"/>
        <v>0</v>
      </c>
      <c r="AE15" s="112">
        <f t="shared" si="4"/>
        <v>0</v>
      </c>
      <c r="AF15" s="112">
        <f t="shared" si="4"/>
        <v>677628511</v>
      </c>
      <c r="AG15" s="401"/>
      <c r="AH15" s="401"/>
      <c r="AI15" s="401"/>
      <c r="AJ15" s="401"/>
      <c r="AK15" s="401"/>
      <c r="AL15" s="401"/>
    </row>
    <row r="16" spans="1:38" ht="15.75" x14ac:dyDescent="0.2">
      <c r="A16" s="366"/>
      <c r="B16" s="193">
        <v>4</v>
      </c>
      <c r="C16" s="95" t="s">
        <v>72</v>
      </c>
      <c r="D16" s="96"/>
      <c r="E16" s="96"/>
      <c r="F16" s="97"/>
      <c r="G16" s="98"/>
      <c r="H16" s="99"/>
      <c r="I16" s="97"/>
      <c r="J16" s="98"/>
      <c r="K16" s="98"/>
      <c r="L16" s="97"/>
      <c r="M16" s="100"/>
      <c r="N16" s="100"/>
      <c r="O16" s="98"/>
      <c r="P16" s="340"/>
      <c r="Q16" s="98"/>
      <c r="R16" s="97"/>
      <c r="S16" s="113">
        <f>S17+S19</f>
        <v>0</v>
      </c>
      <c r="T16" s="113">
        <f t="shared" ref="T16:AF16" si="5">T17+T19</f>
        <v>0</v>
      </c>
      <c r="U16" s="113">
        <f t="shared" si="5"/>
        <v>0</v>
      </c>
      <c r="V16" s="113">
        <f t="shared" si="5"/>
        <v>0</v>
      </c>
      <c r="W16" s="113">
        <f t="shared" si="5"/>
        <v>0</v>
      </c>
      <c r="X16" s="113">
        <f t="shared" si="5"/>
        <v>0</v>
      </c>
      <c r="Y16" s="113">
        <f t="shared" si="5"/>
        <v>0</v>
      </c>
      <c r="Z16" s="113">
        <f t="shared" si="5"/>
        <v>0</v>
      </c>
      <c r="AA16" s="113">
        <f t="shared" si="5"/>
        <v>0</v>
      </c>
      <c r="AB16" s="113">
        <f t="shared" si="5"/>
        <v>0</v>
      </c>
      <c r="AC16" s="113">
        <f t="shared" si="5"/>
        <v>677628511</v>
      </c>
      <c r="AD16" s="113">
        <f t="shared" si="5"/>
        <v>0</v>
      </c>
      <c r="AE16" s="113">
        <f t="shared" si="5"/>
        <v>0</v>
      </c>
      <c r="AF16" s="113">
        <f t="shared" si="5"/>
        <v>677628511</v>
      </c>
    </row>
    <row r="17" spans="1:38" ht="15.75" x14ac:dyDescent="0.2">
      <c r="A17" s="352"/>
      <c r="B17" s="354"/>
      <c r="C17" s="275">
        <v>42</v>
      </c>
      <c r="D17" s="106">
        <v>4502</v>
      </c>
      <c r="E17" s="275" t="s">
        <v>63</v>
      </c>
      <c r="F17" s="102"/>
      <c r="G17" s="103"/>
      <c r="H17" s="104"/>
      <c r="I17" s="102"/>
      <c r="J17" s="103"/>
      <c r="K17" s="103"/>
      <c r="L17" s="102"/>
      <c r="M17" s="105"/>
      <c r="N17" s="105"/>
      <c r="O17" s="103"/>
      <c r="P17" s="338"/>
      <c r="Q17" s="103"/>
      <c r="R17" s="102"/>
      <c r="S17" s="23">
        <f t="shared" ref="S17:AF17" si="6">S18</f>
        <v>0</v>
      </c>
      <c r="T17" s="23">
        <f t="shared" si="6"/>
        <v>0</v>
      </c>
      <c r="U17" s="23">
        <f t="shared" si="6"/>
        <v>0</v>
      </c>
      <c r="V17" s="23">
        <f t="shared" si="6"/>
        <v>0</v>
      </c>
      <c r="W17" s="23">
        <f t="shared" si="6"/>
        <v>0</v>
      </c>
      <c r="X17" s="23">
        <f t="shared" si="6"/>
        <v>0</v>
      </c>
      <c r="Y17" s="23">
        <f t="shared" si="6"/>
        <v>0</v>
      </c>
      <c r="Z17" s="23">
        <f t="shared" si="6"/>
        <v>0</v>
      </c>
      <c r="AA17" s="23">
        <f t="shared" si="6"/>
        <v>0</v>
      </c>
      <c r="AB17" s="23">
        <f t="shared" si="6"/>
        <v>0</v>
      </c>
      <c r="AC17" s="23">
        <f t="shared" si="6"/>
        <v>102285179</v>
      </c>
      <c r="AD17" s="23">
        <f t="shared" si="6"/>
        <v>0</v>
      </c>
      <c r="AE17" s="23">
        <f t="shared" si="6"/>
        <v>0</v>
      </c>
      <c r="AF17" s="23">
        <f t="shared" si="6"/>
        <v>102285179</v>
      </c>
    </row>
    <row r="18" spans="1:38" ht="93.75" customHeight="1" x14ac:dyDescent="0.2">
      <c r="A18" s="352"/>
      <c r="B18" s="355"/>
      <c r="C18" s="291"/>
      <c r="D18" s="272"/>
      <c r="E18" s="272" t="s">
        <v>47</v>
      </c>
      <c r="F18" s="273" t="s">
        <v>73</v>
      </c>
      <c r="G18" s="272" t="s">
        <v>74</v>
      </c>
      <c r="H18" s="272" t="s">
        <v>47</v>
      </c>
      <c r="I18" s="273" t="s">
        <v>75</v>
      </c>
      <c r="J18" s="218" t="s">
        <v>76</v>
      </c>
      <c r="K18" s="218" t="s">
        <v>1365</v>
      </c>
      <c r="L18" s="219" t="s">
        <v>77</v>
      </c>
      <c r="M18" s="272" t="s">
        <v>53</v>
      </c>
      <c r="N18" s="272">
        <v>1</v>
      </c>
      <c r="O18" s="135">
        <v>1</v>
      </c>
      <c r="P18" s="337" t="s">
        <v>69</v>
      </c>
      <c r="Q18" s="272" t="s">
        <v>78</v>
      </c>
      <c r="R18" s="273" t="s">
        <v>79</v>
      </c>
      <c r="S18" s="3"/>
      <c r="T18" s="3"/>
      <c r="U18" s="3"/>
      <c r="V18" s="3"/>
      <c r="W18" s="3"/>
      <c r="X18" s="3"/>
      <c r="Y18" s="3"/>
      <c r="Z18" s="3"/>
      <c r="AA18" s="3"/>
      <c r="AB18" s="3"/>
      <c r="AC18" s="9">
        <f>200000000-97714821</f>
        <v>102285179</v>
      </c>
      <c r="AD18" s="3"/>
      <c r="AE18" s="3"/>
      <c r="AF18" s="109">
        <f>+S18+T18+U18+V18+W18+X18+Y18+Z18+AA18+AB18+AC18+AD18+AE18</f>
        <v>102285179</v>
      </c>
    </row>
    <row r="19" spans="1:38" ht="15.75" x14ac:dyDescent="0.2">
      <c r="A19" s="352"/>
      <c r="B19" s="355"/>
      <c r="C19" s="275">
        <v>45</v>
      </c>
      <c r="D19" s="106" t="s">
        <v>47</v>
      </c>
      <c r="E19" s="275" t="s">
        <v>80</v>
      </c>
      <c r="F19" s="102"/>
      <c r="G19" s="103"/>
      <c r="H19" s="104"/>
      <c r="I19" s="102"/>
      <c r="J19" s="103"/>
      <c r="K19" s="103"/>
      <c r="L19" s="102"/>
      <c r="M19" s="105"/>
      <c r="N19" s="105"/>
      <c r="O19" s="103"/>
      <c r="P19" s="338"/>
      <c r="Q19" s="103"/>
      <c r="R19" s="102"/>
      <c r="S19" s="23">
        <f t="shared" ref="S19:AF19" si="7">SUM(S20:S30)</f>
        <v>0</v>
      </c>
      <c r="T19" s="23">
        <f t="shared" si="7"/>
        <v>0</v>
      </c>
      <c r="U19" s="23">
        <f t="shared" si="7"/>
        <v>0</v>
      </c>
      <c r="V19" s="23">
        <f t="shared" si="7"/>
        <v>0</v>
      </c>
      <c r="W19" s="23">
        <f t="shared" si="7"/>
        <v>0</v>
      </c>
      <c r="X19" s="23">
        <f t="shared" si="7"/>
        <v>0</v>
      </c>
      <c r="Y19" s="23">
        <f t="shared" si="7"/>
        <v>0</v>
      </c>
      <c r="Z19" s="23">
        <f t="shared" si="7"/>
        <v>0</v>
      </c>
      <c r="AA19" s="23">
        <f t="shared" si="7"/>
        <v>0</v>
      </c>
      <c r="AB19" s="23">
        <f t="shared" si="7"/>
        <v>0</v>
      </c>
      <c r="AC19" s="23">
        <f t="shared" si="7"/>
        <v>575343332</v>
      </c>
      <c r="AD19" s="23">
        <f t="shared" si="7"/>
        <v>0</v>
      </c>
      <c r="AE19" s="23">
        <f t="shared" si="7"/>
        <v>0</v>
      </c>
      <c r="AF19" s="23">
        <f t="shared" si="7"/>
        <v>575343332</v>
      </c>
    </row>
    <row r="20" spans="1:38" ht="138.75" customHeight="1" x14ac:dyDescent="0.2">
      <c r="A20" s="352"/>
      <c r="B20" s="355"/>
      <c r="C20" s="291"/>
      <c r="D20" s="272"/>
      <c r="E20" s="272" t="s">
        <v>47</v>
      </c>
      <c r="F20" s="274" t="s">
        <v>49</v>
      </c>
      <c r="G20" s="281" t="s">
        <v>81</v>
      </c>
      <c r="H20" s="272" t="s">
        <v>47</v>
      </c>
      <c r="I20" s="273" t="s">
        <v>1375</v>
      </c>
      <c r="J20" s="272" t="s">
        <v>82</v>
      </c>
      <c r="K20" s="272" t="s">
        <v>1365</v>
      </c>
      <c r="L20" s="273" t="s">
        <v>83</v>
      </c>
      <c r="M20" s="282" t="s">
        <v>53</v>
      </c>
      <c r="N20" s="282">
        <v>1</v>
      </c>
      <c r="O20" s="272">
        <v>1</v>
      </c>
      <c r="P20" s="335" t="s">
        <v>54</v>
      </c>
      <c r="Q20" s="272" t="s">
        <v>84</v>
      </c>
      <c r="R20" s="273" t="s">
        <v>85</v>
      </c>
      <c r="S20" s="114"/>
      <c r="T20" s="114"/>
      <c r="U20" s="114"/>
      <c r="V20" s="114"/>
      <c r="W20" s="114"/>
      <c r="X20" s="114"/>
      <c r="Y20" s="114"/>
      <c r="Z20" s="114"/>
      <c r="AA20" s="114"/>
      <c r="AB20" s="114"/>
      <c r="AC20" s="21">
        <v>153233333</v>
      </c>
      <c r="AD20" s="114"/>
      <c r="AE20" s="114"/>
      <c r="AF20" s="109">
        <f t="shared" ref="AF20:AF30" si="8">+S20+T20+U20+V20+W20+X20+Y20+Z20+AA20+AB20+AC20+AD20+AE20</f>
        <v>153233333</v>
      </c>
    </row>
    <row r="21" spans="1:38" s="115" customFormat="1" ht="151.5" customHeight="1" x14ac:dyDescent="0.2">
      <c r="A21" s="367"/>
      <c r="B21" s="368"/>
      <c r="C21" s="2"/>
      <c r="D21" s="281"/>
      <c r="E21" s="272" t="s">
        <v>47</v>
      </c>
      <c r="F21" s="274" t="s">
        <v>49</v>
      </c>
      <c r="G21" s="281" t="s">
        <v>81</v>
      </c>
      <c r="H21" s="272" t="s">
        <v>47</v>
      </c>
      <c r="I21" s="273" t="s">
        <v>86</v>
      </c>
      <c r="J21" s="272" t="s">
        <v>82</v>
      </c>
      <c r="K21" s="272" t="s">
        <v>1365</v>
      </c>
      <c r="L21" s="273" t="s">
        <v>83</v>
      </c>
      <c r="M21" s="292" t="s">
        <v>53</v>
      </c>
      <c r="N21" s="293">
        <v>4</v>
      </c>
      <c r="O21" s="272">
        <v>4</v>
      </c>
      <c r="P21" s="335" t="s">
        <v>54</v>
      </c>
      <c r="Q21" s="272" t="s">
        <v>87</v>
      </c>
      <c r="R21" s="273" t="s">
        <v>88</v>
      </c>
      <c r="S21" s="294"/>
      <c r="T21" s="294"/>
      <c r="U21" s="294"/>
      <c r="V21" s="294"/>
      <c r="W21" s="294"/>
      <c r="X21" s="294"/>
      <c r="Y21" s="294"/>
      <c r="Z21" s="294"/>
      <c r="AA21" s="294"/>
      <c r="AB21" s="294"/>
      <c r="AC21" s="295">
        <f>85000000+120000000-20000000-30000000-61083333</f>
        <v>93916667</v>
      </c>
      <c r="AD21" s="294"/>
      <c r="AE21" s="294"/>
      <c r="AF21" s="109">
        <f t="shared" si="8"/>
        <v>93916667</v>
      </c>
    </row>
    <row r="22" spans="1:38" ht="66" customHeight="1" x14ac:dyDescent="0.2">
      <c r="A22" s="352"/>
      <c r="B22" s="355"/>
      <c r="C22" s="291"/>
      <c r="D22" s="272"/>
      <c r="E22" s="272" t="s">
        <v>47</v>
      </c>
      <c r="F22" s="274" t="s">
        <v>49</v>
      </c>
      <c r="G22" s="281" t="s">
        <v>89</v>
      </c>
      <c r="H22" s="272" t="s">
        <v>47</v>
      </c>
      <c r="I22" s="273" t="s">
        <v>90</v>
      </c>
      <c r="J22" s="272" t="s">
        <v>91</v>
      </c>
      <c r="K22" s="272" t="s">
        <v>1365</v>
      </c>
      <c r="L22" s="273" t="s">
        <v>92</v>
      </c>
      <c r="M22" s="4" t="s">
        <v>53</v>
      </c>
      <c r="N22" s="5">
        <v>1</v>
      </c>
      <c r="O22" s="272">
        <v>1</v>
      </c>
      <c r="P22" s="335" t="s">
        <v>54</v>
      </c>
      <c r="Q22" s="272" t="s">
        <v>93</v>
      </c>
      <c r="R22" s="273" t="s">
        <v>94</v>
      </c>
      <c r="S22" s="3"/>
      <c r="T22" s="3"/>
      <c r="U22" s="3"/>
      <c r="V22" s="3"/>
      <c r="W22" s="3"/>
      <c r="X22" s="3"/>
      <c r="Y22" s="3"/>
      <c r="Z22" s="3"/>
      <c r="AA22" s="3"/>
      <c r="AB22" s="3"/>
      <c r="AC22" s="9">
        <f>40000000-15093334</f>
        <v>24906666</v>
      </c>
      <c r="AD22" s="3"/>
      <c r="AE22" s="3"/>
      <c r="AF22" s="109">
        <f t="shared" si="8"/>
        <v>24906666</v>
      </c>
    </row>
    <row r="23" spans="1:38" ht="86.25" customHeight="1" x14ac:dyDescent="0.2">
      <c r="A23" s="352"/>
      <c r="B23" s="355"/>
      <c r="C23" s="291"/>
      <c r="D23" s="272"/>
      <c r="E23" s="272" t="s">
        <v>47</v>
      </c>
      <c r="F23" s="274" t="s">
        <v>49</v>
      </c>
      <c r="G23" s="281" t="s">
        <v>95</v>
      </c>
      <c r="H23" s="272" t="s">
        <v>47</v>
      </c>
      <c r="I23" s="273" t="s">
        <v>96</v>
      </c>
      <c r="J23" s="272" t="s">
        <v>97</v>
      </c>
      <c r="K23" s="272" t="s">
        <v>1365</v>
      </c>
      <c r="L23" s="273" t="s">
        <v>98</v>
      </c>
      <c r="M23" s="4" t="s">
        <v>53</v>
      </c>
      <c r="N23" s="5">
        <v>1</v>
      </c>
      <c r="O23" s="272">
        <v>1</v>
      </c>
      <c r="P23" s="335" t="s">
        <v>54</v>
      </c>
      <c r="Q23" s="272" t="s">
        <v>99</v>
      </c>
      <c r="R23" s="273" t="s">
        <v>1376</v>
      </c>
      <c r="S23" s="3"/>
      <c r="T23" s="3"/>
      <c r="U23" s="3"/>
      <c r="V23" s="3"/>
      <c r="W23" s="3"/>
      <c r="X23" s="3"/>
      <c r="Y23" s="3"/>
      <c r="Z23" s="3"/>
      <c r="AA23" s="3"/>
      <c r="AB23" s="3"/>
      <c r="AC23" s="9">
        <f>300000000-50000000-101213334</f>
        <v>148786666</v>
      </c>
      <c r="AD23" s="3"/>
      <c r="AE23" s="3"/>
      <c r="AF23" s="109">
        <f t="shared" si="8"/>
        <v>148786666</v>
      </c>
    </row>
    <row r="24" spans="1:38" ht="119.25" customHeight="1" x14ac:dyDescent="0.2">
      <c r="A24" s="352"/>
      <c r="B24" s="355"/>
      <c r="C24" s="291"/>
      <c r="D24" s="272"/>
      <c r="E24" s="272" t="s">
        <v>47</v>
      </c>
      <c r="F24" s="273" t="s">
        <v>101</v>
      </c>
      <c r="G24" s="272" t="s">
        <v>102</v>
      </c>
      <c r="H24" s="272" t="s">
        <v>47</v>
      </c>
      <c r="I24" s="273" t="s">
        <v>103</v>
      </c>
      <c r="J24" s="272" t="s">
        <v>104</v>
      </c>
      <c r="K24" s="272" t="s">
        <v>1365</v>
      </c>
      <c r="L24" s="273" t="s">
        <v>105</v>
      </c>
      <c r="M24" s="4" t="s">
        <v>53</v>
      </c>
      <c r="N24" s="5">
        <v>12</v>
      </c>
      <c r="O24" s="272">
        <v>12</v>
      </c>
      <c r="P24" s="442" t="s">
        <v>54</v>
      </c>
      <c r="Q24" s="441" t="s">
        <v>106</v>
      </c>
      <c r="R24" s="442" t="s">
        <v>107</v>
      </c>
      <c r="S24" s="3"/>
      <c r="T24" s="3"/>
      <c r="U24" s="3"/>
      <c r="V24" s="3"/>
      <c r="W24" s="3"/>
      <c r="X24" s="3"/>
      <c r="Y24" s="3"/>
      <c r="Z24" s="3"/>
      <c r="AA24" s="3"/>
      <c r="AB24" s="3"/>
      <c r="AC24" s="9">
        <f>83325000-45825000-3000000</f>
        <v>34500000</v>
      </c>
      <c r="AD24" s="3"/>
      <c r="AE24" s="3"/>
      <c r="AF24" s="109">
        <f t="shared" si="8"/>
        <v>34500000</v>
      </c>
    </row>
    <row r="25" spans="1:38" ht="80.25" customHeight="1" x14ac:dyDescent="0.2">
      <c r="A25" s="352"/>
      <c r="B25" s="355"/>
      <c r="C25" s="291"/>
      <c r="D25" s="272"/>
      <c r="E25" s="272" t="s">
        <v>47</v>
      </c>
      <c r="F25" s="273" t="s">
        <v>101</v>
      </c>
      <c r="G25" s="272" t="s">
        <v>108</v>
      </c>
      <c r="H25" s="272" t="s">
        <v>47</v>
      </c>
      <c r="I25" s="273" t="s">
        <v>109</v>
      </c>
      <c r="J25" s="272" t="s">
        <v>110</v>
      </c>
      <c r="K25" s="272" t="s">
        <v>1365</v>
      </c>
      <c r="L25" s="273" t="s">
        <v>111</v>
      </c>
      <c r="M25" s="4" t="s">
        <v>53</v>
      </c>
      <c r="N25" s="5">
        <v>12</v>
      </c>
      <c r="O25" s="272">
        <v>12</v>
      </c>
      <c r="P25" s="442"/>
      <c r="Q25" s="441"/>
      <c r="R25" s="442"/>
      <c r="S25" s="3"/>
      <c r="T25" s="3"/>
      <c r="U25" s="3"/>
      <c r="V25" s="3"/>
      <c r="W25" s="3"/>
      <c r="X25" s="3"/>
      <c r="Y25" s="3"/>
      <c r="Z25" s="3"/>
      <c r="AA25" s="3"/>
      <c r="AB25" s="3"/>
      <c r="AC25" s="9">
        <v>15000000</v>
      </c>
      <c r="AD25" s="3"/>
      <c r="AE25" s="3"/>
      <c r="AF25" s="109">
        <f t="shared" si="8"/>
        <v>15000000</v>
      </c>
    </row>
    <row r="26" spans="1:38" ht="83.25" customHeight="1" x14ac:dyDescent="0.2">
      <c r="A26" s="352"/>
      <c r="B26" s="355"/>
      <c r="C26" s="291"/>
      <c r="D26" s="272"/>
      <c r="E26" s="272" t="s">
        <v>47</v>
      </c>
      <c r="F26" s="273" t="s">
        <v>101</v>
      </c>
      <c r="G26" s="272" t="s">
        <v>112</v>
      </c>
      <c r="H26" s="272" t="s">
        <v>47</v>
      </c>
      <c r="I26" s="273" t="s">
        <v>113</v>
      </c>
      <c r="J26" s="272" t="s">
        <v>114</v>
      </c>
      <c r="K26" s="272" t="s">
        <v>1365</v>
      </c>
      <c r="L26" s="273" t="s">
        <v>111</v>
      </c>
      <c r="M26" s="4" t="s">
        <v>53</v>
      </c>
      <c r="N26" s="5">
        <v>12</v>
      </c>
      <c r="O26" s="272">
        <v>12</v>
      </c>
      <c r="P26" s="442"/>
      <c r="Q26" s="441"/>
      <c r="R26" s="442"/>
      <c r="S26" s="3"/>
      <c r="T26" s="3"/>
      <c r="U26" s="3"/>
      <c r="V26" s="3"/>
      <c r="W26" s="3"/>
      <c r="X26" s="3"/>
      <c r="Y26" s="3"/>
      <c r="Z26" s="3"/>
      <c r="AA26" s="3"/>
      <c r="AB26" s="3"/>
      <c r="AC26" s="9">
        <f>23000000-5000000-3000000</f>
        <v>15000000</v>
      </c>
      <c r="AD26" s="3"/>
      <c r="AE26" s="3"/>
      <c r="AF26" s="109">
        <f t="shared" si="8"/>
        <v>15000000</v>
      </c>
    </row>
    <row r="27" spans="1:38" ht="109.5" customHeight="1" x14ac:dyDescent="0.2">
      <c r="A27" s="352"/>
      <c r="B27" s="355"/>
      <c r="C27" s="291"/>
      <c r="D27" s="272"/>
      <c r="E27" s="272" t="s">
        <v>47</v>
      </c>
      <c r="F27" s="274" t="s">
        <v>101</v>
      </c>
      <c r="G27" s="220" t="s">
        <v>115</v>
      </c>
      <c r="H27" s="272" t="s">
        <v>47</v>
      </c>
      <c r="I27" s="273" t="s">
        <v>116</v>
      </c>
      <c r="J27" s="220" t="s">
        <v>117</v>
      </c>
      <c r="K27" s="272" t="s">
        <v>1365</v>
      </c>
      <c r="L27" s="219" t="s">
        <v>111</v>
      </c>
      <c r="M27" s="4" t="s">
        <v>53</v>
      </c>
      <c r="N27" s="5">
        <v>12</v>
      </c>
      <c r="O27" s="272">
        <v>12</v>
      </c>
      <c r="P27" s="442"/>
      <c r="Q27" s="441"/>
      <c r="R27" s="442"/>
      <c r="S27" s="3"/>
      <c r="T27" s="3"/>
      <c r="U27" s="3"/>
      <c r="V27" s="3"/>
      <c r="W27" s="3"/>
      <c r="X27" s="3"/>
      <c r="Y27" s="3"/>
      <c r="Z27" s="3"/>
      <c r="AA27" s="3"/>
      <c r="AB27" s="3"/>
      <c r="AC27" s="9">
        <f>45000000-18000000-3000000</f>
        <v>24000000</v>
      </c>
      <c r="AD27" s="3"/>
      <c r="AE27" s="3"/>
      <c r="AF27" s="109">
        <f t="shared" si="8"/>
        <v>24000000</v>
      </c>
    </row>
    <row r="28" spans="1:38" ht="105" customHeight="1" x14ac:dyDescent="0.2">
      <c r="A28" s="352"/>
      <c r="B28" s="355"/>
      <c r="C28" s="291"/>
      <c r="D28" s="272"/>
      <c r="E28" s="272" t="s">
        <v>47</v>
      </c>
      <c r="F28" s="274" t="s">
        <v>101</v>
      </c>
      <c r="G28" s="296" t="s">
        <v>118</v>
      </c>
      <c r="H28" s="272" t="s">
        <v>47</v>
      </c>
      <c r="I28" s="273" t="s">
        <v>119</v>
      </c>
      <c r="J28" s="272" t="s">
        <v>120</v>
      </c>
      <c r="K28" s="272" t="s">
        <v>1365</v>
      </c>
      <c r="L28" s="273" t="s">
        <v>111</v>
      </c>
      <c r="M28" s="4" t="s">
        <v>53</v>
      </c>
      <c r="N28" s="5">
        <v>12</v>
      </c>
      <c r="O28" s="272">
        <v>12</v>
      </c>
      <c r="P28" s="442"/>
      <c r="Q28" s="441"/>
      <c r="R28" s="442"/>
      <c r="S28" s="3"/>
      <c r="T28" s="3"/>
      <c r="U28" s="3"/>
      <c r="V28" s="3"/>
      <c r="W28" s="3"/>
      <c r="X28" s="3"/>
      <c r="Y28" s="3"/>
      <c r="Z28" s="3"/>
      <c r="AA28" s="3"/>
      <c r="AB28" s="3"/>
      <c r="AC28" s="9">
        <f>23000000-5000000-3000000</f>
        <v>15000000</v>
      </c>
      <c r="AD28" s="3"/>
      <c r="AE28" s="3"/>
      <c r="AF28" s="109">
        <f t="shared" si="8"/>
        <v>15000000</v>
      </c>
    </row>
    <row r="29" spans="1:38" ht="93.75" customHeight="1" x14ac:dyDescent="0.2">
      <c r="A29" s="352"/>
      <c r="B29" s="355"/>
      <c r="C29" s="291"/>
      <c r="D29" s="272"/>
      <c r="E29" s="272" t="s">
        <v>47</v>
      </c>
      <c r="F29" s="273" t="s">
        <v>101</v>
      </c>
      <c r="G29" s="272" t="s">
        <v>121</v>
      </c>
      <c r="H29" s="272" t="s">
        <v>47</v>
      </c>
      <c r="I29" s="273" t="s">
        <v>122</v>
      </c>
      <c r="J29" s="272" t="s">
        <v>123</v>
      </c>
      <c r="K29" s="272" t="s">
        <v>1365</v>
      </c>
      <c r="L29" s="273" t="s">
        <v>111</v>
      </c>
      <c r="M29" s="4" t="s">
        <v>53</v>
      </c>
      <c r="N29" s="5">
        <v>12</v>
      </c>
      <c r="O29" s="272">
        <v>12</v>
      </c>
      <c r="P29" s="442"/>
      <c r="Q29" s="441"/>
      <c r="R29" s="442"/>
      <c r="S29" s="3"/>
      <c r="T29" s="3"/>
      <c r="U29" s="3"/>
      <c r="V29" s="3"/>
      <c r="W29" s="3"/>
      <c r="X29" s="3"/>
      <c r="Y29" s="3"/>
      <c r="Z29" s="3"/>
      <c r="AA29" s="3"/>
      <c r="AB29" s="3"/>
      <c r="AC29" s="9">
        <f>17312522.3+687478-0.3-3000000</f>
        <v>15000000</v>
      </c>
      <c r="AD29" s="3"/>
      <c r="AE29" s="3"/>
      <c r="AF29" s="109">
        <f t="shared" si="8"/>
        <v>15000000</v>
      </c>
    </row>
    <row r="30" spans="1:38" ht="99.75" customHeight="1" x14ac:dyDescent="0.2">
      <c r="A30" s="353"/>
      <c r="B30" s="369"/>
      <c r="C30" s="297"/>
      <c r="D30" s="282"/>
      <c r="E30" s="272" t="s">
        <v>47</v>
      </c>
      <c r="F30" s="274" t="s">
        <v>49</v>
      </c>
      <c r="G30" s="218" t="s">
        <v>50</v>
      </c>
      <c r="H30" s="272" t="s">
        <v>47</v>
      </c>
      <c r="I30" s="273" t="s">
        <v>1374</v>
      </c>
      <c r="J30" s="272" t="s">
        <v>51</v>
      </c>
      <c r="K30" s="272" t="s">
        <v>47</v>
      </c>
      <c r="L30" s="273" t="s">
        <v>52</v>
      </c>
      <c r="M30" s="4" t="s">
        <v>53</v>
      </c>
      <c r="N30" s="5">
        <v>18</v>
      </c>
      <c r="O30" s="272">
        <v>18</v>
      </c>
      <c r="P30" s="335" t="s">
        <v>54</v>
      </c>
      <c r="Q30" s="272" t="s">
        <v>124</v>
      </c>
      <c r="R30" s="273" t="s">
        <v>125</v>
      </c>
      <c r="S30" s="117"/>
      <c r="T30" s="117"/>
      <c r="U30" s="117"/>
      <c r="V30" s="117"/>
      <c r="W30" s="117"/>
      <c r="X30" s="117"/>
      <c r="Y30" s="117"/>
      <c r="Z30" s="117"/>
      <c r="AA30" s="117"/>
      <c r="AB30" s="117"/>
      <c r="AC30" s="9">
        <f>73658667-37658667</f>
        <v>36000000</v>
      </c>
      <c r="AD30" s="117"/>
      <c r="AE30" s="117"/>
      <c r="AF30" s="109">
        <f t="shared" si="8"/>
        <v>36000000</v>
      </c>
    </row>
    <row r="31" spans="1:38" s="176" customFormat="1" ht="15.75" x14ac:dyDescent="0.2">
      <c r="A31" s="357"/>
      <c r="B31" s="358"/>
      <c r="C31" s="358"/>
      <c r="D31" s="359"/>
      <c r="E31" s="360"/>
      <c r="F31" s="360"/>
      <c r="G31" s="361"/>
      <c r="H31" s="361"/>
      <c r="I31" s="362"/>
      <c r="J31" s="363"/>
      <c r="K31" s="363"/>
      <c r="L31" s="362"/>
      <c r="M31" s="361"/>
      <c r="N31" s="361"/>
      <c r="O31" s="363"/>
      <c r="P31" s="361"/>
      <c r="Q31" s="361"/>
      <c r="R31" s="362"/>
      <c r="S31" s="364"/>
      <c r="T31" s="364"/>
      <c r="U31" s="364"/>
      <c r="V31" s="364"/>
      <c r="W31" s="364"/>
      <c r="X31" s="364"/>
      <c r="Y31" s="364"/>
      <c r="Z31" s="364"/>
      <c r="AA31" s="364"/>
      <c r="AB31" s="364"/>
      <c r="AC31" s="365"/>
      <c r="AD31" s="364"/>
      <c r="AE31" s="364"/>
      <c r="AF31" s="434"/>
    </row>
    <row r="32" spans="1:38" ht="15.75" x14ac:dyDescent="0.2">
      <c r="A32" s="145" t="s">
        <v>1361</v>
      </c>
      <c r="B32" s="145"/>
      <c r="C32" s="145"/>
      <c r="D32" s="146"/>
      <c r="E32" s="146"/>
      <c r="F32" s="147"/>
      <c r="G32" s="148"/>
      <c r="H32" s="92"/>
      <c r="I32" s="147"/>
      <c r="J32" s="148"/>
      <c r="K32" s="148"/>
      <c r="L32" s="147"/>
      <c r="M32" s="92"/>
      <c r="N32" s="92"/>
      <c r="O32" s="148"/>
      <c r="P32" s="339"/>
      <c r="Q32" s="148"/>
      <c r="R32" s="147"/>
      <c r="S32" s="124">
        <f>S33</f>
        <v>0</v>
      </c>
      <c r="T32" s="124">
        <f t="shared" ref="T32:AF33" si="9">T33</f>
        <v>0</v>
      </c>
      <c r="U32" s="124">
        <f t="shared" si="9"/>
        <v>0</v>
      </c>
      <c r="V32" s="124">
        <f t="shared" si="9"/>
        <v>0</v>
      </c>
      <c r="W32" s="124">
        <f t="shared" si="9"/>
        <v>0</v>
      </c>
      <c r="X32" s="124">
        <f t="shared" si="9"/>
        <v>0</v>
      </c>
      <c r="Y32" s="124">
        <f t="shared" si="9"/>
        <v>0</v>
      </c>
      <c r="Z32" s="124">
        <f t="shared" si="9"/>
        <v>0</v>
      </c>
      <c r="AA32" s="124">
        <f t="shared" si="9"/>
        <v>0</v>
      </c>
      <c r="AB32" s="124">
        <f t="shared" si="9"/>
        <v>0</v>
      </c>
      <c r="AC32" s="124">
        <f t="shared" si="9"/>
        <v>2291134000</v>
      </c>
      <c r="AD32" s="124">
        <f t="shared" si="9"/>
        <v>0</v>
      </c>
      <c r="AE32" s="124">
        <f t="shared" si="9"/>
        <v>250000000</v>
      </c>
      <c r="AF32" s="124">
        <f t="shared" si="9"/>
        <v>2541134000</v>
      </c>
      <c r="AG32" s="401"/>
      <c r="AH32" s="401"/>
      <c r="AI32" s="401"/>
      <c r="AJ32" s="401"/>
      <c r="AK32" s="401"/>
      <c r="AL32" s="401"/>
    </row>
    <row r="33" spans="1:38" ht="15.75" x14ac:dyDescent="0.2">
      <c r="A33" s="366"/>
      <c r="B33" s="193">
        <v>4</v>
      </c>
      <c r="C33" s="95" t="s">
        <v>72</v>
      </c>
      <c r="D33" s="96"/>
      <c r="E33" s="96"/>
      <c r="F33" s="97"/>
      <c r="G33" s="98"/>
      <c r="H33" s="99"/>
      <c r="I33" s="97"/>
      <c r="J33" s="98"/>
      <c r="K33" s="98"/>
      <c r="L33" s="97"/>
      <c r="M33" s="100"/>
      <c r="N33" s="100"/>
      <c r="O33" s="98"/>
      <c r="P33" s="340"/>
      <c r="Q33" s="98"/>
      <c r="R33" s="97"/>
      <c r="S33" s="101">
        <f>S34</f>
        <v>0</v>
      </c>
      <c r="T33" s="101">
        <f t="shared" si="9"/>
        <v>0</v>
      </c>
      <c r="U33" s="101">
        <f t="shared" si="9"/>
        <v>0</v>
      </c>
      <c r="V33" s="101">
        <f t="shared" si="9"/>
        <v>0</v>
      </c>
      <c r="W33" s="101">
        <f t="shared" si="9"/>
        <v>0</v>
      </c>
      <c r="X33" s="101">
        <f t="shared" si="9"/>
        <v>0</v>
      </c>
      <c r="Y33" s="101">
        <f t="shared" si="9"/>
        <v>0</v>
      </c>
      <c r="Z33" s="101">
        <f t="shared" si="9"/>
        <v>0</v>
      </c>
      <c r="AA33" s="101">
        <f t="shared" si="9"/>
        <v>0</v>
      </c>
      <c r="AB33" s="101">
        <f t="shared" si="9"/>
        <v>0</v>
      </c>
      <c r="AC33" s="101">
        <f t="shared" si="9"/>
        <v>2291134000</v>
      </c>
      <c r="AD33" s="101">
        <f t="shared" si="9"/>
        <v>0</v>
      </c>
      <c r="AE33" s="101">
        <f t="shared" si="9"/>
        <v>250000000</v>
      </c>
      <c r="AF33" s="101">
        <f t="shared" si="9"/>
        <v>2541134000</v>
      </c>
    </row>
    <row r="34" spans="1:38" ht="15.75" customHeight="1" x14ac:dyDescent="0.2">
      <c r="A34" s="352"/>
      <c r="B34" s="354"/>
      <c r="C34" s="131">
        <v>45</v>
      </c>
      <c r="D34" s="103" t="s">
        <v>47</v>
      </c>
      <c r="E34" s="275" t="s">
        <v>48</v>
      </c>
      <c r="F34" s="153"/>
      <c r="G34" s="153"/>
      <c r="H34" s="153"/>
      <c r="I34" s="153"/>
      <c r="J34" s="153"/>
      <c r="K34" s="153"/>
      <c r="L34" s="153"/>
      <c r="M34" s="153"/>
      <c r="N34" s="153"/>
      <c r="O34" s="153"/>
      <c r="P34" s="102"/>
      <c r="Q34" s="103"/>
      <c r="R34" s="102"/>
      <c r="S34" s="107">
        <f>SUM(S35:S36)</f>
        <v>0</v>
      </c>
      <c r="T34" s="107">
        <f t="shared" ref="T34:AF34" si="10">SUM(T35:T36)</f>
        <v>0</v>
      </c>
      <c r="U34" s="107">
        <f t="shared" si="10"/>
        <v>0</v>
      </c>
      <c r="V34" s="107">
        <f t="shared" si="10"/>
        <v>0</v>
      </c>
      <c r="W34" s="107">
        <f t="shared" si="10"/>
        <v>0</v>
      </c>
      <c r="X34" s="107">
        <f t="shared" si="10"/>
        <v>0</v>
      </c>
      <c r="Y34" s="107">
        <f t="shared" si="10"/>
        <v>0</v>
      </c>
      <c r="Z34" s="107">
        <f t="shared" si="10"/>
        <v>0</v>
      </c>
      <c r="AA34" s="107">
        <f t="shared" si="10"/>
        <v>0</v>
      </c>
      <c r="AB34" s="107">
        <f t="shared" si="10"/>
        <v>0</v>
      </c>
      <c r="AC34" s="107">
        <f t="shared" si="10"/>
        <v>2291134000</v>
      </c>
      <c r="AD34" s="107">
        <f t="shared" si="10"/>
        <v>0</v>
      </c>
      <c r="AE34" s="107">
        <f t="shared" si="10"/>
        <v>250000000</v>
      </c>
      <c r="AF34" s="107">
        <f t="shared" si="10"/>
        <v>2541134000</v>
      </c>
    </row>
    <row r="35" spans="1:38" ht="69.75" customHeight="1" x14ac:dyDescent="0.2">
      <c r="A35" s="352"/>
      <c r="B35" s="355"/>
      <c r="C35" s="289"/>
      <c r="D35" s="290"/>
      <c r="E35" s="272" t="s">
        <v>47</v>
      </c>
      <c r="F35" s="273" t="s">
        <v>1362</v>
      </c>
      <c r="G35" s="220" t="s">
        <v>126</v>
      </c>
      <c r="H35" s="272" t="s">
        <v>47</v>
      </c>
      <c r="I35" s="125" t="s">
        <v>127</v>
      </c>
      <c r="J35" s="220" t="s">
        <v>128</v>
      </c>
      <c r="K35" s="218" t="s">
        <v>47</v>
      </c>
      <c r="L35" s="219" t="s">
        <v>129</v>
      </c>
      <c r="M35" s="272" t="s">
        <v>53</v>
      </c>
      <c r="N35" s="272">
        <v>1</v>
      </c>
      <c r="O35" s="126">
        <v>1</v>
      </c>
      <c r="P35" s="335" t="s">
        <v>54</v>
      </c>
      <c r="Q35" s="272" t="s">
        <v>130</v>
      </c>
      <c r="R35" s="273" t="s">
        <v>131</v>
      </c>
      <c r="S35" s="127"/>
      <c r="T35" s="127"/>
      <c r="U35" s="3"/>
      <c r="V35" s="127"/>
      <c r="W35" s="127"/>
      <c r="X35" s="127"/>
      <c r="Y35" s="127"/>
      <c r="Z35" s="127"/>
      <c r="AA35" s="127"/>
      <c r="AB35" s="127"/>
      <c r="AC35" s="9">
        <f>1470270000+250000000</f>
        <v>1720270000</v>
      </c>
      <c r="AD35" s="127"/>
      <c r="AE35" s="128">
        <v>250000000</v>
      </c>
      <c r="AF35" s="109">
        <f>+S35+T35+U35+V35+W35+X35+Y35+Z35+AA35+AB35+AC35+AD35+AE35</f>
        <v>1970270000</v>
      </c>
    </row>
    <row r="36" spans="1:38" ht="117.75" customHeight="1" x14ac:dyDescent="0.2">
      <c r="A36" s="353"/>
      <c r="B36" s="356"/>
      <c r="C36" s="289"/>
      <c r="D36" s="290"/>
      <c r="E36" s="272" t="s">
        <v>47</v>
      </c>
      <c r="F36" s="273" t="s">
        <v>1362</v>
      </c>
      <c r="G36" s="220" t="s">
        <v>132</v>
      </c>
      <c r="H36" s="272" t="s">
        <v>47</v>
      </c>
      <c r="I36" s="125" t="s">
        <v>133</v>
      </c>
      <c r="J36" s="220" t="s">
        <v>134</v>
      </c>
      <c r="K36" s="218" t="s">
        <v>47</v>
      </c>
      <c r="L36" s="219" t="s">
        <v>135</v>
      </c>
      <c r="M36" s="272" t="s">
        <v>53</v>
      </c>
      <c r="N36" s="272">
        <v>1</v>
      </c>
      <c r="O36" s="126">
        <v>1</v>
      </c>
      <c r="P36" s="335" t="s">
        <v>54</v>
      </c>
      <c r="Q36" s="272" t="s">
        <v>136</v>
      </c>
      <c r="R36" s="273" t="s">
        <v>1377</v>
      </c>
      <c r="S36" s="3"/>
      <c r="T36" s="3"/>
      <c r="U36" s="3"/>
      <c r="V36" s="3"/>
      <c r="W36" s="3"/>
      <c r="X36" s="3"/>
      <c r="Y36" s="3"/>
      <c r="Z36" s="3"/>
      <c r="AA36" s="3"/>
      <c r="AB36" s="3"/>
      <c r="AC36" s="157">
        <v>570864000</v>
      </c>
      <c r="AD36" s="3"/>
      <c r="AE36" s="3"/>
      <c r="AF36" s="109">
        <f>+S36+T36+U36+V36+W36+X36+Y36+Z36+AA36+AB36+AC36+AD36+AE36</f>
        <v>570864000</v>
      </c>
    </row>
    <row r="37" spans="1:38" s="176" customFormat="1" ht="15.75" x14ac:dyDescent="0.2">
      <c r="A37" s="357"/>
      <c r="B37" s="358"/>
      <c r="C37" s="358"/>
      <c r="D37" s="359"/>
      <c r="E37" s="360"/>
      <c r="F37" s="360"/>
      <c r="G37" s="361"/>
      <c r="H37" s="361"/>
      <c r="I37" s="362"/>
      <c r="J37" s="363"/>
      <c r="K37" s="363"/>
      <c r="L37" s="362"/>
      <c r="M37" s="361"/>
      <c r="N37" s="361"/>
      <c r="O37" s="363"/>
      <c r="P37" s="361"/>
      <c r="Q37" s="361"/>
      <c r="R37" s="362"/>
      <c r="S37" s="364"/>
      <c r="T37" s="364"/>
      <c r="U37" s="364"/>
      <c r="V37" s="364"/>
      <c r="W37" s="364"/>
      <c r="X37" s="364"/>
      <c r="Y37" s="364"/>
      <c r="Z37" s="364"/>
      <c r="AA37" s="364"/>
      <c r="AB37" s="364"/>
      <c r="AC37" s="365"/>
      <c r="AD37" s="364"/>
      <c r="AE37" s="364"/>
      <c r="AF37" s="434"/>
    </row>
    <row r="38" spans="1:38" ht="15.75" x14ac:dyDescent="0.2">
      <c r="A38" s="145" t="s">
        <v>1343</v>
      </c>
      <c r="B38" s="145"/>
      <c r="C38" s="145"/>
      <c r="D38" s="146"/>
      <c r="E38" s="146"/>
      <c r="F38" s="147"/>
      <c r="G38" s="148"/>
      <c r="H38" s="92"/>
      <c r="I38" s="147"/>
      <c r="J38" s="148"/>
      <c r="K38" s="148"/>
      <c r="L38" s="147"/>
      <c r="M38" s="92"/>
      <c r="N38" s="92"/>
      <c r="O38" s="148"/>
      <c r="P38" s="146"/>
      <c r="Q38" s="148"/>
      <c r="R38" s="147"/>
      <c r="S38" s="124">
        <f t="shared" ref="S38" si="11">S39+S52+S57+S72</f>
        <v>1875832773.6699998</v>
      </c>
      <c r="T38" s="124">
        <f t="shared" ref="T38" si="12">T39+T52+T57+T72</f>
        <v>0</v>
      </c>
      <c r="U38" s="124">
        <f t="shared" ref="U38" si="13">U39+U52+U57+U72</f>
        <v>184304077.94</v>
      </c>
      <c r="V38" s="124">
        <f t="shared" ref="V38" si="14">V39+V52+V57+V72</f>
        <v>0</v>
      </c>
      <c r="W38" s="124">
        <f t="shared" ref="W38" si="15">W39+W52+W57+W72</f>
        <v>0</v>
      </c>
      <c r="X38" s="124">
        <f t="shared" ref="X38" si="16">X39+X52+X57+X72</f>
        <v>0</v>
      </c>
      <c r="Y38" s="124">
        <f t="shared" ref="Y38" si="17">Y39+Y52+Y57+Y72</f>
        <v>0</v>
      </c>
      <c r="Z38" s="124">
        <f t="shared" ref="Z38" si="18">Z39+Z52+Z57+Z72</f>
        <v>0</v>
      </c>
      <c r="AA38" s="124">
        <f t="shared" ref="AA38" si="19">AA39+AA52+AA57+AA72</f>
        <v>0</v>
      </c>
      <c r="AB38" s="124">
        <f t="shared" ref="AB38" si="20">AB39+AB52+AB57+AB72</f>
        <v>2686652877.1199999</v>
      </c>
      <c r="AC38" s="124">
        <f t="shared" ref="AC38" si="21">AC39+AC52+AC57+AC72</f>
        <v>580123597.74000001</v>
      </c>
      <c r="AD38" s="124">
        <f t="shared" ref="AD38" si="22">AD39+AD52+AD57+AD72</f>
        <v>60660648</v>
      </c>
      <c r="AE38" s="124">
        <f t="shared" ref="AE38" si="23">AE39+AE52+AE57+AE72</f>
        <v>0</v>
      </c>
      <c r="AF38" s="124">
        <f t="shared" ref="AF38" si="24">AF39+AF52+AF57+AF72</f>
        <v>5387573974.4699993</v>
      </c>
      <c r="AG38" s="401"/>
      <c r="AH38" s="401"/>
      <c r="AI38" s="401"/>
      <c r="AJ38" s="401"/>
      <c r="AK38" s="401"/>
      <c r="AL38" s="401"/>
    </row>
    <row r="39" spans="1:38" ht="15.75" x14ac:dyDescent="0.2">
      <c r="A39" s="366"/>
      <c r="B39" s="193">
        <v>1</v>
      </c>
      <c r="C39" s="95" t="s">
        <v>1</v>
      </c>
      <c r="D39" s="96"/>
      <c r="E39" s="96"/>
      <c r="F39" s="97"/>
      <c r="G39" s="98"/>
      <c r="H39" s="99"/>
      <c r="I39" s="97"/>
      <c r="J39" s="98"/>
      <c r="K39" s="98"/>
      <c r="L39" s="97"/>
      <c r="M39" s="100"/>
      <c r="N39" s="100"/>
      <c r="O39" s="98"/>
      <c r="P39" s="96"/>
      <c r="Q39" s="98"/>
      <c r="R39" s="97"/>
      <c r="S39" s="101">
        <f t="shared" ref="S39" si="25">S40+S42+S44+S48+S50+S46</f>
        <v>1671410242.8699999</v>
      </c>
      <c r="T39" s="101">
        <f t="shared" ref="T39" si="26">T40+T42+T44+T48+T50+T46</f>
        <v>0</v>
      </c>
      <c r="U39" s="101">
        <f t="shared" ref="U39" si="27">U40+U42+U44+U48+U50+U46</f>
        <v>0</v>
      </c>
      <c r="V39" s="101">
        <f t="shared" ref="V39" si="28">V40+V42+V44+V48+V50+V46</f>
        <v>0</v>
      </c>
      <c r="W39" s="101">
        <f t="shared" ref="W39" si="29">W40+W42+W44+W48+W50+W46</f>
        <v>0</v>
      </c>
      <c r="X39" s="101">
        <f t="shared" ref="X39" si="30">X40+X42+X44+X48+X50+X46</f>
        <v>0</v>
      </c>
      <c r="Y39" s="101">
        <f t="shared" ref="Y39" si="31">Y40+Y42+Y44+Y48+Y50+Y46</f>
        <v>0</v>
      </c>
      <c r="Z39" s="101">
        <f t="shared" ref="Z39" si="32">Z40+Z42+Z44+Z48+Z50+Z46</f>
        <v>0</v>
      </c>
      <c r="AA39" s="101">
        <f t="shared" ref="AA39" si="33">AA40+AA42+AA44+AA48+AA50+AA46</f>
        <v>0</v>
      </c>
      <c r="AB39" s="101">
        <f t="shared" ref="AB39" si="34">AB40+AB42+AB44+AB48+AB50+AB46</f>
        <v>0</v>
      </c>
      <c r="AC39" s="101">
        <f t="shared" ref="AC39" si="35">AC40+AC42+AC44+AC48+AC50+AC46</f>
        <v>55000000</v>
      </c>
      <c r="AD39" s="101">
        <f t="shared" ref="AD39" si="36">AD40+AD42+AD44+AD48+AD50+AD46</f>
        <v>0</v>
      </c>
      <c r="AE39" s="101">
        <f t="shared" ref="AE39" si="37">AE40+AE42+AE44+AE48+AE50+AE46</f>
        <v>0</v>
      </c>
      <c r="AF39" s="101">
        <f t="shared" ref="AF39" si="38">AF40+AF42+AF44+AF48+AF50+AF46</f>
        <v>1726410242.8699999</v>
      </c>
    </row>
    <row r="40" spans="1:38" ht="21.75" customHeight="1" x14ac:dyDescent="0.2">
      <c r="A40" s="352"/>
      <c r="B40" s="354"/>
      <c r="C40" s="131">
        <v>1</v>
      </c>
      <c r="D40" s="103">
        <v>1202</v>
      </c>
      <c r="E40" s="275" t="s">
        <v>1378</v>
      </c>
      <c r="F40" s="102"/>
      <c r="G40" s="103"/>
      <c r="H40" s="104"/>
      <c r="I40" s="102"/>
      <c r="J40" s="103"/>
      <c r="K40" s="103"/>
      <c r="L40" s="102"/>
      <c r="M40" s="105"/>
      <c r="N40" s="105"/>
      <c r="O40" s="103"/>
      <c r="P40" s="106"/>
      <c r="Q40" s="103"/>
      <c r="R40" s="102"/>
      <c r="S40" s="107">
        <f t="shared" ref="S40" si="39">S41</f>
        <v>0</v>
      </c>
      <c r="T40" s="107">
        <f t="shared" ref="T40" si="40">T41</f>
        <v>0</v>
      </c>
      <c r="U40" s="107">
        <f t="shared" ref="U40" si="41">U41</f>
        <v>0</v>
      </c>
      <c r="V40" s="107">
        <f t="shared" ref="V40" si="42">V41</f>
        <v>0</v>
      </c>
      <c r="W40" s="107">
        <f t="shared" ref="W40" si="43">W41</f>
        <v>0</v>
      </c>
      <c r="X40" s="107">
        <f t="shared" ref="X40" si="44">X41</f>
        <v>0</v>
      </c>
      <c r="Y40" s="107">
        <f t="shared" ref="Y40" si="45">Y41</f>
        <v>0</v>
      </c>
      <c r="Z40" s="107">
        <f t="shared" ref="Z40" si="46">Z41</f>
        <v>0</v>
      </c>
      <c r="AA40" s="107">
        <f t="shared" ref="AA40" si="47">AA41</f>
        <v>0</v>
      </c>
      <c r="AB40" s="107">
        <f t="shared" ref="AB40" si="48">AB41</f>
        <v>0</v>
      </c>
      <c r="AC40" s="107">
        <f t="shared" ref="AC40" si="49">AC41</f>
        <v>3000000</v>
      </c>
      <c r="AD40" s="107">
        <f t="shared" ref="AD40" si="50">AD41</f>
        <v>0</v>
      </c>
      <c r="AE40" s="107">
        <f t="shared" ref="AE40" si="51">AE41</f>
        <v>0</v>
      </c>
      <c r="AF40" s="107">
        <f t="shared" ref="AF40" si="52">AF41</f>
        <v>3000000</v>
      </c>
    </row>
    <row r="41" spans="1:38" ht="201" customHeight="1" x14ac:dyDescent="0.2">
      <c r="A41" s="352"/>
      <c r="B41" s="355"/>
      <c r="C41" s="289"/>
      <c r="D41" s="290"/>
      <c r="E41" s="272">
        <v>1202</v>
      </c>
      <c r="F41" s="129" t="s">
        <v>138</v>
      </c>
      <c r="G41" s="135" t="s">
        <v>139</v>
      </c>
      <c r="H41" s="272" t="s">
        <v>47</v>
      </c>
      <c r="I41" s="7" t="s">
        <v>140</v>
      </c>
      <c r="J41" s="135" t="s">
        <v>141</v>
      </c>
      <c r="K41" s="272" t="s">
        <v>47</v>
      </c>
      <c r="L41" s="7" t="s">
        <v>142</v>
      </c>
      <c r="M41" s="272" t="s">
        <v>143</v>
      </c>
      <c r="N41" s="272">
        <v>12</v>
      </c>
      <c r="O41" s="135">
        <v>1</v>
      </c>
      <c r="P41" s="337" t="s">
        <v>256</v>
      </c>
      <c r="Q41" s="272" t="s">
        <v>144</v>
      </c>
      <c r="R41" s="273" t="s">
        <v>145</v>
      </c>
      <c r="S41" s="130"/>
      <c r="T41" s="3"/>
      <c r="U41" s="3"/>
      <c r="V41" s="3"/>
      <c r="W41" s="3"/>
      <c r="X41" s="3"/>
      <c r="Y41" s="3"/>
      <c r="Z41" s="3"/>
      <c r="AA41" s="3"/>
      <c r="AB41" s="3"/>
      <c r="AC41" s="9">
        <v>3000000</v>
      </c>
      <c r="AD41" s="3"/>
      <c r="AE41" s="6"/>
      <c r="AF41" s="109">
        <f>+S41+T41+U41+V41+W41+X41+Y41+Z41+AA41+AB41+AC41+AD41+AE41</f>
        <v>3000000</v>
      </c>
    </row>
    <row r="42" spans="1:38" ht="18.75" customHeight="1" x14ac:dyDescent="0.2">
      <c r="A42" s="352"/>
      <c r="B42" s="355"/>
      <c r="C42" s="131">
        <v>13</v>
      </c>
      <c r="D42" s="103">
        <v>1906</v>
      </c>
      <c r="E42" s="275" t="s">
        <v>146</v>
      </c>
      <c r="F42" s="102"/>
      <c r="G42" s="103"/>
      <c r="H42" s="104"/>
      <c r="I42" s="102"/>
      <c r="J42" s="103"/>
      <c r="K42" s="103"/>
      <c r="L42" s="102"/>
      <c r="M42" s="105"/>
      <c r="N42" s="105"/>
      <c r="O42" s="103"/>
      <c r="P42" s="338"/>
      <c r="Q42" s="103"/>
      <c r="R42" s="102"/>
      <c r="S42" s="107">
        <f t="shared" ref="S42:AF42" si="53">S43</f>
        <v>0</v>
      </c>
      <c r="T42" s="107">
        <f t="shared" si="53"/>
        <v>0</v>
      </c>
      <c r="U42" s="107">
        <f t="shared" si="53"/>
        <v>0</v>
      </c>
      <c r="V42" s="107">
        <f t="shared" si="53"/>
        <v>0</v>
      </c>
      <c r="W42" s="107">
        <f t="shared" si="53"/>
        <v>0</v>
      </c>
      <c r="X42" s="107">
        <f t="shared" si="53"/>
        <v>0</v>
      </c>
      <c r="Y42" s="107">
        <f t="shared" si="53"/>
        <v>0</v>
      </c>
      <c r="Z42" s="107">
        <f t="shared" si="53"/>
        <v>0</v>
      </c>
      <c r="AA42" s="107">
        <f t="shared" si="53"/>
        <v>0</v>
      </c>
      <c r="AB42" s="107">
        <f t="shared" si="53"/>
        <v>0</v>
      </c>
      <c r="AC42" s="107">
        <f t="shared" si="53"/>
        <v>2000000</v>
      </c>
      <c r="AD42" s="107">
        <f t="shared" si="53"/>
        <v>0</v>
      </c>
      <c r="AE42" s="107">
        <f t="shared" si="53"/>
        <v>0</v>
      </c>
      <c r="AF42" s="107">
        <f t="shared" si="53"/>
        <v>2000000</v>
      </c>
    </row>
    <row r="43" spans="1:38" ht="112.5" customHeight="1" x14ac:dyDescent="0.2">
      <c r="A43" s="352"/>
      <c r="B43" s="355"/>
      <c r="C43" s="289"/>
      <c r="D43" s="290"/>
      <c r="E43" s="272">
        <v>1906</v>
      </c>
      <c r="F43" s="274" t="s">
        <v>147</v>
      </c>
      <c r="G43" s="281" t="s">
        <v>148</v>
      </c>
      <c r="H43" s="272" t="s">
        <v>47</v>
      </c>
      <c r="I43" s="7" t="s">
        <v>149</v>
      </c>
      <c r="J43" s="218" t="s">
        <v>150</v>
      </c>
      <c r="K43" s="272" t="s">
        <v>47</v>
      </c>
      <c r="L43" s="222" t="s">
        <v>151</v>
      </c>
      <c r="M43" s="272" t="s">
        <v>143</v>
      </c>
      <c r="N43" s="272">
        <v>5</v>
      </c>
      <c r="O43" s="135">
        <v>2</v>
      </c>
      <c r="P43" s="337" t="s">
        <v>152</v>
      </c>
      <c r="Q43" s="272" t="s">
        <v>153</v>
      </c>
      <c r="R43" s="274" t="s">
        <v>154</v>
      </c>
      <c r="S43" s="130">
        <f>+S45-628874337</f>
        <v>0</v>
      </c>
      <c r="T43" s="3"/>
      <c r="U43" s="3"/>
      <c r="V43" s="3"/>
      <c r="W43" s="3"/>
      <c r="X43" s="3"/>
      <c r="Y43" s="3"/>
      <c r="Z43" s="3"/>
      <c r="AA43" s="3"/>
      <c r="AB43" s="3"/>
      <c r="AC43" s="9">
        <v>2000000</v>
      </c>
      <c r="AD43" s="3"/>
      <c r="AE43" s="6"/>
      <c r="AF43" s="109">
        <f>+S43+T43+U43+V43+W43+X43+Y43+Z43+AA43+AB43+AC43+AD43+AE43</f>
        <v>2000000</v>
      </c>
    </row>
    <row r="44" spans="1:38" ht="21" customHeight="1" x14ac:dyDescent="0.2">
      <c r="A44" s="352"/>
      <c r="B44" s="355"/>
      <c r="C44" s="131">
        <v>15</v>
      </c>
      <c r="D44" s="103">
        <v>2201</v>
      </c>
      <c r="E44" s="275" t="s">
        <v>155</v>
      </c>
      <c r="F44" s="102"/>
      <c r="G44" s="103"/>
      <c r="H44" s="104"/>
      <c r="I44" s="102" t="s">
        <v>156</v>
      </c>
      <c r="J44" s="103"/>
      <c r="K44" s="103"/>
      <c r="L44" s="102"/>
      <c r="M44" s="105"/>
      <c r="N44" s="105"/>
      <c r="O44" s="103"/>
      <c r="P44" s="338"/>
      <c r="Q44" s="103"/>
      <c r="R44" s="102"/>
      <c r="S44" s="107">
        <f t="shared" ref="S44:AF44" si="54">S45</f>
        <v>628874337</v>
      </c>
      <c r="T44" s="107">
        <f t="shared" si="54"/>
        <v>0</v>
      </c>
      <c r="U44" s="107">
        <f t="shared" si="54"/>
        <v>0</v>
      </c>
      <c r="V44" s="107">
        <f t="shared" si="54"/>
        <v>0</v>
      </c>
      <c r="W44" s="107">
        <f t="shared" si="54"/>
        <v>0</v>
      </c>
      <c r="X44" s="107">
        <f t="shared" si="54"/>
        <v>0</v>
      </c>
      <c r="Y44" s="107">
        <f t="shared" si="54"/>
        <v>0</v>
      </c>
      <c r="Z44" s="107">
        <f t="shared" si="54"/>
        <v>0</v>
      </c>
      <c r="AA44" s="107">
        <f t="shared" si="54"/>
        <v>0</v>
      </c>
      <c r="AB44" s="107">
        <f t="shared" si="54"/>
        <v>0</v>
      </c>
      <c r="AC44" s="107">
        <f t="shared" si="54"/>
        <v>0</v>
      </c>
      <c r="AD44" s="107">
        <f t="shared" si="54"/>
        <v>0</v>
      </c>
      <c r="AE44" s="107">
        <f t="shared" si="54"/>
        <v>0</v>
      </c>
      <c r="AF44" s="107">
        <f t="shared" si="54"/>
        <v>628874337</v>
      </c>
    </row>
    <row r="45" spans="1:38" ht="90" customHeight="1" x14ac:dyDescent="0.2">
      <c r="A45" s="352"/>
      <c r="B45" s="355"/>
      <c r="C45" s="289"/>
      <c r="D45" s="290"/>
      <c r="E45" s="272">
        <v>2201</v>
      </c>
      <c r="F45" s="274" t="s">
        <v>157</v>
      </c>
      <c r="G45" s="281" t="s">
        <v>158</v>
      </c>
      <c r="H45" s="272" t="s">
        <v>47</v>
      </c>
      <c r="I45" s="273" t="s">
        <v>159</v>
      </c>
      <c r="J45" s="272" t="s">
        <v>160</v>
      </c>
      <c r="K45" s="272" t="s">
        <v>47</v>
      </c>
      <c r="L45" s="273" t="s">
        <v>161</v>
      </c>
      <c r="M45" s="272" t="s">
        <v>143</v>
      </c>
      <c r="N45" s="272">
        <v>54</v>
      </c>
      <c r="O45" s="272">
        <v>9</v>
      </c>
      <c r="P45" s="335" t="s">
        <v>162</v>
      </c>
      <c r="Q45" s="272" t="s">
        <v>163</v>
      </c>
      <c r="R45" s="273" t="s">
        <v>164</v>
      </c>
      <c r="S45" s="130">
        <f>2575091000-645788600-1300428063</f>
        <v>628874337</v>
      </c>
      <c r="T45" s="3"/>
      <c r="U45" s="3"/>
      <c r="V45" s="3"/>
      <c r="W45" s="3"/>
      <c r="X45" s="3"/>
      <c r="Y45" s="3"/>
      <c r="Z45" s="3"/>
      <c r="AA45" s="3"/>
      <c r="AB45" s="3"/>
      <c r="AC45" s="9"/>
      <c r="AD45" s="3"/>
      <c r="AE45" s="6"/>
      <c r="AF45" s="109">
        <f>+S45+T45+U45+V45+W45+X45+Y45+Z45+AA45+AB45+AC45+AD45+AE45</f>
        <v>628874337</v>
      </c>
    </row>
    <row r="46" spans="1:38" ht="24.75" customHeight="1" x14ac:dyDescent="0.2">
      <c r="A46" s="352"/>
      <c r="B46" s="355"/>
      <c r="C46" s="131">
        <v>25</v>
      </c>
      <c r="D46" s="103">
        <v>3301</v>
      </c>
      <c r="E46" s="275" t="s">
        <v>165</v>
      </c>
      <c r="F46" s="102"/>
      <c r="G46" s="103"/>
      <c r="H46" s="104"/>
      <c r="I46" s="102"/>
      <c r="J46" s="103"/>
      <c r="K46" s="103"/>
      <c r="L46" s="102"/>
      <c r="M46" s="105"/>
      <c r="N46" s="105"/>
      <c r="O46" s="103"/>
      <c r="P46" s="338"/>
      <c r="Q46" s="103"/>
      <c r="R46" s="102"/>
      <c r="S46" s="107">
        <f t="shared" ref="S46:AE46" si="55">SUM(S47)</f>
        <v>0</v>
      </c>
      <c r="T46" s="107">
        <f t="shared" si="55"/>
        <v>0</v>
      </c>
      <c r="U46" s="107">
        <f t="shared" si="55"/>
        <v>0</v>
      </c>
      <c r="V46" s="107">
        <f t="shared" si="55"/>
        <v>0</v>
      </c>
      <c r="W46" s="107">
        <f t="shared" si="55"/>
        <v>0</v>
      </c>
      <c r="X46" s="107">
        <f t="shared" si="55"/>
        <v>0</v>
      </c>
      <c r="Y46" s="107">
        <f t="shared" si="55"/>
        <v>0</v>
      </c>
      <c r="Z46" s="107">
        <f t="shared" si="55"/>
        <v>0</v>
      </c>
      <c r="AA46" s="107">
        <f t="shared" si="55"/>
        <v>0</v>
      </c>
      <c r="AB46" s="107">
        <f t="shared" si="55"/>
        <v>0</v>
      </c>
      <c r="AC46" s="107">
        <f t="shared" si="55"/>
        <v>50000000</v>
      </c>
      <c r="AD46" s="107">
        <f t="shared" si="55"/>
        <v>0</v>
      </c>
      <c r="AE46" s="107">
        <f t="shared" si="55"/>
        <v>0</v>
      </c>
      <c r="AF46" s="107">
        <f>SUM(AF47)</f>
        <v>50000000</v>
      </c>
    </row>
    <row r="47" spans="1:38" ht="78" customHeight="1" x14ac:dyDescent="0.2">
      <c r="A47" s="352"/>
      <c r="B47" s="355"/>
      <c r="C47" s="289"/>
      <c r="D47" s="290"/>
      <c r="E47" s="282">
        <v>3301</v>
      </c>
      <c r="F47" s="274" t="s">
        <v>1427</v>
      </c>
      <c r="G47" s="218" t="s">
        <v>166</v>
      </c>
      <c r="H47" s="272" t="s">
        <v>167</v>
      </c>
      <c r="I47" s="273" t="s">
        <v>168</v>
      </c>
      <c r="J47" s="135" t="s">
        <v>169</v>
      </c>
      <c r="K47" s="135" t="s">
        <v>170</v>
      </c>
      <c r="L47" s="7" t="s">
        <v>171</v>
      </c>
      <c r="M47" s="272" t="s">
        <v>143</v>
      </c>
      <c r="N47" s="272">
        <v>10</v>
      </c>
      <c r="O47" s="135">
        <v>1</v>
      </c>
      <c r="P47" s="335" t="s">
        <v>172</v>
      </c>
      <c r="Q47" s="272" t="s">
        <v>163</v>
      </c>
      <c r="R47" s="273" t="s">
        <v>164</v>
      </c>
      <c r="S47" s="3"/>
      <c r="T47" s="3"/>
      <c r="U47" s="3"/>
      <c r="V47" s="3"/>
      <c r="W47" s="3"/>
      <c r="X47" s="3"/>
      <c r="Y47" s="3"/>
      <c r="Z47" s="3"/>
      <c r="AA47" s="3"/>
      <c r="AB47" s="3"/>
      <c r="AC47" s="132">
        <f>20000000+30000000</f>
        <v>50000000</v>
      </c>
      <c r="AD47" s="3"/>
      <c r="AE47" s="3"/>
      <c r="AF47" s="109">
        <f>+S47+T47+U47+V47+W47+X47+Y47+Z47+AA47+AB47+AC47+AD47+AE47</f>
        <v>50000000</v>
      </c>
    </row>
    <row r="48" spans="1:38" ht="23.25" customHeight="1" x14ac:dyDescent="0.2">
      <c r="A48" s="352"/>
      <c r="B48" s="355"/>
      <c r="C48" s="131">
        <v>39</v>
      </c>
      <c r="D48" s="103">
        <v>4301</v>
      </c>
      <c r="E48" s="275" t="s">
        <v>173</v>
      </c>
      <c r="F48" s="102"/>
      <c r="G48" s="103"/>
      <c r="H48" s="104"/>
      <c r="I48" s="102"/>
      <c r="J48" s="103"/>
      <c r="K48" s="103"/>
      <c r="L48" s="102"/>
      <c r="M48" s="105"/>
      <c r="N48" s="105"/>
      <c r="O48" s="103"/>
      <c r="P48" s="338"/>
      <c r="Q48" s="103"/>
      <c r="R48" s="102"/>
      <c r="S48" s="107">
        <f t="shared" ref="S48:AF48" si="56">S49</f>
        <v>977810591.28999996</v>
      </c>
      <c r="T48" s="107">
        <f t="shared" si="56"/>
        <v>0</v>
      </c>
      <c r="U48" s="107">
        <f t="shared" si="56"/>
        <v>0</v>
      </c>
      <c r="V48" s="107">
        <f t="shared" si="56"/>
        <v>0</v>
      </c>
      <c r="W48" s="107">
        <f t="shared" si="56"/>
        <v>0</v>
      </c>
      <c r="X48" s="107">
        <f t="shared" si="56"/>
        <v>0</v>
      </c>
      <c r="Y48" s="107">
        <f t="shared" si="56"/>
        <v>0</v>
      </c>
      <c r="Z48" s="107">
        <f t="shared" si="56"/>
        <v>0</v>
      </c>
      <c r="AA48" s="107">
        <f t="shared" si="56"/>
        <v>0</v>
      </c>
      <c r="AB48" s="107">
        <f t="shared" si="56"/>
        <v>0</v>
      </c>
      <c r="AC48" s="107">
        <f t="shared" si="56"/>
        <v>0</v>
      </c>
      <c r="AD48" s="107">
        <f t="shared" si="56"/>
        <v>0</v>
      </c>
      <c r="AE48" s="107">
        <f t="shared" si="56"/>
        <v>0</v>
      </c>
      <c r="AF48" s="107">
        <f t="shared" si="56"/>
        <v>977810591.28999996</v>
      </c>
    </row>
    <row r="49" spans="1:32" ht="139.5" customHeight="1" x14ac:dyDescent="0.2">
      <c r="A49" s="352"/>
      <c r="B49" s="355"/>
      <c r="C49" s="289"/>
      <c r="D49" s="290"/>
      <c r="E49" s="272">
        <v>4301</v>
      </c>
      <c r="F49" s="129" t="s">
        <v>174</v>
      </c>
      <c r="G49" s="133" t="s">
        <v>175</v>
      </c>
      <c r="H49" s="272" t="s">
        <v>47</v>
      </c>
      <c r="I49" s="7" t="s">
        <v>176</v>
      </c>
      <c r="J49" s="135" t="s">
        <v>177</v>
      </c>
      <c r="K49" s="272" t="s">
        <v>47</v>
      </c>
      <c r="L49" s="7" t="s">
        <v>178</v>
      </c>
      <c r="M49" s="272" t="s">
        <v>143</v>
      </c>
      <c r="N49" s="272">
        <v>12</v>
      </c>
      <c r="O49" s="135">
        <v>3</v>
      </c>
      <c r="P49" s="337" t="s">
        <v>179</v>
      </c>
      <c r="Q49" s="272" t="s">
        <v>163</v>
      </c>
      <c r="R49" s="273" t="s">
        <v>164</v>
      </c>
      <c r="S49" s="134">
        <f>1668660141.5-690849550.21</f>
        <v>977810591.28999996</v>
      </c>
      <c r="T49" s="3"/>
      <c r="U49" s="3"/>
      <c r="V49" s="3"/>
      <c r="W49" s="3"/>
      <c r="X49" s="3"/>
      <c r="Y49" s="3"/>
      <c r="Z49" s="3"/>
      <c r="AA49" s="3"/>
      <c r="AB49" s="3"/>
      <c r="AC49" s="9"/>
      <c r="AD49" s="3"/>
      <c r="AE49" s="3"/>
      <c r="AF49" s="109">
        <f>+S49+T49+U49+V49+W49+X49+Y49+Z49+AA49+AB49+AC49+AD49+AE49</f>
        <v>977810591.28999996</v>
      </c>
    </row>
    <row r="50" spans="1:32" ht="21.75" customHeight="1" x14ac:dyDescent="0.2">
      <c r="A50" s="352"/>
      <c r="B50" s="355"/>
      <c r="C50" s="131">
        <v>40</v>
      </c>
      <c r="D50" s="103">
        <v>4302</v>
      </c>
      <c r="E50" s="275" t="s">
        <v>180</v>
      </c>
      <c r="F50" s="102"/>
      <c r="G50" s="103"/>
      <c r="H50" s="104"/>
      <c r="I50" s="102"/>
      <c r="J50" s="103"/>
      <c r="K50" s="103"/>
      <c r="L50" s="102"/>
      <c r="M50" s="105"/>
      <c r="N50" s="105"/>
      <c r="O50" s="103"/>
      <c r="P50" s="338"/>
      <c r="Q50" s="103"/>
      <c r="R50" s="102"/>
      <c r="S50" s="107">
        <f t="shared" ref="S50:AF50" si="57">S51</f>
        <v>64725314.580000043</v>
      </c>
      <c r="T50" s="107">
        <f t="shared" si="57"/>
        <v>0</v>
      </c>
      <c r="U50" s="107">
        <f t="shared" si="57"/>
        <v>0</v>
      </c>
      <c r="V50" s="107">
        <f t="shared" si="57"/>
        <v>0</v>
      </c>
      <c r="W50" s="107">
        <f t="shared" si="57"/>
        <v>0</v>
      </c>
      <c r="X50" s="107">
        <f t="shared" si="57"/>
        <v>0</v>
      </c>
      <c r="Y50" s="107">
        <f t="shared" si="57"/>
        <v>0</v>
      </c>
      <c r="Z50" s="107">
        <f t="shared" si="57"/>
        <v>0</v>
      </c>
      <c r="AA50" s="107">
        <f t="shared" si="57"/>
        <v>0</v>
      </c>
      <c r="AB50" s="107">
        <f t="shared" si="57"/>
        <v>0</v>
      </c>
      <c r="AC50" s="107">
        <f t="shared" si="57"/>
        <v>0</v>
      </c>
      <c r="AD50" s="107">
        <f t="shared" si="57"/>
        <v>0</v>
      </c>
      <c r="AE50" s="107">
        <f t="shared" si="57"/>
        <v>0</v>
      </c>
      <c r="AF50" s="107">
        <f t="shared" si="57"/>
        <v>64725314.580000043</v>
      </c>
    </row>
    <row r="51" spans="1:32" ht="133.5" customHeight="1" x14ac:dyDescent="0.2">
      <c r="A51" s="352"/>
      <c r="B51" s="356"/>
      <c r="C51" s="289"/>
      <c r="D51" s="290"/>
      <c r="E51" s="272">
        <v>4302</v>
      </c>
      <c r="F51" s="129" t="s">
        <v>174</v>
      </c>
      <c r="G51" s="221" t="s">
        <v>181</v>
      </c>
      <c r="H51" s="272">
        <v>4302020</v>
      </c>
      <c r="I51" s="7" t="s">
        <v>182</v>
      </c>
      <c r="J51" s="221" t="s">
        <v>183</v>
      </c>
      <c r="K51" s="221">
        <v>430202000</v>
      </c>
      <c r="L51" s="222" t="s">
        <v>182</v>
      </c>
      <c r="M51" s="272" t="s">
        <v>143</v>
      </c>
      <c r="N51" s="272">
        <v>1</v>
      </c>
      <c r="O51" s="135">
        <v>0.25</v>
      </c>
      <c r="P51" s="337" t="s">
        <v>179</v>
      </c>
      <c r="Q51" s="272" t="s">
        <v>163</v>
      </c>
      <c r="R51" s="273" t="s">
        <v>164</v>
      </c>
      <c r="S51" s="134">
        <f>1668660141.65-778436089.07-825498738</f>
        <v>64725314.580000043</v>
      </c>
      <c r="T51" s="3"/>
      <c r="U51" s="3"/>
      <c r="V51" s="3"/>
      <c r="W51" s="3"/>
      <c r="X51" s="3"/>
      <c r="Y51" s="3"/>
      <c r="Z51" s="3"/>
      <c r="AA51" s="3"/>
      <c r="AB51" s="3"/>
      <c r="AC51" s="9"/>
      <c r="AD51" s="3"/>
      <c r="AE51" s="3"/>
      <c r="AF51" s="109">
        <f>+S51+T51+U51+V51+W51+X51+Y51+Z51+AA51+AB51+AC51+AD51+AE51</f>
        <v>64725314.580000043</v>
      </c>
    </row>
    <row r="52" spans="1:32" ht="15.75" x14ac:dyDescent="0.2">
      <c r="A52" s="352"/>
      <c r="B52" s="193">
        <v>2</v>
      </c>
      <c r="C52" s="95" t="s">
        <v>2</v>
      </c>
      <c r="D52" s="96"/>
      <c r="E52" s="96"/>
      <c r="F52" s="97"/>
      <c r="G52" s="98"/>
      <c r="H52" s="99"/>
      <c r="I52" s="97"/>
      <c r="J52" s="98"/>
      <c r="K52" s="98"/>
      <c r="L52" s="97"/>
      <c r="M52" s="100"/>
      <c r="N52" s="100"/>
      <c r="O52" s="98"/>
      <c r="P52" s="340"/>
      <c r="Q52" s="98"/>
      <c r="R52" s="97"/>
      <c r="S52" s="101">
        <f t="shared" ref="S52:AE52" si="58">S53+S55</f>
        <v>0</v>
      </c>
      <c r="T52" s="101">
        <f t="shared" si="58"/>
        <v>0</v>
      </c>
      <c r="U52" s="101">
        <f t="shared" si="58"/>
        <v>0</v>
      </c>
      <c r="V52" s="101">
        <f t="shared" si="58"/>
        <v>0</v>
      </c>
      <c r="W52" s="101">
        <f t="shared" si="58"/>
        <v>0</v>
      </c>
      <c r="X52" s="101">
        <f t="shared" si="58"/>
        <v>0</v>
      </c>
      <c r="Y52" s="101">
        <f t="shared" si="58"/>
        <v>0</v>
      </c>
      <c r="Z52" s="101">
        <f t="shared" si="58"/>
        <v>0</v>
      </c>
      <c r="AA52" s="101">
        <f t="shared" si="58"/>
        <v>0</v>
      </c>
      <c r="AB52" s="101">
        <f t="shared" si="58"/>
        <v>0</v>
      </c>
      <c r="AC52" s="101">
        <f t="shared" si="58"/>
        <v>3000000</v>
      </c>
      <c r="AD52" s="101">
        <f t="shared" si="58"/>
        <v>0</v>
      </c>
      <c r="AE52" s="101">
        <f t="shared" si="58"/>
        <v>0</v>
      </c>
      <c r="AF52" s="101">
        <f t="shared" ref="AF52" si="59">AF53+AF55</f>
        <v>3000000</v>
      </c>
    </row>
    <row r="53" spans="1:32" ht="23.25" customHeight="1" x14ac:dyDescent="0.2">
      <c r="A53" s="352"/>
      <c r="B53" s="354"/>
      <c r="C53" s="131">
        <v>10</v>
      </c>
      <c r="D53" s="103">
        <v>1709</v>
      </c>
      <c r="E53" s="275" t="s">
        <v>184</v>
      </c>
      <c r="F53" s="102"/>
      <c r="G53" s="103"/>
      <c r="H53" s="104"/>
      <c r="I53" s="102"/>
      <c r="J53" s="103"/>
      <c r="K53" s="103"/>
      <c r="L53" s="102"/>
      <c r="M53" s="105"/>
      <c r="N53" s="105"/>
      <c r="O53" s="103"/>
      <c r="P53" s="338"/>
      <c r="Q53" s="103"/>
      <c r="R53" s="102"/>
      <c r="S53" s="107">
        <f t="shared" ref="S53:AF53" si="60">SUM(S54:S54)</f>
        <v>0</v>
      </c>
      <c r="T53" s="107">
        <f t="shared" si="60"/>
        <v>0</v>
      </c>
      <c r="U53" s="107">
        <f t="shared" si="60"/>
        <v>0</v>
      </c>
      <c r="V53" s="107">
        <f t="shared" si="60"/>
        <v>0</v>
      </c>
      <c r="W53" s="107">
        <f t="shared" si="60"/>
        <v>0</v>
      </c>
      <c r="X53" s="107">
        <f t="shared" si="60"/>
        <v>0</v>
      </c>
      <c r="Y53" s="107">
        <f t="shared" si="60"/>
        <v>0</v>
      </c>
      <c r="Z53" s="107">
        <f t="shared" si="60"/>
        <v>0</v>
      </c>
      <c r="AA53" s="107">
        <f t="shared" si="60"/>
        <v>0</v>
      </c>
      <c r="AB53" s="107">
        <f t="shared" si="60"/>
        <v>0</v>
      </c>
      <c r="AC53" s="107">
        <f t="shared" si="60"/>
        <v>2000000</v>
      </c>
      <c r="AD53" s="107">
        <f t="shared" si="60"/>
        <v>0</v>
      </c>
      <c r="AE53" s="107">
        <f t="shared" si="60"/>
        <v>0</v>
      </c>
      <c r="AF53" s="107">
        <f t="shared" si="60"/>
        <v>2000000</v>
      </c>
    </row>
    <row r="54" spans="1:32" s="138" customFormat="1" ht="123" customHeight="1" x14ac:dyDescent="0.2">
      <c r="A54" s="370"/>
      <c r="B54" s="371"/>
      <c r="C54" s="298"/>
      <c r="D54" s="271"/>
      <c r="E54" s="279">
        <v>1709</v>
      </c>
      <c r="F54" s="7" t="s">
        <v>185</v>
      </c>
      <c r="G54" s="135" t="s">
        <v>186</v>
      </c>
      <c r="H54" s="135">
        <v>1709078</v>
      </c>
      <c r="I54" s="7" t="s">
        <v>187</v>
      </c>
      <c r="J54" s="135" t="s">
        <v>188</v>
      </c>
      <c r="K54" s="135">
        <v>170907800</v>
      </c>
      <c r="L54" s="7" t="s">
        <v>187</v>
      </c>
      <c r="M54" s="279" t="s">
        <v>53</v>
      </c>
      <c r="N54" s="279">
        <v>1</v>
      </c>
      <c r="O54" s="135">
        <v>1</v>
      </c>
      <c r="P54" s="177" t="s">
        <v>189</v>
      </c>
      <c r="Q54" s="279" t="s">
        <v>190</v>
      </c>
      <c r="R54" s="177" t="s">
        <v>191</v>
      </c>
      <c r="S54" s="3"/>
      <c r="T54" s="3"/>
      <c r="U54" s="278"/>
      <c r="V54" s="3"/>
      <c r="W54" s="3"/>
      <c r="X54" s="3"/>
      <c r="Y54" s="3"/>
      <c r="Z54" s="3"/>
      <c r="AA54" s="3"/>
      <c r="AB54" s="3"/>
      <c r="AC54" s="136">
        <f>1000000+1000000</f>
        <v>2000000</v>
      </c>
      <c r="AD54" s="3"/>
      <c r="AE54" s="3"/>
      <c r="AF54" s="137">
        <f>+S54+T54+U54+V54+W54+X54+Y54+Z54+AA54+AB54+AC54+AD54+AE54</f>
        <v>2000000</v>
      </c>
    </row>
    <row r="55" spans="1:32" ht="23.25" customHeight="1" x14ac:dyDescent="0.2">
      <c r="A55" s="352"/>
      <c r="B55" s="355"/>
      <c r="C55" s="131">
        <v>27</v>
      </c>
      <c r="D55" s="103">
        <v>3502</v>
      </c>
      <c r="E55" s="275" t="s">
        <v>192</v>
      </c>
      <c r="F55" s="102"/>
      <c r="G55" s="103"/>
      <c r="H55" s="104"/>
      <c r="I55" s="102"/>
      <c r="J55" s="103"/>
      <c r="K55" s="103"/>
      <c r="L55" s="102"/>
      <c r="M55" s="105"/>
      <c r="N55" s="105"/>
      <c r="O55" s="103"/>
      <c r="P55" s="338"/>
      <c r="Q55" s="103"/>
      <c r="R55" s="102"/>
      <c r="S55" s="107">
        <f t="shared" ref="S55:AE55" si="61">S56</f>
        <v>0</v>
      </c>
      <c r="T55" s="107">
        <f t="shared" si="61"/>
        <v>0</v>
      </c>
      <c r="U55" s="107">
        <f t="shared" si="61"/>
        <v>0</v>
      </c>
      <c r="V55" s="107">
        <f t="shared" si="61"/>
        <v>0</v>
      </c>
      <c r="W55" s="107">
        <f t="shared" si="61"/>
        <v>0</v>
      </c>
      <c r="X55" s="107">
        <f t="shared" si="61"/>
        <v>0</v>
      </c>
      <c r="Y55" s="107">
        <f t="shared" si="61"/>
        <v>0</v>
      </c>
      <c r="Z55" s="107">
        <f t="shared" si="61"/>
        <v>0</v>
      </c>
      <c r="AA55" s="107">
        <f t="shared" si="61"/>
        <v>0</v>
      </c>
      <c r="AB55" s="107">
        <f t="shared" si="61"/>
        <v>0</v>
      </c>
      <c r="AC55" s="107">
        <f t="shared" si="61"/>
        <v>1000000</v>
      </c>
      <c r="AD55" s="107">
        <f t="shared" si="61"/>
        <v>0</v>
      </c>
      <c r="AE55" s="107">
        <f t="shared" si="61"/>
        <v>0</v>
      </c>
      <c r="AF55" s="107">
        <f>AF56</f>
        <v>1000000</v>
      </c>
    </row>
    <row r="56" spans="1:32" ht="101.25" customHeight="1" x14ac:dyDescent="0.2">
      <c r="A56" s="352"/>
      <c r="B56" s="356"/>
      <c r="C56" s="289"/>
      <c r="D56" s="290"/>
      <c r="E56" s="272">
        <v>3502</v>
      </c>
      <c r="F56" s="274" t="s">
        <v>1428</v>
      </c>
      <c r="G56" s="135" t="s">
        <v>193</v>
      </c>
      <c r="H56" s="135">
        <v>3502084</v>
      </c>
      <c r="I56" s="7" t="s">
        <v>194</v>
      </c>
      <c r="J56" s="135" t="s">
        <v>195</v>
      </c>
      <c r="K56" s="135">
        <v>350208400</v>
      </c>
      <c r="L56" s="7" t="s">
        <v>194</v>
      </c>
      <c r="M56" s="272" t="s">
        <v>143</v>
      </c>
      <c r="N56" s="272">
        <v>1</v>
      </c>
      <c r="O56" s="135">
        <v>0.5</v>
      </c>
      <c r="P56" s="337" t="s">
        <v>189</v>
      </c>
      <c r="Q56" s="272" t="s">
        <v>190</v>
      </c>
      <c r="R56" s="274" t="s">
        <v>196</v>
      </c>
      <c r="S56" s="3"/>
      <c r="T56" s="3"/>
      <c r="U56" s="278"/>
      <c r="V56" s="3"/>
      <c r="W56" s="3"/>
      <c r="X56" s="3"/>
      <c r="Y56" s="3"/>
      <c r="Z56" s="3"/>
      <c r="AA56" s="3"/>
      <c r="AB56" s="3"/>
      <c r="AC56" s="136">
        <v>1000000</v>
      </c>
      <c r="AD56" s="3"/>
      <c r="AE56" s="3"/>
      <c r="AF56" s="109">
        <f>+S56+T56+U56+V56+W56+X56+Y56+Z56+AA56+AB56+AC56+AD56+AE56</f>
        <v>1000000</v>
      </c>
    </row>
    <row r="57" spans="1:32" ht="21.75" customHeight="1" x14ac:dyDescent="0.2">
      <c r="A57" s="352"/>
      <c r="B57" s="193">
        <v>3</v>
      </c>
      <c r="C57" s="95" t="s">
        <v>3</v>
      </c>
      <c r="D57" s="96"/>
      <c r="E57" s="96"/>
      <c r="F57" s="97"/>
      <c r="G57" s="98"/>
      <c r="H57" s="99"/>
      <c r="I57" s="97"/>
      <c r="J57" s="98"/>
      <c r="K57" s="98"/>
      <c r="L57" s="97"/>
      <c r="M57" s="100"/>
      <c r="N57" s="100"/>
      <c r="O57" s="98"/>
      <c r="P57" s="340"/>
      <c r="Q57" s="98"/>
      <c r="R57" s="97"/>
      <c r="S57" s="101">
        <f t="shared" ref="S57:AE57" si="62">S58+S60+S62+S64+S66</f>
        <v>204422530.80000001</v>
      </c>
      <c r="T57" s="101">
        <f t="shared" si="62"/>
        <v>0</v>
      </c>
      <c r="U57" s="101">
        <f t="shared" si="62"/>
        <v>184304077.94</v>
      </c>
      <c r="V57" s="101">
        <f t="shared" si="62"/>
        <v>0</v>
      </c>
      <c r="W57" s="101">
        <f t="shared" si="62"/>
        <v>0</v>
      </c>
      <c r="X57" s="101">
        <f t="shared" si="62"/>
        <v>0</v>
      </c>
      <c r="Y57" s="101">
        <f t="shared" si="62"/>
        <v>0</v>
      </c>
      <c r="Z57" s="101">
        <f t="shared" si="62"/>
        <v>0</v>
      </c>
      <c r="AA57" s="101">
        <f t="shared" si="62"/>
        <v>0</v>
      </c>
      <c r="AB57" s="101">
        <f t="shared" si="62"/>
        <v>2686652877.1199999</v>
      </c>
      <c r="AC57" s="101">
        <f t="shared" si="62"/>
        <v>486082004</v>
      </c>
      <c r="AD57" s="101">
        <f t="shared" si="62"/>
        <v>0</v>
      </c>
      <c r="AE57" s="101">
        <f t="shared" si="62"/>
        <v>0</v>
      </c>
      <c r="AF57" s="101">
        <f t="shared" ref="AF57" si="63">AF58+AF60+AF62+AF64+AF66</f>
        <v>3561461489.8600001</v>
      </c>
    </row>
    <row r="58" spans="1:32" ht="21.75" customHeight="1" x14ac:dyDescent="0.2">
      <c r="A58" s="352"/>
      <c r="B58" s="354"/>
      <c r="C58" s="131">
        <v>18</v>
      </c>
      <c r="D58" s="103">
        <v>2402</v>
      </c>
      <c r="E58" s="275" t="s">
        <v>197</v>
      </c>
      <c r="F58" s="102"/>
      <c r="G58" s="103"/>
      <c r="H58" s="104"/>
      <c r="I58" s="102"/>
      <c r="J58" s="103"/>
      <c r="K58" s="103"/>
      <c r="L58" s="102"/>
      <c r="M58" s="105"/>
      <c r="N58" s="105"/>
      <c r="O58" s="103"/>
      <c r="P58" s="338"/>
      <c r="Q58" s="103"/>
      <c r="R58" s="102"/>
      <c r="S58" s="107">
        <f t="shared" ref="S58:AF58" si="64">SUM(S59:S59)</f>
        <v>0</v>
      </c>
      <c r="T58" s="107">
        <f t="shared" si="64"/>
        <v>0</v>
      </c>
      <c r="U58" s="107">
        <f t="shared" si="64"/>
        <v>184304077.94</v>
      </c>
      <c r="V58" s="107">
        <f t="shared" si="64"/>
        <v>0</v>
      </c>
      <c r="W58" s="107">
        <f t="shared" si="64"/>
        <v>0</v>
      </c>
      <c r="X58" s="107">
        <f t="shared" si="64"/>
        <v>0</v>
      </c>
      <c r="Y58" s="107">
        <f t="shared" si="64"/>
        <v>0</v>
      </c>
      <c r="Z58" s="107">
        <f t="shared" si="64"/>
        <v>0</v>
      </c>
      <c r="AA58" s="107">
        <f t="shared" si="64"/>
        <v>0</v>
      </c>
      <c r="AB58" s="107">
        <f t="shared" si="64"/>
        <v>0</v>
      </c>
      <c r="AC58" s="107">
        <f t="shared" si="64"/>
        <v>284721336</v>
      </c>
      <c r="AD58" s="107">
        <f t="shared" si="64"/>
        <v>0</v>
      </c>
      <c r="AE58" s="107">
        <f t="shared" si="64"/>
        <v>0</v>
      </c>
      <c r="AF58" s="107">
        <f t="shared" si="64"/>
        <v>469025413.94</v>
      </c>
    </row>
    <row r="59" spans="1:32" s="138" customFormat="1" ht="91.5" customHeight="1" x14ac:dyDescent="0.2">
      <c r="A59" s="370"/>
      <c r="B59" s="371"/>
      <c r="C59" s="298"/>
      <c r="D59" s="271"/>
      <c r="E59" s="279">
        <v>2402</v>
      </c>
      <c r="F59" s="280" t="s">
        <v>1379</v>
      </c>
      <c r="G59" s="135" t="s">
        <v>198</v>
      </c>
      <c r="H59" s="8" t="s">
        <v>47</v>
      </c>
      <c r="I59" s="7" t="s">
        <v>199</v>
      </c>
      <c r="J59" s="135" t="s">
        <v>200</v>
      </c>
      <c r="K59" s="135" t="s">
        <v>1365</v>
      </c>
      <c r="L59" s="7" t="s">
        <v>1447</v>
      </c>
      <c r="M59" s="279" t="s">
        <v>53</v>
      </c>
      <c r="N59" s="279">
        <v>130</v>
      </c>
      <c r="O59" s="135">
        <v>130</v>
      </c>
      <c r="P59" s="177" t="s">
        <v>201</v>
      </c>
      <c r="Q59" s="279" t="s">
        <v>202</v>
      </c>
      <c r="R59" s="280" t="s">
        <v>203</v>
      </c>
      <c r="S59" s="3"/>
      <c r="T59" s="3"/>
      <c r="U59" s="130">
        <f>479436488.05-295132410.11</f>
        <v>184304077.94</v>
      </c>
      <c r="V59" s="3"/>
      <c r="W59" s="3"/>
      <c r="X59" s="3"/>
      <c r="Y59" s="3"/>
      <c r="Z59" s="3"/>
      <c r="AA59" s="3"/>
      <c r="AB59" s="3"/>
      <c r="AC59" s="136">
        <f>143360668+141360668</f>
        <v>284721336</v>
      </c>
      <c r="AD59" s="3"/>
      <c r="AE59" s="3"/>
      <c r="AF59" s="137">
        <f>+S59+T59+U59+V59+W59+X59+Y59+Z59+AA59+AB59+AC59+AD59+AE59</f>
        <v>469025413.94</v>
      </c>
    </row>
    <row r="60" spans="1:32" ht="23.25" customHeight="1" x14ac:dyDescent="0.2">
      <c r="A60" s="352"/>
      <c r="B60" s="355"/>
      <c r="C60" s="131">
        <v>21</v>
      </c>
      <c r="D60" s="103" t="s">
        <v>204</v>
      </c>
      <c r="E60" s="275" t="s">
        <v>205</v>
      </c>
      <c r="F60" s="102"/>
      <c r="G60" s="103"/>
      <c r="H60" s="104"/>
      <c r="I60" s="102"/>
      <c r="J60" s="103"/>
      <c r="K60" s="103"/>
      <c r="L60" s="102"/>
      <c r="M60" s="105"/>
      <c r="N60" s="105"/>
      <c r="O60" s="103"/>
      <c r="P60" s="338"/>
      <c r="Q60" s="103"/>
      <c r="R60" s="102"/>
      <c r="S60" s="107">
        <f t="shared" ref="S60:AF60" si="65">S61</f>
        <v>0</v>
      </c>
      <c r="T60" s="107">
        <f t="shared" si="65"/>
        <v>0</v>
      </c>
      <c r="U60" s="107">
        <f t="shared" si="65"/>
        <v>0</v>
      </c>
      <c r="V60" s="107">
        <f t="shared" si="65"/>
        <v>0</v>
      </c>
      <c r="W60" s="107">
        <f t="shared" si="65"/>
        <v>0</v>
      </c>
      <c r="X60" s="107">
        <f t="shared" si="65"/>
        <v>0</v>
      </c>
      <c r="Y60" s="107">
        <f t="shared" si="65"/>
        <v>0</v>
      </c>
      <c r="Z60" s="107">
        <f t="shared" si="65"/>
        <v>0</v>
      </c>
      <c r="AA60" s="107">
        <f t="shared" si="65"/>
        <v>0</v>
      </c>
      <c r="AB60" s="107">
        <f t="shared" si="65"/>
        <v>0</v>
      </c>
      <c r="AC60" s="107">
        <f t="shared" si="65"/>
        <v>1000000</v>
      </c>
      <c r="AD60" s="107">
        <f t="shared" si="65"/>
        <v>0</v>
      </c>
      <c r="AE60" s="107">
        <f t="shared" si="65"/>
        <v>0</v>
      </c>
      <c r="AF60" s="107">
        <f t="shared" si="65"/>
        <v>1000000</v>
      </c>
    </row>
    <row r="61" spans="1:32" ht="63.75" customHeight="1" x14ac:dyDescent="0.2">
      <c r="A61" s="352"/>
      <c r="B61" s="355"/>
      <c r="C61" s="289"/>
      <c r="D61" s="290"/>
      <c r="E61" s="272">
        <v>3202</v>
      </c>
      <c r="F61" s="273" t="s">
        <v>206</v>
      </c>
      <c r="G61" s="272" t="s">
        <v>207</v>
      </c>
      <c r="H61" s="135">
        <v>3202033</v>
      </c>
      <c r="I61" s="273" t="s">
        <v>208</v>
      </c>
      <c r="J61" s="272" t="s">
        <v>209</v>
      </c>
      <c r="K61" s="135">
        <v>320203300</v>
      </c>
      <c r="L61" s="273" t="s">
        <v>208</v>
      </c>
      <c r="M61" s="272" t="s">
        <v>143</v>
      </c>
      <c r="N61" s="272">
        <v>1</v>
      </c>
      <c r="O61" s="272">
        <v>0.1</v>
      </c>
      <c r="P61" s="337" t="s">
        <v>189</v>
      </c>
      <c r="Q61" s="272" t="s">
        <v>190</v>
      </c>
      <c r="R61" s="274" t="s">
        <v>191</v>
      </c>
      <c r="S61" s="3"/>
      <c r="T61" s="3"/>
      <c r="U61" s="278"/>
      <c r="V61" s="3"/>
      <c r="W61" s="3"/>
      <c r="X61" s="3"/>
      <c r="Y61" s="3"/>
      <c r="Z61" s="3"/>
      <c r="AA61" s="3"/>
      <c r="AB61" s="3"/>
      <c r="AC61" s="136">
        <v>1000000</v>
      </c>
      <c r="AD61" s="3"/>
      <c r="AE61" s="3"/>
      <c r="AF61" s="109">
        <f>+S61+T61+U61+V61+W61+X61+Y61+Z61+AA61+AB61+AC61+AD61+AE61</f>
        <v>1000000</v>
      </c>
    </row>
    <row r="62" spans="1:32" ht="24" customHeight="1" x14ac:dyDescent="0.2">
      <c r="A62" s="352"/>
      <c r="B62" s="355"/>
      <c r="C62" s="131">
        <v>23</v>
      </c>
      <c r="D62" s="103">
        <v>3205</v>
      </c>
      <c r="E62" s="275" t="s">
        <v>210</v>
      </c>
      <c r="F62" s="102"/>
      <c r="G62" s="103"/>
      <c r="H62" s="104"/>
      <c r="I62" s="102"/>
      <c r="J62" s="103"/>
      <c r="K62" s="103"/>
      <c r="L62" s="102"/>
      <c r="M62" s="105"/>
      <c r="N62" s="105"/>
      <c r="O62" s="103"/>
      <c r="P62" s="338"/>
      <c r="Q62" s="103"/>
      <c r="R62" s="102"/>
      <c r="S62" s="107">
        <f t="shared" ref="S62:AF62" si="66">SUM(S63:S63)</f>
        <v>0</v>
      </c>
      <c r="T62" s="107">
        <f t="shared" si="66"/>
        <v>0</v>
      </c>
      <c r="U62" s="107">
        <f t="shared" si="66"/>
        <v>0</v>
      </c>
      <c r="V62" s="107">
        <f t="shared" si="66"/>
        <v>0</v>
      </c>
      <c r="W62" s="107">
        <f t="shared" si="66"/>
        <v>0</v>
      </c>
      <c r="X62" s="107">
        <f t="shared" si="66"/>
        <v>0</v>
      </c>
      <c r="Y62" s="107">
        <f t="shared" si="66"/>
        <v>0</v>
      </c>
      <c r="Z62" s="107">
        <f t="shared" si="66"/>
        <v>0</v>
      </c>
      <c r="AA62" s="107">
        <f t="shared" si="66"/>
        <v>0</v>
      </c>
      <c r="AB62" s="107">
        <f t="shared" si="66"/>
        <v>0</v>
      </c>
      <c r="AC62" s="107">
        <f t="shared" si="66"/>
        <v>170360668</v>
      </c>
      <c r="AD62" s="107">
        <f t="shared" si="66"/>
        <v>0</v>
      </c>
      <c r="AE62" s="107">
        <f t="shared" si="66"/>
        <v>0</v>
      </c>
      <c r="AF62" s="107">
        <f t="shared" si="66"/>
        <v>170360668</v>
      </c>
    </row>
    <row r="63" spans="1:32" s="138" customFormat="1" ht="97.5" customHeight="1" x14ac:dyDescent="0.2">
      <c r="A63" s="370"/>
      <c r="B63" s="371"/>
      <c r="C63" s="298"/>
      <c r="D63" s="271"/>
      <c r="E63" s="279">
        <v>3205</v>
      </c>
      <c r="F63" s="280" t="s">
        <v>206</v>
      </c>
      <c r="G63" s="279" t="s">
        <v>332</v>
      </c>
      <c r="H63" s="135">
        <v>3205021</v>
      </c>
      <c r="I63" s="280" t="s">
        <v>212</v>
      </c>
      <c r="J63" s="279" t="s">
        <v>211</v>
      </c>
      <c r="K63" s="135">
        <v>320502100</v>
      </c>
      <c r="L63" s="280" t="s">
        <v>213</v>
      </c>
      <c r="M63" s="223" t="s">
        <v>143</v>
      </c>
      <c r="N63" s="223">
        <v>8</v>
      </c>
      <c r="O63" s="223">
        <v>1</v>
      </c>
      <c r="P63" s="177" t="s">
        <v>201</v>
      </c>
      <c r="Q63" s="279" t="s">
        <v>202</v>
      </c>
      <c r="R63" s="280" t="s">
        <v>203</v>
      </c>
      <c r="S63" s="3"/>
      <c r="T63" s="3"/>
      <c r="U63" s="278"/>
      <c r="V63" s="3"/>
      <c r="W63" s="3"/>
      <c r="X63" s="3"/>
      <c r="Y63" s="3"/>
      <c r="Z63" s="3"/>
      <c r="AA63" s="3"/>
      <c r="AB63" s="3"/>
      <c r="AC63" s="136">
        <v>170360668</v>
      </c>
      <c r="AD63" s="3"/>
      <c r="AE63" s="3"/>
      <c r="AF63" s="137">
        <f>+S63+T63+U63+V63+W63+X63+Y63+Z63+AA63+AB63+AC63+AD63+AE63</f>
        <v>170360668</v>
      </c>
    </row>
    <row r="64" spans="1:32" ht="27" customHeight="1" x14ac:dyDescent="0.2">
      <c r="A64" s="352"/>
      <c r="B64" s="355"/>
      <c r="C64" s="131">
        <v>33</v>
      </c>
      <c r="D64" s="103">
        <v>4001</v>
      </c>
      <c r="E64" s="275" t="s">
        <v>214</v>
      </c>
      <c r="F64" s="102"/>
      <c r="G64" s="103"/>
      <c r="H64" s="104"/>
      <c r="I64" s="102"/>
      <c r="J64" s="103"/>
      <c r="K64" s="103"/>
      <c r="L64" s="102"/>
      <c r="M64" s="105"/>
      <c r="N64" s="105"/>
      <c r="O64" s="103"/>
      <c r="P64" s="338"/>
      <c r="Q64" s="103"/>
      <c r="R64" s="102"/>
      <c r="S64" s="107">
        <f t="shared" ref="S64:AF64" si="67">S65</f>
        <v>129129296.87</v>
      </c>
      <c r="T64" s="107">
        <f t="shared" si="67"/>
        <v>0</v>
      </c>
      <c r="U64" s="107">
        <f t="shared" si="67"/>
        <v>0</v>
      </c>
      <c r="V64" s="107">
        <f t="shared" si="67"/>
        <v>0</v>
      </c>
      <c r="W64" s="107">
        <f t="shared" si="67"/>
        <v>0</v>
      </c>
      <c r="X64" s="107">
        <f t="shared" si="67"/>
        <v>0</v>
      </c>
      <c r="Y64" s="107">
        <f t="shared" si="67"/>
        <v>0</v>
      </c>
      <c r="Z64" s="107">
        <f t="shared" si="67"/>
        <v>0</v>
      </c>
      <c r="AA64" s="107">
        <f t="shared" si="67"/>
        <v>0</v>
      </c>
      <c r="AB64" s="107">
        <f t="shared" si="67"/>
        <v>0</v>
      </c>
      <c r="AC64" s="107">
        <f t="shared" si="67"/>
        <v>0</v>
      </c>
      <c r="AD64" s="107">
        <f t="shared" si="67"/>
        <v>0</v>
      </c>
      <c r="AE64" s="107">
        <f t="shared" si="67"/>
        <v>0</v>
      </c>
      <c r="AF64" s="107">
        <f t="shared" si="67"/>
        <v>129129296.87</v>
      </c>
    </row>
    <row r="65" spans="1:38" ht="82.5" customHeight="1" x14ac:dyDescent="0.2">
      <c r="A65" s="352"/>
      <c r="B65" s="355"/>
      <c r="C65" s="289"/>
      <c r="D65" s="290"/>
      <c r="E65" s="272">
        <v>4001</v>
      </c>
      <c r="F65" s="273" t="s">
        <v>1380</v>
      </c>
      <c r="G65" s="218" t="s">
        <v>215</v>
      </c>
      <c r="H65" s="8">
        <v>4001015</v>
      </c>
      <c r="I65" s="273" t="s">
        <v>216</v>
      </c>
      <c r="J65" s="218" t="s">
        <v>217</v>
      </c>
      <c r="K65" s="218" t="s">
        <v>1345</v>
      </c>
      <c r="L65" s="224" t="s">
        <v>218</v>
      </c>
      <c r="M65" s="272" t="s">
        <v>143</v>
      </c>
      <c r="N65" s="272">
        <v>300</v>
      </c>
      <c r="O65" s="272">
        <v>10</v>
      </c>
      <c r="P65" s="337" t="s">
        <v>219</v>
      </c>
      <c r="Q65" s="272" t="s">
        <v>163</v>
      </c>
      <c r="R65" s="273" t="s">
        <v>164</v>
      </c>
      <c r="S65" s="3">
        <f>702546165-270099880.13-303316988</f>
        <v>129129296.87</v>
      </c>
      <c r="T65" s="3"/>
      <c r="U65" s="278"/>
      <c r="V65" s="3"/>
      <c r="W65" s="3"/>
      <c r="X65" s="3"/>
      <c r="Y65" s="3"/>
      <c r="Z65" s="3"/>
      <c r="AA65" s="3"/>
      <c r="AB65" s="3"/>
      <c r="AC65" s="9"/>
      <c r="AD65" s="3"/>
      <c r="AE65" s="3"/>
      <c r="AF65" s="109">
        <f>+S65+T65+U65+V65+W65+X65+Y65+Z65+AA65+AB65+AC65+AD65+AE65</f>
        <v>129129296.87</v>
      </c>
    </row>
    <row r="66" spans="1:38" ht="27.75" customHeight="1" x14ac:dyDescent="0.2">
      <c r="A66" s="352"/>
      <c r="B66" s="355"/>
      <c r="C66" s="131">
        <v>34</v>
      </c>
      <c r="D66" s="103">
        <v>4003</v>
      </c>
      <c r="E66" s="275" t="s">
        <v>220</v>
      </c>
      <c r="F66" s="102"/>
      <c r="G66" s="103"/>
      <c r="H66" s="104"/>
      <c r="I66" s="102"/>
      <c r="J66" s="103"/>
      <c r="K66" s="103"/>
      <c r="L66" s="102"/>
      <c r="M66" s="105"/>
      <c r="N66" s="105"/>
      <c r="O66" s="103"/>
      <c r="P66" s="338"/>
      <c r="Q66" s="103"/>
      <c r="R66" s="102"/>
      <c r="S66" s="107">
        <f t="shared" ref="S66:AF66" si="68">SUM(S67:S71)</f>
        <v>75293233.930000007</v>
      </c>
      <c r="T66" s="107">
        <f t="shared" si="68"/>
        <v>0</v>
      </c>
      <c r="U66" s="107">
        <f t="shared" si="68"/>
        <v>0</v>
      </c>
      <c r="V66" s="107">
        <f t="shared" si="68"/>
        <v>0</v>
      </c>
      <c r="W66" s="107">
        <f t="shared" si="68"/>
        <v>0</v>
      </c>
      <c r="X66" s="107">
        <f t="shared" si="68"/>
        <v>0</v>
      </c>
      <c r="Y66" s="107">
        <f t="shared" si="68"/>
        <v>0</v>
      </c>
      <c r="Z66" s="107">
        <f t="shared" si="68"/>
        <v>0</v>
      </c>
      <c r="AA66" s="107">
        <f t="shared" si="68"/>
        <v>0</v>
      </c>
      <c r="AB66" s="107">
        <f t="shared" si="68"/>
        <v>2686652877.1199999</v>
      </c>
      <c r="AC66" s="107">
        <f t="shared" si="68"/>
        <v>30000000</v>
      </c>
      <c r="AD66" s="107">
        <f t="shared" si="68"/>
        <v>0</v>
      </c>
      <c r="AE66" s="107">
        <f t="shared" si="68"/>
        <v>0</v>
      </c>
      <c r="AF66" s="107">
        <f t="shared" si="68"/>
        <v>2791946111.0500002</v>
      </c>
    </row>
    <row r="67" spans="1:38" ht="85.5" customHeight="1" x14ac:dyDescent="0.2">
      <c r="A67" s="352"/>
      <c r="B67" s="355"/>
      <c r="C67" s="289"/>
      <c r="D67" s="290"/>
      <c r="E67" s="272">
        <v>4003</v>
      </c>
      <c r="F67" s="7" t="s">
        <v>221</v>
      </c>
      <c r="G67" s="272" t="s">
        <v>222</v>
      </c>
      <c r="H67" s="8" t="s">
        <v>47</v>
      </c>
      <c r="I67" s="273" t="s">
        <v>223</v>
      </c>
      <c r="J67" s="272" t="s">
        <v>224</v>
      </c>
      <c r="K67" s="135" t="s">
        <v>47</v>
      </c>
      <c r="L67" s="273" t="s">
        <v>225</v>
      </c>
      <c r="M67" s="272" t="s">
        <v>53</v>
      </c>
      <c r="N67" s="272">
        <v>1</v>
      </c>
      <c r="O67" s="272">
        <v>1</v>
      </c>
      <c r="P67" s="448" t="s">
        <v>226</v>
      </c>
      <c r="Q67" s="441" t="s">
        <v>227</v>
      </c>
      <c r="R67" s="442" t="s">
        <v>1381</v>
      </c>
      <c r="S67" s="3"/>
      <c r="T67" s="3"/>
      <c r="U67" s="278"/>
      <c r="V67" s="3"/>
      <c r="W67" s="3"/>
      <c r="X67" s="3"/>
      <c r="Y67" s="3"/>
      <c r="Z67" s="3"/>
      <c r="AA67" s="3"/>
      <c r="AB67" s="3"/>
      <c r="AC67" s="9">
        <v>30000000</v>
      </c>
      <c r="AD67" s="3"/>
      <c r="AE67" s="3"/>
      <c r="AF67" s="109">
        <f>+S67+T67+U67+V67+W67+X67+Y67+Z67+AA67+AB67+AC67+AD67+AE67</f>
        <v>30000000</v>
      </c>
    </row>
    <row r="68" spans="1:38" ht="67.5" customHeight="1" x14ac:dyDescent="0.2">
      <c r="A68" s="352"/>
      <c r="B68" s="355"/>
      <c r="C68" s="289"/>
      <c r="D68" s="290"/>
      <c r="E68" s="272">
        <v>4003</v>
      </c>
      <c r="F68" s="7" t="s">
        <v>1429</v>
      </c>
      <c r="G68" s="299" t="s">
        <v>229</v>
      </c>
      <c r="H68" s="135">
        <v>4003018</v>
      </c>
      <c r="I68" s="10" t="s">
        <v>230</v>
      </c>
      <c r="J68" s="299" t="s">
        <v>231</v>
      </c>
      <c r="K68" s="135">
        <v>400301802</v>
      </c>
      <c r="L68" s="10" t="s">
        <v>232</v>
      </c>
      <c r="M68" s="272" t="s">
        <v>143</v>
      </c>
      <c r="N68" s="272">
        <v>2</v>
      </c>
      <c r="O68" s="135">
        <v>1</v>
      </c>
      <c r="P68" s="448"/>
      <c r="Q68" s="441"/>
      <c r="R68" s="442"/>
      <c r="S68" s="3"/>
      <c r="T68" s="3"/>
      <c r="U68" s="278"/>
      <c r="V68" s="3"/>
      <c r="W68" s="3"/>
      <c r="X68" s="3"/>
      <c r="Y68" s="3"/>
      <c r="Z68" s="3"/>
      <c r="AA68" s="3"/>
      <c r="AB68" s="3">
        <v>588117000</v>
      </c>
      <c r="AC68" s="9"/>
      <c r="AD68" s="3"/>
      <c r="AE68" s="3"/>
      <c r="AF68" s="109">
        <f>+S68+T68+U68+V68+W68+X68+Y68+Z68+AA68+AB68+AC68+AD68+AE68</f>
        <v>588117000</v>
      </c>
    </row>
    <row r="69" spans="1:38" ht="60" customHeight="1" x14ac:dyDescent="0.2">
      <c r="A69" s="352"/>
      <c r="B69" s="355"/>
      <c r="C69" s="289"/>
      <c r="D69" s="290"/>
      <c r="E69" s="272">
        <v>4003</v>
      </c>
      <c r="F69" s="7" t="s">
        <v>221</v>
      </c>
      <c r="G69" s="218" t="s">
        <v>233</v>
      </c>
      <c r="H69" s="135">
        <v>4003025</v>
      </c>
      <c r="I69" s="10" t="s">
        <v>234</v>
      </c>
      <c r="J69" s="218" t="s">
        <v>235</v>
      </c>
      <c r="K69" s="221">
        <v>400302500</v>
      </c>
      <c r="L69" s="222" t="s">
        <v>236</v>
      </c>
      <c r="M69" s="221" t="s">
        <v>143</v>
      </c>
      <c r="N69" s="221">
        <v>12</v>
      </c>
      <c r="O69" s="221">
        <v>1</v>
      </c>
      <c r="P69" s="448"/>
      <c r="Q69" s="441"/>
      <c r="R69" s="442"/>
      <c r="S69" s="3">
        <f>476050000-400756766.07</f>
        <v>75293233.930000007</v>
      </c>
      <c r="T69" s="3"/>
      <c r="U69" s="278"/>
      <c r="V69" s="3"/>
      <c r="W69" s="3"/>
      <c r="X69" s="3"/>
      <c r="Y69" s="3"/>
      <c r="Z69" s="3"/>
      <c r="AA69" s="3"/>
      <c r="AB69" s="3">
        <v>1288535877.1199999</v>
      </c>
      <c r="AC69" s="9"/>
      <c r="AD69" s="3"/>
      <c r="AE69" s="3"/>
      <c r="AF69" s="109">
        <f>+S69+T69+U69+V69+W69+X69+Y69+Z69+AA69+AB69+AC69+AD69+AE69</f>
        <v>1363829111.05</v>
      </c>
    </row>
    <row r="70" spans="1:38" ht="71.25" customHeight="1" x14ac:dyDescent="0.2">
      <c r="A70" s="352"/>
      <c r="B70" s="355"/>
      <c r="C70" s="289"/>
      <c r="D70" s="290"/>
      <c r="E70" s="272">
        <v>4003</v>
      </c>
      <c r="F70" s="7" t="s">
        <v>221</v>
      </c>
      <c r="G70" s="299" t="s">
        <v>237</v>
      </c>
      <c r="H70" s="135">
        <v>4003028</v>
      </c>
      <c r="I70" s="10" t="s">
        <v>238</v>
      </c>
      <c r="J70" s="299" t="s">
        <v>239</v>
      </c>
      <c r="K70" s="135">
        <v>400302801</v>
      </c>
      <c r="L70" s="10" t="s">
        <v>240</v>
      </c>
      <c r="M70" s="272" t="s">
        <v>53</v>
      </c>
      <c r="N70" s="272">
        <v>4</v>
      </c>
      <c r="O70" s="135">
        <v>4</v>
      </c>
      <c r="P70" s="448"/>
      <c r="Q70" s="441"/>
      <c r="R70" s="442"/>
      <c r="S70" s="3"/>
      <c r="T70" s="3"/>
      <c r="U70" s="278"/>
      <c r="V70" s="3"/>
      <c r="W70" s="3"/>
      <c r="X70" s="3"/>
      <c r="Y70" s="3"/>
      <c r="Z70" s="3"/>
      <c r="AA70" s="3"/>
      <c r="AB70" s="3">
        <v>125000000</v>
      </c>
      <c r="AC70" s="9"/>
      <c r="AD70" s="3"/>
      <c r="AE70" s="3"/>
      <c r="AF70" s="109">
        <f>+S70+T70+U70+V70+W70+X70+Y70+Z70+AA70+AB70+AC70+AD70+AE70</f>
        <v>125000000</v>
      </c>
    </row>
    <row r="71" spans="1:38" ht="56.25" customHeight="1" x14ac:dyDescent="0.2">
      <c r="A71" s="352"/>
      <c r="B71" s="356"/>
      <c r="C71" s="289"/>
      <c r="D71" s="290"/>
      <c r="E71" s="272">
        <v>4003</v>
      </c>
      <c r="F71" s="7" t="s">
        <v>221</v>
      </c>
      <c r="G71" s="299" t="s">
        <v>241</v>
      </c>
      <c r="H71" s="135">
        <v>4003042</v>
      </c>
      <c r="I71" s="10" t="s">
        <v>242</v>
      </c>
      <c r="J71" s="299" t="s">
        <v>243</v>
      </c>
      <c r="K71" s="135">
        <v>400304200</v>
      </c>
      <c r="L71" s="10" t="s">
        <v>244</v>
      </c>
      <c r="M71" s="272" t="s">
        <v>143</v>
      </c>
      <c r="N71" s="272">
        <v>8</v>
      </c>
      <c r="O71" s="135">
        <v>1</v>
      </c>
      <c r="P71" s="448"/>
      <c r="Q71" s="441"/>
      <c r="R71" s="442"/>
      <c r="S71" s="3"/>
      <c r="T71" s="3"/>
      <c r="U71" s="278"/>
      <c r="V71" s="3"/>
      <c r="W71" s="3"/>
      <c r="X71" s="3"/>
      <c r="Y71" s="3"/>
      <c r="Z71" s="3"/>
      <c r="AA71" s="3"/>
      <c r="AB71" s="3">
        <v>685000000</v>
      </c>
      <c r="AC71" s="9"/>
      <c r="AD71" s="3"/>
      <c r="AE71" s="3"/>
      <c r="AF71" s="109">
        <f>+S71+T71+U71+V71+W71+X71+Y71+Z71+AA71+AB71+AC71+AD71+AE71</f>
        <v>685000000</v>
      </c>
    </row>
    <row r="72" spans="1:38" ht="24.75" customHeight="1" x14ac:dyDescent="0.2">
      <c r="A72" s="352"/>
      <c r="B72" s="193">
        <v>4</v>
      </c>
      <c r="C72" s="95" t="s">
        <v>72</v>
      </c>
      <c r="D72" s="96"/>
      <c r="E72" s="96"/>
      <c r="F72" s="97"/>
      <c r="G72" s="98"/>
      <c r="H72" s="99"/>
      <c r="I72" s="97"/>
      <c r="J72" s="98"/>
      <c r="K72" s="98"/>
      <c r="L72" s="97"/>
      <c r="M72" s="100"/>
      <c r="N72" s="100"/>
      <c r="O72" s="98"/>
      <c r="P72" s="340"/>
      <c r="Q72" s="98"/>
      <c r="R72" s="97"/>
      <c r="S72" s="101">
        <f t="shared" ref="S72:AE72" si="69">S73+S75</f>
        <v>0</v>
      </c>
      <c r="T72" s="101">
        <f t="shared" si="69"/>
        <v>0</v>
      </c>
      <c r="U72" s="101">
        <f t="shared" si="69"/>
        <v>0</v>
      </c>
      <c r="V72" s="101">
        <f t="shared" si="69"/>
        <v>0</v>
      </c>
      <c r="W72" s="101">
        <f t="shared" si="69"/>
        <v>0</v>
      </c>
      <c r="X72" s="101">
        <f t="shared" si="69"/>
        <v>0</v>
      </c>
      <c r="Y72" s="101">
        <f t="shared" si="69"/>
        <v>0</v>
      </c>
      <c r="Z72" s="101">
        <f t="shared" si="69"/>
        <v>0</v>
      </c>
      <c r="AA72" s="101">
        <f t="shared" si="69"/>
        <v>0</v>
      </c>
      <c r="AB72" s="101">
        <f t="shared" si="69"/>
        <v>0</v>
      </c>
      <c r="AC72" s="101">
        <f t="shared" si="69"/>
        <v>36041593.740000002</v>
      </c>
      <c r="AD72" s="101">
        <f t="shared" si="69"/>
        <v>60660648</v>
      </c>
      <c r="AE72" s="101">
        <f t="shared" si="69"/>
        <v>0</v>
      </c>
      <c r="AF72" s="101">
        <f t="shared" ref="AF72" si="70">AF73+AF75</f>
        <v>96702241.739999995</v>
      </c>
    </row>
    <row r="73" spans="1:38" ht="24.75" customHeight="1" x14ac:dyDescent="0.2">
      <c r="A73" s="352"/>
      <c r="B73" s="354"/>
      <c r="C73" s="131">
        <v>45</v>
      </c>
      <c r="D73" s="103" t="s">
        <v>47</v>
      </c>
      <c r="E73" s="275" t="s">
        <v>48</v>
      </c>
      <c r="F73" s="102"/>
      <c r="G73" s="103"/>
      <c r="H73" s="104"/>
      <c r="I73" s="102"/>
      <c r="J73" s="103"/>
      <c r="K73" s="103"/>
      <c r="L73" s="102"/>
      <c r="M73" s="105"/>
      <c r="N73" s="105"/>
      <c r="O73" s="103"/>
      <c r="P73" s="338"/>
      <c r="Q73" s="103"/>
      <c r="R73" s="102"/>
      <c r="S73" s="107">
        <f t="shared" ref="S73:AF73" si="71">S74</f>
        <v>0</v>
      </c>
      <c r="T73" s="107">
        <f t="shared" si="71"/>
        <v>0</v>
      </c>
      <c r="U73" s="107">
        <f t="shared" si="71"/>
        <v>0</v>
      </c>
      <c r="V73" s="107">
        <f t="shared" si="71"/>
        <v>0</v>
      </c>
      <c r="W73" s="107">
        <f t="shared" si="71"/>
        <v>0</v>
      </c>
      <c r="X73" s="107">
        <f t="shared" si="71"/>
        <v>0</v>
      </c>
      <c r="Y73" s="107">
        <f t="shared" si="71"/>
        <v>0</v>
      </c>
      <c r="Z73" s="107">
        <f t="shared" si="71"/>
        <v>0</v>
      </c>
      <c r="AA73" s="107">
        <f t="shared" si="71"/>
        <v>0</v>
      </c>
      <c r="AB73" s="107">
        <f t="shared" si="71"/>
        <v>0</v>
      </c>
      <c r="AC73" s="107">
        <f t="shared" si="71"/>
        <v>12013864.58</v>
      </c>
      <c r="AD73" s="107">
        <f t="shared" si="71"/>
        <v>60660648</v>
      </c>
      <c r="AE73" s="107">
        <f t="shared" si="71"/>
        <v>0</v>
      </c>
      <c r="AF73" s="107">
        <f t="shared" si="71"/>
        <v>72674512.579999998</v>
      </c>
    </row>
    <row r="74" spans="1:38" ht="91.5" customHeight="1" x14ac:dyDescent="0.2">
      <c r="A74" s="352"/>
      <c r="B74" s="355"/>
      <c r="C74" s="289"/>
      <c r="D74" s="290"/>
      <c r="E74" s="272" t="s">
        <v>47</v>
      </c>
      <c r="F74" s="274" t="s">
        <v>49</v>
      </c>
      <c r="G74" s="281" t="s">
        <v>245</v>
      </c>
      <c r="H74" s="272" t="s">
        <v>47</v>
      </c>
      <c r="I74" s="274" t="s">
        <v>246</v>
      </c>
      <c r="J74" s="281" t="s">
        <v>247</v>
      </c>
      <c r="K74" s="135" t="s">
        <v>47</v>
      </c>
      <c r="L74" s="274" t="s">
        <v>248</v>
      </c>
      <c r="M74" s="272" t="s">
        <v>53</v>
      </c>
      <c r="N74" s="272">
        <v>4</v>
      </c>
      <c r="O74" s="281">
        <v>4</v>
      </c>
      <c r="P74" s="335" t="s">
        <v>54</v>
      </c>
      <c r="Q74" s="272" t="s">
        <v>163</v>
      </c>
      <c r="R74" s="273" t="s">
        <v>164</v>
      </c>
      <c r="S74" s="134"/>
      <c r="T74" s="3"/>
      <c r="U74" s="3"/>
      <c r="V74" s="3"/>
      <c r="W74" s="3"/>
      <c r="X74" s="3"/>
      <c r="Y74" s="3"/>
      <c r="Z74" s="3"/>
      <c r="AA74" s="3"/>
      <c r="AB74" s="3"/>
      <c r="AC74" s="9">
        <v>12013864.58</v>
      </c>
      <c r="AD74" s="9">
        <v>60660648</v>
      </c>
      <c r="AE74" s="3"/>
      <c r="AF74" s="109">
        <f>+S74+T74+U74+V74+W74+X74+Y74+Z74+AA74+AB74+AC74+AD74+AE74</f>
        <v>72674512.579999998</v>
      </c>
    </row>
    <row r="75" spans="1:38" ht="24.75" customHeight="1" x14ac:dyDescent="0.2">
      <c r="A75" s="352"/>
      <c r="B75" s="355"/>
      <c r="C75" s="131">
        <v>42</v>
      </c>
      <c r="D75" s="103">
        <v>4502</v>
      </c>
      <c r="E75" s="275" t="s">
        <v>63</v>
      </c>
      <c r="F75" s="102"/>
      <c r="G75" s="103"/>
      <c r="H75" s="104"/>
      <c r="I75" s="102"/>
      <c r="J75" s="103"/>
      <c r="K75" s="103"/>
      <c r="L75" s="102"/>
      <c r="M75" s="105"/>
      <c r="N75" s="105"/>
      <c r="O75" s="103"/>
      <c r="P75" s="338"/>
      <c r="Q75" s="103"/>
      <c r="R75" s="102"/>
      <c r="S75" s="107">
        <f t="shared" ref="S75:AF75" si="72">S76</f>
        <v>0</v>
      </c>
      <c r="T75" s="107">
        <f t="shared" si="72"/>
        <v>0</v>
      </c>
      <c r="U75" s="107">
        <f t="shared" si="72"/>
        <v>0</v>
      </c>
      <c r="V75" s="107">
        <f t="shared" si="72"/>
        <v>0</v>
      </c>
      <c r="W75" s="107">
        <f t="shared" si="72"/>
        <v>0</v>
      </c>
      <c r="X75" s="107">
        <f t="shared" si="72"/>
        <v>0</v>
      </c>
      <c r="Y75" s="107">
        <f t="shared" si="72"/>
        <v>0</v>
      </c>
      <c r="Z75" s="107">
        <f t="shared" si="72"/>
        <v>0</v>
      </c>
      <c r="AA75" s="107">
        <f t="shared" si="72"/>
        <v>0</v>
      </c>
      <c r="AB75" s="107">
        <f t="shared" si="72"/>
        <v>0</v>
      </c>
      <c r="AC75" s="107">
        <f t="shared" si="72"/>
        <v>24027729.16</v>
      </c>
      <c r="AD75" s="107">
        <f t="shared" si="72"/>
        <v>0</v>
      </c>
      <c r="AE75" s="107">
        <f t="shared" si="72"/>
        <v>0</v>
      </c>
      <c r="AF75" s="107">
        <f t="shared" si="72"/>
        <v>24027729.16</v>
      </c>
    </row>
    <row r="76" spans="1:38" ht="47.25" customHeight="1" x14ac:dyDescent="0.2">
      <c r="A76" s="353"/>
      <c r="B76" s="356"/>
      <c r="C76" s="289"/>
      <c r="D76" s="290"/>
      <c r="E76" s="272">
        <v>4502</v>
      </c>
      <c r="F76" s="273" t="s">
        <v>73</v>
      </c>
      <c r="G76" s="135" t="s">
        <v>249</v>
      </c>
      <c r="H76" s="135">
        <v>4502003</v>
      </c>
      <c r="I76" s="7" t="s">
        <v>250</v>
      </c>
      <c r="J76" s="135" t="s">
        <v>251</v>
      </c>
      <c r="K76" s="135">
        <v>450200300</v>
      </c>
      <c r="L76" s="7" t="s">
        <v>250</v>
      </c>
      <c r="M76" s="272" t="s">
        <v>143</v>
      </c>
      <c r="N76" s="272">
        <v>8</v>
      </c>
      <c r="O76" s="135">
        <v>2</v>
      </c>
      <c r="P76" s="337" t="s">
        <v>69</v>
      </c>
      <c r="Q76" s="272" t="s">
        <v>163</v>
      </c>
      <c r="R76" s="273" t="s">
        <v>164</v>
      </c>
      <c r="S76" s="134"/>
      <c r="T76" s="3"/>
      <c r="U76" s="3"/>
      <c r="V76" s="3"/>
      <c r="W76" s="3"/>
      <c r="X76" s="3"/>
      <c r="Y76" s="3"/>
      <c r="Z76" s="3"/>
      <c r="AA76" s="3"/>
      <c r="AB76" s="3"/>
      <c r="AC76" s="9">
        <v>24027729.16</v>
      </c>
      <c r="AD76" s="117"/>
      <c r="AE76" s="3"/>
      <c r="AF76" s="109">
        <f>+S76+T76+U76+V76+W76+X76+Y76+Z76+AA76+AB76+AC76+AD76+AE76</f>
        <v>24027729.16</v>
      </c>
    </row>
    <row r="77" spans="1:38" s="176" customFormat="1" ht="15.75" x14ac:dyDescent="0.2">
      <c r="A77" s="357"/>
      <c r="B77" s="358"/>
      <c r="C77" s="358"/>
      <c r="D77" s="359"/>
      <c r="E77" s="360"/>
      <c r="F77" s="360"/>
      <c r="G77" s="361"/>
      <c r="H77" s="361"/>
      <c r="I77" s="362"/>
      <c r="J77" s="363"/>
      <c r="K77" s="363"/>
      <c r="L77" s="362"/>
      <c r="M77" s="361"/>
      <c r="N77" s="361"/>
      <c r="O77" s="363"/>
      <c r="P77" s="361"/>
      <c r="Q77" s="361"/>
      <c r="R77" s="362"/>
      <c r="S77" s="364"/>
      <c r="T77" s="364"/>
      <c r="U77" s="364"/>
      <c r="V77" s="364"/>
      <c r="W77" s="364"/>
      <c r="X77" s="364"/>
      <c r="Y77" s="364"/>
      <c r="Z77" s="364"/>
      <c r="AA77" s="364"/>
      <c r="AB77" s="364"/>
      <c r="AC77" s="365"/>
      <c r="AD77" s="364"/>
      <c r="AE77" s="364"/>
      <c r="AF77" s="434"/>
    </row>
    <row r="78" spans="1:38" ht="15.75" x14ac:dyDescent="0.2">
      <c r="A78" s="145" t="s">
        <v>252</v>
      </c>
      <c r="B78" s="145"/>
      <c r="C78" s="145"/>
      <c r="D78" s="146"/>
      <c r="E78" s="146"/>
      <c r="F78" s="147"/>
      <c r="G78" s="148"/>
      <c r="H78" s="92"/>
      <c r="I78" s="147"/>
      <c r="J78" s="148"/>
      <c r="K78" s="148"/>
      <c r="L78" s="147"/>
      <c r="M78" s="92"/>
      <c r="N78" s="92"/>
      <c r="O78" s="148"/>
      <c r="P78" s="146"/>
      <c r="Q78" s="148"/>
      <c r="R78" s="147"/>
      <c r="S78" s="124">
        <f>+S79+S100+S108</f>
        <v>0</v>
      </c>
      <c r="T78" s="124">
        <f t="shared" ref="T78:AE78" si="73">+T79+T100+T108</f>
        <v>2192073558.0099998</v>
      </c>
      <c r="U78" s="124">
        <f t="shared" si="73"/>
        <v>0</v>
      </c>
      <c r="V78" s="124">
        <f t="shared" si="73"/>
        <v>0</v>
      </c>
      <c r="W78" s="124">
        <f t="shared" si="73"/>
        <v>0</v>
      </c>
      <c r="X78" s="124">
        <f t="shared" si="73"/>
        <v>0</v>
      </c>
      <c r="Y78" s="124">
        <f t="shared" si="73"/>
        <v>0</v>
      </c>
      <c r="Z78" s="124">
        <f t="shared" si="73"/>
        <v>0</v>
      </c>
      <c r="AA78" s="124">
        <f t="shared" si="73"/>
        <v>0</v>
      </c>
      <c r="AB78" s="124">
        <f t="shared" si="73"/>
        <v>0</v>
      </c>
      <c r="AC78" s="124">
        <f t="shared" si="73"/>
        <v>1638147036.3</v>
      </c>
      <c r="AD78" s="124">
        <f t="shared" si="73"/>
        <v>0</v>
      </c>
      <c r="AE78" s="124">
        <f t="shared" si="73"/>
        <v>0</v>
      </c>
      <c r="AF78" s="124">
        <f>+AF79+AF100+AF108</f>
        <v>3830220594.3099999</v>
      </c>
      <c r="AG78" s="401"/>
      <c r="AH78" s="401"/>
      <c r="AI78" s="401"/>
      <c r="AJ78" s="401"/>
      <c r="AK78" s="401"/>
      <c r="AL78" s="401"/>
    </row>
    <row r="79" spans="1:38" ht="15.75" x14ac:dyDescent="0.2">
      <c r="A79" s="366"/>
      <c r="B79" s="193">
        <v>1</v>
      </c>
      <c r="C79" s="95" t="s">
        <v>1</v>
      </c>
      <c r="D79" s="96"/>
      <c r="E79" s="96"/>
      <c r="F79" s="97"/>
      <c r="G79" s="98"/>
      <c r="H79" s="99"/>
      <c r="I79" s="97"/>
      <c r="J79" s="98"/>
      <c r="K79" s="98"/>
      <c r="L79" s="97"/>
      <c r="M79" s="99"/>
      <c r="N79" s="99"/>
      <c r="O79" s="98"/>
      <c r="P79" s="96"/>
      <c r="Q79" s="98"/>
      <c r="R79" s="97"/>
      <c r="S79" s="101">
        <f>+S80+S82+S84+S86+S88+S94+S96</f>
        <v>0</v>
      </c>
      <c r="T79" s="101">
        <f t="shared" ref="T79:AE79" si="74">+T80+T82+T84+T86+T88+T94+T96</f>
        <v>2192073558.0099998</v>
      </c>
      <c r="U79" s="101">
        <f t="shared" si="74"/>
        <v>0</v>
      </c>
      <c r="V79" s="101">
        <f t="shared" si="74"/>
        <v>0</v>
      </c>
      <c r="W79" s="101">
        <f t="shared" si="74"/>
        <v>0</v>
      </c>
      <c r="X79" s="101">
        <f t="shared" si="74"/>
        <v>0</v>
      </c>
      <c r="Y79" s="101">
        <f t="shared" si="74"/>
        <v>0</v>
      </c>
      <c r="Z79" s="101">
        <f t="shared" si="74"/>
        <v>0</v>
      </c>
      <c r="AA79" s="101">
        <f t="shared" si="74"/>
        <v>0</v>
      </c>
      <c r="AB79" s="101">
        <f t="shared" si="74"/>
        <v>0</v>
      </c>
      <c r="AC79" s="101">
        <f t="shared" si="74"/>
        <v>1051464495</v>
      </c>
      <c r="AD79" s="101">
        <f t="shared" si="74"/>
        <v>0</v>
      </c>
      <c r="AE79" s="101">
        <f t="shared" si="74"/>
        <v>0</v>
      </c>
      <c r="AF79" s="101">
        <f>+AF80+AF82+AF84+AF86+AF88+AF94+AF96</f>
        <v>3243538053.0099998</v>
      </c>
    </row>
    <row r="80" spans="1:38" ht="15.75" x14ac:dyDescent="0.2">
      <c r="A80" s="352"/>
      <c r="B80" s="354"/>
      <c r="C80" s="131">
        <v>1</v>
      </c>
      <c r="D80" s="103">
        <v>1202</v>
      </c>
      <c r="E80" s="275" t="s">
        <v>1378</v>
      </c>
      <c r="F80" s="102"/>
      <c r="G80" s="103"/>
      <c r="H80" s="104"/>
      <c r="I80" s="102"/>
      <c r="J80" s="103"/>
      <c r="K80" s="103"/>
      <c r="L80" s="102"/>
      <c r="M80" s="104"/>
      <c r="N80" s="104"/>
      <c r="O80" s="103"/>
      <c r="P80" s="106"/>
      <c r="Q80" s="103"/>
      <c r="R80" s="102"/>
      <c r="S80" s="275"/>
      <c r="T80" s="275"/>
      <c r="U80" s="275"/>
      <c r="V80" s="275"/>
      <c r="W80" s="275"/>
      <c r="X80" s="275"/>
      <c r="Y80" s="275"/>
      <c r="Z80" s="275"/>
      <c r="AA80" s="275"/>
      <c r="AB80" s="275"/>
      <c r="AC80" s="300">
        <f>+AC81</f>
        <v>112128400</v>
      </c>
      <c r="AD80" s="275"/>
      <c r="AE80" s="411"/>
      <c r="AF80" s="300">
        <f>+AF81</f>
        <v>112128400</v>
      </c>
    </row>
    <row r="81" spans="1:32" ht="207" customHeight="1" x14ac:dyDescent="0.2">
      <c r="A81" s="352"/>
      <c r="B81" s="355"/>
      <c r="C81" s="289"/>
      <c r="D81" s="290"/>
      <c r="E81" s="272">
        <v>1202</v>
      </c>
      <c r="F81" s="273" t="s">
        <v>138</v>
      </c>
      <c r="G81" s="225" t="s">
        <v>253</v>
      </c>
      <c r="H81" s="281">
        <v>1202004</v>
      </c>
      <c r="I81" s="274" t="s">
        <v>1363</v>
      </c>
      <c r="J81" s="225" t="s">
        <v>254</v>
      </c>
      <c r="K81" s="135">
        <v>120200400</v>
      </c>
      <c r="L81" s="226" t="s">
        <v>255</v>
      </c>
      <c r="M81" s="272" t="s">
        <v>53</v>
      </c>
      <c r="N81" s="272">
        <v>12</v>
      </c>
      <c r="O81" s="281">
        <v>12</v>
      </c>
      <c r="P81" s="337" t="s">
        <v>256</v>
      </c>
      <c r="Q81" s="272" t="s">
        <v>257</v>
      </c>
      <c r="R81" s="273" t="s">
        <v>258</v>
      </c>
      <c r="S81" s="3"/>
      <c r="T81" s="21"/>
      <c r="U81" s="3"/>
      <c r="V81" s="3"/>
      <c r="W81" s="3"/>
      <c r="X81" s="3"/>
      <c r="Y81" s="3"/>
      <c r="Z81" s="3"/>
      <c r="AA81" s="3"/>
      <c r="AB81" s="3"/>
      <c r="AC81" s="9">
        <v>112128400</v>
      </c>
      <c r="AD81" s="3"/>
      <c r="AE81" s="3"/>
      <c r="AF81" s="109">
        <f>+S81+T81+U81+V81+W81+X81+Y81+Z81+AA81+AB81+AC81+AD81+AE81</f>
        <v>112128400</v>
      </c>
    </row>
    <row r="82" spans="1:32" ht="20.25" customHeight="1" x14ac:dyDescent="0.2">
      <c r="A82" s="352"/>
      <c r="B82" s="355"/>
      <c r="C82" s="131">
        <v>2</v>
      </c>
      <c r="D82" s="103">
        <v>1203</v>
      </c>
      <c r="E82" s="275" t="s">
        <v>259</v>
      </c>
      <c r="F82" s="102"/>
      <c r="G82" s="103"/>
      <c r="H82" s="104"/>
      <c r="I82" s="102"/>
      <c r="J82" s="103"/>
      <c r="K82" s="103"/>
      <c r="L82" s="102"/>
      <c r="M82" s="104"/>
      <c r="N82" s="104"/>
      <c r="O82" s="103"/>
      <c r="P82" s="338"/>
      <c r="Q82" s="103"/>
      <c r="R82" s="102"/>
      <c r="S82" s="107"/>
      <c r="T82" s="107"/>
      <c r="U82" s="107"/>
      <c r="V82" s="107"/>
      <c r="W82" s="107"/>
      <c r="X82" s="107"/>
      <c r="Y82" s="107"/>
      <c r="Z82" s="107"/>
      <c r="AA82" s="107"/>
      <c r="AB82" s="107"/>
      <c r="AC82" s="107">
        <f>AC83</f>
        <v>15000000</v>
      </c>
      <c r="AD82" s="107"/>
      <c r="AE82" s="107"/>
      <c r="AF82" s="107">
        <f>+AF83</f>
        <v>15000000</v>
      </c>
    </row>
    <row r="83" spans="1:32" ht="120" customHeight="1" x14ac:dyDescent="0.2">
      <c r="A83" s="352"/>
      <c r="B83" s="355"/>
      <c r="C83" s="289"/>
      <c r="D83" s="290"/>
      <c r="E83" s="272">
        <v>1203</v>
      </c>
      <c r="F83" s="273" t="s">
        <v>138</v>
      </c>
      <c r="G83" s="272" t="s">
        <v>260</v>
      </c>
      <c r="H83" s="281">
        <v>1203002</v>
      </c>
      <c r="I83" s="274" t="s">
        <v>261</v>
      </c>
      <c r="J83" s="225" t="s">
        <v>262</v>
      </c>
      <c r="K83" s="135">
        <v>120300200</v>
      </c>
      <c r="L83" s="226" t="s">
        <v>263</v>
      </c>
      <c r="M83" s="276" t="s">
        <v>143</v>
      </c>
      <c r="N83" s="272">
        <v>150</v>
      </c>
      <c r="O83" s="281">
        <v>10</v>
      </c>
      <c r="P83" s="337" t="s">
        <v>256</v>
      </c>
      <c r="Q83" s="272" t="s">
        <v>264</v>
      </c>
      <c r="R83" s="273" t="s">
        <v>265</v>
      </c>
      <c r="S83" s="3"/>
      <c r="T83" s="109"/>
      <c r="U83" s="3"/>
      <c r="V83" s="3"/>
      <c r="W83" s="3"/>
      <c r="X83" s="3"/>
      <c r="Y83" s="3"/>
      <c r="Z83" s="3"/>
      <c r="AA83" s="3"/>
      <c r="AB83" s="3"/>
      <c r="AC83" s="9">
        <f>15000000</f>
        <v>15000000</v>
      </c>
      <c r="AD83" s="3"/>
      <c r="AE83" s="301"/>
      <c r="AF83" s="109">
        <f>+S83+T83+U83+V83+W83+X83+Y83+Z83+AA83+AB83+AC83+AD83+AE83</f>
        <v>15000000</v>
      </c>
    </row>
    <row r="84" spans="1:32" ht="15.75" x14ac:dyDescent="0.2">
      <c r="A84" s="352"/>
      <c r="B84" s="355"/>
      <c r="C84" s="131">
        <v>3</v>
      </c>
      <c r="D84" s="103">
        <v>1206</v>
      </c>
      <c r="E84" s="275" t="s">
        <v>266</v>
      </c>
      <c r="F84" s="102"/>
      <c r="G84" s="103"/>
      <c r="H84" s="104"/>
      <c r="I84" s="102"/>
      <c r="J84" s="103"/>
      <c r="K84" s="103"/>
      <c r="L84" s="102"/>
      <c r="M84" s="104"/>
      <c r="N84" s="104"/>
      <c r="O84" s="103"/>
      <c r="P84" s="102"/>
      <c r="Q84" s="103"/>
      <c r="R84" s="102"/>
      <c r="S84" s="158"/>
      <c r="T84" s="158"/>
      <c r="U84" s="158"/>
      <c r="V84" s="158"/>
      <c r="W84" s="158"/>
      <c r="X84" s="158"/>
      <c r="Y84" s="158"/>
      <c r="Z84" s="158"/>
      <c r="AA84" s="158"/>
      <c r="AB84" s="158"/>
      <c r="AC84" s="107">
        <f>+AC85</f>
        <v>15000000</v>
      </c>
      <c r="AD84" s="158"/>
      <c r="AE84" s="158"/>
      <c r="AF84" s="107">
        <f>+AF85</f>
        <v>15000000</v>
      </c>
    </row>
    <row r="85" spans="1:32" ht="98.25" customHeight="1" x14ac:dyDescent="0.2">
      <c r="A85" s="352"/>
      <c r="B85" s="355"/>
      <c r="C85" s="289"/>
      <c r="D85" s="290"/>
      <c r="E85" s="272">
        <v>1206</v>
      </c>
      <c r="F85" s="273" t="s">
        <v>138</v>
      </c>
      <c r="G85" s="281" t="s">
        <v>267</v>
      </c>
      <c r="H85" s="281">
        <v>1206005</v>
      </c>
      <c r="I85" s="274" t="s">
        <v>268</v>
      </c>
      <c r="J85" s="281" t="s">
        <v>269</v>
      </c>
      <c r="K85" s="135">
        <v>120600500</v>
      </c>
      <c r="L85" s="274" t="s">
        <v>270</v>
      </c>
      <c r="M85" s="276" t="s">
        <v>143</v>
      </c>
      <c r="N85" s="272">
        <v>100</v>
      </c>
      <c r="O85" s="281">
        <v>15</v>
      </c>
      <c r="P85" s="337" t="s">
        <v>256</v>
      </c>
      <c r="Q85" s="272" t="s">
        <v>264</v>
      </c>
      <c r="R85" s="273" t="s">
        <v>265</v>
      </c>
      <c r="S85" s="3"/>
      <c r="T85" s="20"/>
      <c r="U85" s="3"/>
      <c r="V85" s="3"/>
      <c r="W85" s="3"/>
      <c r="X85" s="3"/>
      <c r="Y85" s="3"/>
      <c r="Z85" s="3"/>
      <c r="AA85" s="3"/>
      <c r="AB85" s="3"/>
      <c r="AC85" s="9">
        <f>15000000</f>
        <v>15000000</v>
      </c>
      <c r="AD85" s="3"/>
      <c r="AE85" s="3"/>
      <c r="AF85" s="109">
        <f>+S85+T85+U85+V85+W85+X85+Y85+Z85+AA85+AB85+AC85+AD85+AE85</f>
        <v>15000000</v>
      </c>
    </row>
    <row r="86" spans="1:32" ht="18.75" customHeight="1" x14ac:dyDescent="0.2">
      <c r="A86" s="352"/>
      <c r="B86" s="355"/>
      <c r="C86" s="131">
        <v>15</v>
      </c>
      <c r="D86" s="103">
        <v>2201</v>
      </c>
      <c r="E86" s="275" t="s">
        <v>155</v>
      </c>
      <c r="F86" s="102"/>
      <c r="G86" s="103"/>
      <c r="H86" s="104"/>
      <c r="I86" s="102"/>
      <c r="J86" s="103"/>
      <c r="K86" s="103"/>
      <c r="L86" s="102"/>
      <c r="M86" s="104"/>
      <c r="N86" s="104"/>
      <c r="O86" s="103"/>
      <c r="P86" s="338"/>
      <c r="Q86" s="103"/>
      <c r="R86" s="102"/>
      <c r="S86" s="275"/>
      <c r="T86" s="275"/>
      <c r="U86" s="275"/>
      <c r="V86" s="275"/>
      <c r="W86" s="275"/>
      <c r="X86" s="275"/>
      <c r="Y86" s="275"/>
      <c r="Z86" s="275"/>
      <c r="AA86" s="275"/>
      <c r="AB86" s="275"/>
      <c r="AC86" s="139">
        <f>+AC87</f>
        <v>201866667</v>
      </c>
      <c r="AD86" s="275"/>
      <c r="AE86" s="411"/>
      <c r="AF86" s="139">
        <f>+AF87</f>
        <v>201866667</v>
      </c>
    </row>
    <row r="87" spans="1:32" ht="140.25" customHeight="1" x14ac:dyDescent="0.2">
      <c r="A87" s="352"/>
      <c r="B87" s="355"/>
      <c r="C87" s="289"/>
      <c r="D87" s="290"/>
      <c r="E87" s="282">
        <v>2201</v>
      </c>
      <c r="F87" s="273" t="s">
        <v>1364</v>
      </c>
      <c r="G87" s="272" t="s">
        <v>271</v>
      </c>
      <c r="H87" s="8">
        <v>2201068</v>
      </c>
      <c r="I87" s="273" t="s">
        <v>272</v>
      </c>
      <c r="J87" s="272" t="s">
        <v>273</v>
      </c>
      <c r="K87" s="135">
        <v>220106800</v>
      </c>
      <c r="L87" s="273" t="s">
        <v>274</v>
      </c>
      <c r="M87" s="160" t="s">
        <v>143</v>
      </c>
      <c r="N87" s="160">
        <v>266</v>
      </c>
      <c r="O87" s="160">
        <v>40</v>
      </c>
      <c r="P87" s="335" t="s">
        <v>162</v>
      </c>
      <c r="Q87" s="272" t="s">
        <v>275</v>
      </c>
      <c r="R87" s="273" t="s">
        <v>276</v>
      </c>
      <c r="S87" s="3"/>
      <c r="T87" s="3"/>
      <c r="U87" s="3"/>
      <c r="V87" s="3"/>
      <c r="W87" s="3"/>
      <c r="X87" s="3"/>
      <c r="Y87" s="3"/>
      <c r="Z87" s="3"/>
      <c r="AA87" s="3"/>
      <c r="AB87" s="3"/>
      <c r="AC87" s="9">
        <f>21866667+180000000</f>
        <v>201866667</v>
      </c>
      <c r="AD87" s="3"/>
      <c r="AE87" s="3"/>
      <c r="AF87" s="109">
        <f>+S87+T87+U87+V87+W87+X87+Y87+Z87+AA87+AB87+AC87+AD87+AE87</f>
        <v>201866667</v>
      </c>
    </row>
    <row r="88" spans="1:32" ht="15.75" x14ac:dyDescent="0.2">
      <c r="A88" s="352"/>
      <c r="B88" s="355"/>
      <c r="C88" s="131">
        <v>35</v>
      </c>
      <c r="D88" s="103">
        <v>4101</v>
      </c>
      <c r="E88" s="275" t="s">
        <v>277</v>
      </c>
      <c r="F88" s="102"/>
      <c r="G88" s="103"/>
      <c r="H88" s="104"/>
      <c r="I88" s="102"/>
      <c r="J88" s="103"/>
      <c r="K88" s="103"/>
      <c r="L88" s="102"/>
      <c r="M88" s="104"/>
      <c r="N88" s="104"/>
      <c r="O88" s="103"/>
      <c r="P88" s="338"/>
      <c r="Q88" s="103"/>
      <c r="R88" s="102"/>
      <c r="S88" s="107">
        <f>SUM(S89:S93)</f>
        <v>0</v>
      </c>
      <c r="T88" s="107">
        <f t="shared" ref="T88:AE88" si="75">SUM(T89:T93)</f>
        <v>0</v>
      </c>
      <c r="U88" s="107">
        <f t="shared" si="75"/>
        <v>0</v>
      </c>
      <c r="V88" s="107">
        <f t="shared" si="75"/>
        <v>0</v>
      </c>
      <c r="W88" s="107">
        <f t="shared" si="75"/>
        <v>0</v>
      </c>
      <c r="X88" s="107">
        <f t="shared" si="75"/>
        <v>0</v>
      </c>
      <c r="Y88" s="107">
        <f t="shared" si="75"/>
        <v>0</v>
      </c>
      <c r="Z88" s="107">
        <f t="shared" si="75"/>
        <v>0</v>
      </c>
      <c r="AA88" s="107">
        <f t="shared" si="75"/>
        <v>0</v>
      </c>
      <c r="AB88" s="107">
        <f t="shared" si="75"/>
        <v>0</v>
      </c>
      <c r="AC88" s="107">
        <f t="shared" si="75"/>
        <v>522730761</v>
      </c>
      <c r="AD88" s="107"/>
      <c r="AE88" s="107">
        <f t="shared" si="75"/>
        <v>0</v>
      </c>
      <c r="AF88" s="107">
        <f>SUM(AF89:AF93)</f>
        <v>522730761</v>
      </c>
    </row>
    <row r="89" spans="1:32" ht="89.25" customHeight="1" x14ac:dyDescent="0.2">
      <c r="A89" s="352"/>
      <c r="B89" s="355"/>
      <c r="C89" s="291"/>
      <c r="D89" s="272"/>
      <c r="E89" s="272">
        <v>4101</v>
      </c>
      <c r="F89" s="273" t="s">
        <v>278</v>
      </c>
      <c r="G89" s="218" t="s">
        <v>279</v>
      </c>
      <c r="H89" s="135">
        <v>4101023</v>
      </c>
      <c r="I89" s="273" t="s">
        <v>280</v>
      </c>
      <c r="J89" s="218" t="s">
        <v>281</v>
      </c>
      <c r="K89" s="135">
        <v>410102300</v>
      </c>
      <c r="L89" s="224" t="s">
        <v>282</v>
      </c>
      <c r="M89" s="276" t="s">
        <v>143</v>
      </c>
      <c r="N89" s="272">
        <v>2500</v>
      </c>
      <c r="O89" s="135">
        <v>200</v>
      </c>
      <c r="P89" s="448" t="s">
        <v>283</v>
      </c>
      <c r="Q89" s="441" t="s">
        <v>284</v>
      </c>
      <c r="R89" s="442" t="s">
        <v>285</v>
      </c>
      <c r="S89" s="3"/>
      <c r="T89" s="3"/>
      <c r="U89" s="3"/>
      <c r="V89" s="3"/>
      <c r="W89" s="3"/>
      <c r="X89" s="3"/>
      <c r="Y89" s="3"/>
      <c r="Z89" s="3"/>
      <c r="AA89" s="3"/>
      <c r="AB89" s="3"/>
      <c r="AC89" s="283">
        <v>310730761</v>
      </c>
      <c r="AD89" s="263"/>
      <c r="AE89" s="3"/>
      <c r="AF89" s="109">
        <f>+S89+T89+U89+V89+W89+X89+Y89+Z89+AA89+AB89+AC89+AD89+AE89</f>
        <v>310730761</v>
      </c>
    </row>
    <row r="90" spans="1:32" ht="73.5" customHeight="1" x14ac:dyDescent="0.2">
      <c r="A90" s="352"/>
      <c r="B90" s="355"/>
      <c r="C90" s="291"/>
      <c r="D90" s="272"/>
      <c r="E90" s="272">
        <v>4101</v>
      </c>
      <c r="F90" s="273" t="s">
        <v>278</v>
      </c>
      <c r="G90" s="272" t="s">
        <v>286</v>
      </c>
      <c r="H90" s="135">
        <v>4101025</v>
      </c>
      <c r="I90" s="273" t="s">
        <v>287</v>
      </c>
      <c r="J90" s="272" t="s">
        <v>288</v>
      </c>
      <c r="K90" s="135">
        <v>410102511</v>
      </c>
      <c r="L90" s="273" t="s">
        <v>289</v>
      </c>
      <c r="M90" s="276" t="s">
        <v>143</v>
      </c>
      <c r="N90" s="272">
        <v>500</v>
      </c>
      <c r="O90" s="135">
        <v>250</v>
      </c>
      <c r="P90" s="448"/>
      <c r="Q90" s="441"/>
      <c r="R90" s="442"/>
      <c r="S90" s="3"/>
      <c r="T90" s="3"/>
      <c r="U90" s="3"/>
      <c r="V90" s="3"/>
      <c r="W90" s="3"/>
      <c r="X90" s="3"/>
      <c r="Y90" s="3"/>
      <c r="Z90" s="3"/>
      <c r="AA90" s="3"/>
      <c r="AB90" s="3"/>
      <c r="AC90" s="283">
        <v>50000000</v>
      </c>
      <c r="AD90" s="263"/>
      <c r="AE90" s="3"/>
      <c r="AF90" s="109">
        <f>+S90+T90+U90+V90+W90+X90+Y90+Z90+AA90+AB90+AC90+AD90+AE90</f>
        <v>50000000</v>
      </c>
    </row>
    <row r="91" spans="1:32" ht="47.25" customHeight="1" x14ac:dyDescent="0.2">
      <c r="A91" s="352"/>
      <c r="B91" s="355"/>
      <c r="C91" s="291"/>
      <c r="D91" s="272"/>
      <c r="E91" s="272">
        <v>4101</v>
      </c>
      <c r="F91" s="273" t="s">
        <v>278</v>
      </c>
      <c r="G91" s="272" t="s">
        <v>290</v>
      </c>
      <c r="H91" s="135">
        <v>4101038</v>
      </c>
      <c r="I91" s="273" t="s">
        <v>291</v>
      </c>
      <c r="J91" s="272" t="s">
        <v>292</v>
      </c>
      <c r="K91" s="135">
        <v>410103800</v>
      </c>
      <c r="L91" s="273" t="s">
        <v>293</v>
      </c>
      <c r="M91" s="276" t="s">
        <v>143</v>
      </c>
      <c r="N91" s="272">
        <v>48</v>
      </c>
      <c r="O91" s="135">
        <v>12</v>
      </c>
      <c r="P91" s="448"/>
      <c r="Q91" s="441"/>
      <c r="R91" s="442"/>
      <c r="S91" s="3"/>
      <c r="T91" s="3"/>
      <c r="U91" s="3"/>
      <c r="V91" s="3"/>
      <c r="W91" s="3"/>
      <c r="X91" s="3"/>
      <c r="Y91" s="3"/>
      <c r="Z91" s="3"/>
      <c r="AA91" s="3"/>
      <c r="AB91" s="3"/>
      <c r="AC91" s="283">
        <v>42000000</v>
      </c>
      <c r="AD91" s="263"/>
      <c r="AE91" s="3"/>
      <c r="AF91" s="109">
        <f>+S91+T91+U91+V91+W91+X91+Y91+Z91+AA91+AB91+AC91+AD91+AE91</f>
        <v>42000000</v>
      </c>
    </row>
    <row r="92" spans="1:32" ht="46.5" customHeight="1" x14ac:dyDescent="0.2">
      <c r="A92" s="352"/>
      <c r="B92" s="355"/>
      <c r="C92" s="291"/>
      <c r="D92" s="272"/>
      <c r="E92" s="272">
        <v>4101</v>
      </c>
      <c r="F92" s="273" t="s">
        <v>294</v>
      </c>
      <c r="G92" s="272" t="s">
        <v>295</v>
      </c>
      <c r="H92" s="135">
        <v>4101073</v>
      </c>
      <c r="I92" s="273" t="s">
        <v>296</v>
      </c>
      <c r="J92" s="272" t="s">
        <v>297</v>
      </c>
      <c r="K92" s="135">
        <v>410107300</v>
      </c>
      <c r="L92" s="273" t="s">
        <v>298</v>
      </c>
      <c r="M92" s="218" t="s">
        <v>143</v>
      </c>
      <c r="N92" s="218">
        <v>200</v>
      </c>
      <c r="O92" s="218">
        <v>20</v>
      </c>
      <c r="P92" s="448"/>
      <c r="Q92" s="441"/>
      <c r="R92" s="442"/>
      <c r="S92" s="3"/>
      <c r="T92" s="3"/>
      <c r="U92" s="3"/>
      <c r="V92" s="3"/>
      <c r="W92" s="3"/>
      <c r="X92" s="3"/>
      <c r="Y92" s="3"/>
      <c r="Z92" s="3"/>
      <c r="AA92" s="3"/>
      <c r="AB92" s="3"/>
      <c r="AC92" s="283">
        <v>65000000</v>
      </c>
      <c r="AD92" s="263"/>
      <c r="AE92" s="3"/>
      <c r="AF92" s="109">
        <f>+S92+T92+U92+V92+W92+X92+Y92+Z92+AA92+AB92+AC92+AD92+AE92</f>
        <v>65000000</v>
      </c>
    </row>
    <row r="93" spans="1:32" ht="90.75" customHeight="1" x14ac:dyDescent="0.2">
      <c r="A93" s="352"/>
      <c r="B93" s="355"/>
      <c r="C93" s="291"/>
      <c r="D93" s="272"/>
      <c r="E93" s="272">
        <v>4101</v>
      </c>
      <c r="F93" s="273" t="s">
        <v>299</v>
      </c>
      <c r="G93" s="272" t="s">
        <v>300</v>
      </c>
      <c r="H93" s="135">
        <v>4101011</v>
      </c>
      <c r="I93" s="273" t="s">
        <v>301</v>
      </c>
      <c r="J93" s="272" t="s">
        <v>302</v>
      </c>
      <c r="K93" s="135">
        <v>410101100</v>
      </c>
      <c r="L93" s="273" t="s">
        <v>303</v>
      </c>
      <c r="M93" s="276" t="s">
        <v>143</v>
      </c>
      <c r="N93" s="272">
        <v>10</v>
      </c>
      <c r="O93" s="135">
        <v>2</v>
      </c>
      <c r="P93" s="448"/>
      <c r="Q93" s="441"/>
      <c r="R93" s="442"/>
      <c r="S93" s="3"/>
      <c r="T93" s="3"/>
      <c r="U93" s="3"/>
      <c r="V93" s="3"/>
      <c r="W93" s="3"/>
      <c r="X93" s="3"/>
      <c r="Y93" s="3"/>
      <c r="Z93" s="3"/>
      <c r="AA93" s="3"/>
      <c r="AB93" s="3"/>
      <c r="AC93" s="283">
        <v>55000000</v>
      </c>
      <c r="AD93" s="263"/>
      <c r="AE93" s="3"/>
      <c r="AF93" s="109">
        <f>+S93+T93+U93+V93+W93+X93+Y93+Z93+AA93+AB93+AC93+AD93+AE93</f>
        <v>55000000</v>
      </c>
    </row>
    <row r="94" spans="1:32" ht="17.25" customHeight="1" x14ac:dyDescent="0.2">
      <c r="A94" s="352"/>
      <c r="B94" s="355"/>
      <c r="C94" s="131">
        <v>37</v>
      </c>
      <c r="D94" s="103">
        <v>4103</v>
      </c>
      <c r="E94" s="275" t="s">
        <v>304</v>
      </c>
      <c r="F94" s="102"/>
      <c r="G94" s="103"/>
      <c r="H94" s="104"/>
      <c r="I94" s="102"/>
      <c r="J94" s="103"/>
      <c r="K94" s="103"/>
      <c r="L94" s="102"/>
      <c r="M94" s="104"/>
      <c r="N94" s="104"/>
      <c r="O94" s="103"/>
      <c r="P94" s="338"/>
      <c r="Q94" s="103"/>
      <c r="R94" s="102"/>
      <c r="S94" s="300">
        <f>+S95</f>
        <v>0</v>
      </c>
      <c r="T94" s="300">
        <f t="shared" ref="T94:AE94" si="76">+T95</f>
        <v>0</v>
      </c>
      <c r="U94" s="300">
        <f t="shared" si="76"/>
        <v>0</v>
      </c>
      <c r="V94" s="300">
        <f t="shared" si="76"/>
        <v>0</v>
      </c>
      <c r="W94" s="300">
        <f t="shared" si="76"/>
        <v>0</v>
      </c>
      <c r="X94" s="300">
        <f t="shared" si="76"/>
        <v>0</v>
      </c>
      <c r="Y94" s="300">
        <f t="shared" si="76"/>
        <v>0</v>
      </c>
      <c r="Z94" s="300">
        <f t="shared" si="76"/>
        <v>0</v>
      </c>
      <c r="AA94" s="300">
        <f t="shared" si="76"/>
        <v>0</v>
      </c>
      <c r="AB94" s="300">
        <f t="shared" si="76"/>
        <v>0</v>
      </c>
      <c r="AC94" s="300">
        <f t="shared" si="76"/>
        <v>15738667</v>
      </c>
      <c r="AD94" s="300">
        <f t="shared" si="76"/>
        <v>0</v>
      </c>
      <c r="AE94" s="300">
        <f t="shared" si="76"/>
        <v>0</v>
      </c>
      <c r="AF94" s="300">
        <f>+AF95</f>
        <v>15738667</v>
      </c>
    </row>
    <row r="95" spans="1:32" ht="77.25" customHeight="1" x14ac:dyDescent="0.2">
      <c r="A95" s="352"/>
      <c r="B95" s="355"/>
      <c r="C95" s="291"/>
      <c r="D95" s="272"/>
      <c r="E95" s="272">
        <v>4103</v>
      </c>
      <c r="F95" s="273" t="s">
        <v>305</v>
      </c>
      <c r="G95" s="218" t="s">
        <v>306</v>
      </c>
      <c r="H95" s="272" t="s">
        <v>1365</v>
      </c>
      <c r="I95" s="273" t="s">
        <v>307</v>
      </c>
      <c r="J95" s="272" t="s">
        <v>308</v>
      </c>
      <c r="K95" s="135" t="s">
        <v>1342</v>
      </c>
      <c r="L95" s="273" t="s">
        <v>309</v>
      </c>
      <c r="M95" s="160" t="s">
        <v>143</v>
      </c>
      <c r="N95" s="160">
        <v>125</v>
      </c>
      <c r="O95" s="160">
        <v>50</v>
      </c>
      <c r="P95" s="337" t="s">
        <v>256</v>
      </c>
      <c r="Q95" s="272" t="s">
        <v>310</v>
      </c>
      <c r="R95" s="273" t="s">
        <v>311</v>
      </c>
      <c r="S95" s="3"/>
      <c r="T95" s="3"/>
      <c r="U95" s="3"/>
      <c r="V95" s="3"/>
      <c r="W95" s="3"/>
      <c r="X95" s="3"/>
      <c r="Y95" s="3"/>
      <c r="Z95" s="3"/>
      <c r="AA95" s="3"/>
      <c r="AB95" s="3"/>
      <c r="AC95" s="9">
        <v>15738667</v>
      </c>
      <c r="AD95" s="3"/>
      <c r="AE95" s="3"/>
      <c r="AF95" s="109">
        <f>+S95+T95+U95+V95+W95+X95+Y95+Z95+AA95+AB95+AC95+AD95+AE95</f>
        <v>15738667</v>
      </c>
    </row>
    <row r="96" spans="1:32" ht="15.75" x14ac:dyDescent="0.2">
      <c r="A96" s="352"/>
      <c r="B96" s="355"/>
      <c r="C96" s="131">
        <v>41</v>
      </c>
      <c r="D96" s="103">
        <v>4501</v>
      </c>
      <c r="E96" s="275" t="s">
        <v>312</v>
      </c>
      <c r="F96" s="102"/>
      <c r="G96" s="103"/>
      <c r="H96" s="104"/>
      <c r="I96" s="102"/>
      <c r="J96" s="103"/>
      <c r="K96" s="103"/>
      <c r="L96" s="102"/>
      <c r="M96" s="104"/>
      <c r="N96" s="104"/>
      <c r="O96" s="103"/>
      <c r="P96" s="338"/>
      <c r="Q96" s="103"/>
      <c r="R96" s="102"/>
      <c r="S96" s="300">
        <f>SUM(S97:S99)</f>
        <v>0</v>
      </c>
      <c r="T96" s="300">
        <f t="shared" ref="T96:AE96" si="77">SUM(T97:T99)</f>
        <v>2192073558.0099998</v>
      </c>
      <c r="U96" s="300">
        <f t="shared" si="77"/>
        <v>0</v>
      </c>
      <c r="V96" s="300">
        <f t="shared" si="77"/>
        <v>0</v>
      </c>
      <c r="W96" s="300">
        <f t="shared" si="77"/>
        <v>0</v>
      </c>
      <c r="X96" s="300">
        <f t="shared" si="77"/>
        <v>0</v>
      </c>
      <c r="Y96" s="300">
        <f t="shared" si="77"/>
        <v>0</v>
      </c>
      <c r="Z96" s="300">
        <f t="shared" si="77"/>
        <v>0</v>
      </c>
      <c r="AA96" s="300">
        <f t="shared" si="77"/>
        <v>0</v>
      </c>
      <c r="AB96" s="300">
        <f t="shared" si="77"/>
        <v>0</v>
      </c>
      <c r="AC96" s="300">
        <f t="shared" si="77"/>
        <v>169000000</v>
      </c>
      <c r="AD96" s="300"/>
      <c r="AE96" s="300">
        <f t="shared" si="77"/>
        <v>0</v>
      </c>
      <c r="AF96" s="300">
        <f>SUM(AF97:AF99)</f>
        <v>2361073558.0099998</v>
      </c>
    </row>
    <row r="97" spans="1:32" ht="198" customHeight="1" x14ac:dyDescent="0.2">
      <c r="A97" s="352"/>
      <c r="B97" s="355"/>
      <c r="C97" s="289"/>
      <c r="D97" s="290"/>
      <c r="E97" s="272">
        <v>4501</v>
      </c>
      <c r="F97" s="273" t="s">
        <v>138</v>
      </c>
      <c r="G97" s="272" t="s">
        <v>313</v>
      </c>
      <c r="H97" s="272" t="s">
        <v>1365</v>
      </c>
      <c r="I97" s="273" t="s">
        <v>314</v>
      </c>
      <c r="J97" s="272" t="s">
        <v>315</v>
      </c>
      <c r="K97" s="272" t="s">
        <v>47</v>
      </c>
      <c r="L97" s="273" t="s">
        <v>316</v>
      </c>
      <c r="M97" s="276" t="s">
        <v>53</v>
      </c>
      <c r="N97" s="272">
        <v>5</v>
      </c>
      <c r="O97" s="272">
        <v>5</v>
      </c>
      <c r="P97" s="337" t="s">
        <v>256</v>
      </c>
      <c r="Q97" s="272" t="s">
        <v>264</v>
      </c>
      <c r="R97" s="273" t="s">
        <v>265</v>
      </c>
      <c r="S97" s="3"/>
      <c r="T97" s="20">
        <f>5428613946.86-3236540388.85</f>
        <v>2192073558.0099998</v>
      </c>
      <c r="U97" s="3"/>
      <c r="V97" s="3"/>
      <c r="W97" s="3"/>
      <c r="X97" s="3"/>
      <c r="Y97" s="3"/>
      <c r="Z97" s="3"/>
      <c r="AA97" s="3"/>
      <c r="AB97" s="3"/>
      <c r="AC97" s="9"/>
      <c r="AD97" s="3"/>
      <c r="AE97" s="3"/>
      <c r="AF97" s="109">
        <f>+S97+T97+U97+V97+W97+X97+Y97+Z97+AA97+AB97+AC97+AD97+AE97</f>
        <v>2192073558.0099998</v>
      </c>
    </row>
    <row r="98" spans="1:32" ht="119.25" customHeight="1" x14ac:dyDescent="0.2">
      <c r="A98" s="352"/>
      <c r="B98" s="355"/>
      <c r="C98" s="291"/>
      <c r="D98" s="272"/>
      <c r="E98" s="272">
        <v>4501</v>
      </c>
      <c r="F98" s="273" t="s">
        <v>1382</v>
      </c>
      <c r="G98" s="221" t="s">
        <v>317</v>
      </c>
      <c r="H98" s="272">
        <v>4501024</v>
      </c>
      <c r="I98" s="273" t="s">
        <v>318</v>
      </c>
      <c r="J98" s="221" t="s">
        <v>319</v>
      </c>
      <c r="K98" s="218">
        <v>450102400</v>
      </c>
      <c r="L98" s="224" t="s">
        <v>320</v>
      </c>
      <c r="M98" s="272" t="s">
        <v>53</v>
      </c>
      <c r="N98" s="272">
        <v>10</v>
      </c>
      <c r="O98" s="272">
        <v>10</v>
      </c>
      <c r="P98" s="337" t="s">
        <v>256</v>
      </c>
      <c r="Q98" s="272" t="s">
        <v>310</v>
      </c>
      <c r="R98" s="273" t="s">
        <v>311</v>
      </c>
      <c r="S98" s="3"/>
      <c r="T98" s="3"/>
      <c r="U98" s="3"/>
      <c r="V98" s="3"/>
      <c r="W98" s="3"/>
      <c r="X98" s="3"/>
      <c r="Y98" s="3"/>
      <c r="Z98" s="3"/>
      <c r="AA98" s="3"/>
      <c r="AB98" s="3"/>
      <c r="AC98" s="9">
        <v>94000000</v>
      </c>
      <c r="AD98" s="3"/>
      <c r="AE98" s="3"/>
      <c r="AF98" s="109">
        <f>+S98+T98+U98+V98+W98+X98+Y98+Z98+AA98+AB98+AC98+AD98+AE98</f>
        <v>94000000</v>
      </c>
    </row>
    <row r="99" spans="1:32" ht="180.75" customHeight="1" x14ac:dyDescent="0.2">
      <c r="A99" s="352"/>
      <c r="B99" s="372"/>
      <c r="C99" s="291"/>
      <c r="D99" s="272"/>
      <c r="E99" s="272">
        <v>4501</v>
      </c>
      <c r="F99" s="273" t="s">
        <v>138</v>
      </c>
      <c r="G99" s="272" t="s">
        <v>321</v>
      </c>
      <c r="H99" s="272">
        <v>4501001</v>
      </c>
      <c r="I99" s="273" t="s">
        <v>322</v>
      </c>
      <c r="J99" s="272" t="s">
        <v>323</v>
      </c>
      <c r="K99" s="272">
        <v>450100100</v>
      </c>
      <c r="L99" s="273" t="s">
        <v>324</v>
      </c>
      <c r="M99" s="276" t="s">
        <v>53</v>
      </c>
      <c r="N99" s="272">
        <v>12</v>
      </c>
      <c r="O99" s="272">
        <v>12</v>
      </c>
      <c r="P99" s="337" t="s">
        <v>69</v>
      </c>
      <c r="Q99" s="272" t="s">
        <v>325</v>
      </c>
      <c r="R99" s="273" t="s">
        <v>326</v>
      </c>
      <c r="S99" s="3"/>
      <c r="T99" s="3"/>
      <c r="U99" s="3"/>
      <c r="V99" s="3"/>
      <c r="W99" s="3"/>
      <c r="X99" s="3"/>
      <c r="Y99" s="3"/>
      <c r="Z99" s="3"/>
      <c r="AA99" s="3"/>
      <c r="AB99" s="3"/>
      <c r="AC99" s="9">
        <f>96923000-21923000</f>
        <v>75000000</v>
      </c>
      <c r="AD99" s="3"/>
      <c r="AE99" s="3"/>
      <c r="AF99" s="109">
        <f>+S99+T99+U99+V99+W99+X99+Y99+Z99+AA99+AB99+AC99+AD99+AE99</f>
        <v>75000000</v>
      </c>
    </row>
    <row r="100" spans="1:32" ht="15.75" x14ac:dyDescent="0.2">
      <c r="A100" s="352"/>
      <c r="B100" s="193">
        <v>3</v>
      </c>
      <c r="C100" s="95" t="s">
        <v>3</v>
      </c>
      <c r="D100" s="96"/>
      <c r="E100" s="96"/>
      <c r="F100" s="97"/>
      <c r="G100" s="98"/>
      <c r="H100" s="99"/>
      <c r="I100" s="97"/>
      <c r="J100" s="98"/>
      <c r="K100" s="98"/>
      <c r="L100" s="97"/>
      <c r="M100" s="99"/>
      <c r="N100" s="99"/>
      <c r="O100" s="98"/>
      <c r="P100" s="96"/>
      <c r="Q100" s="98"/>
      <c r="R100" s="97"/>
      <c r="S100" s="101">
        <f>+S101+S104</f>
        <v>0</v>
      </c>
      <c r="T100" s="101">
        <f t="shared" ref="T100:AE100" si="78">+T101+T104</f>
        <v>0</v>
      </c>
      <c r="U100" s="101">
        <f t="shared" si="78"/>
        <v>0</v>
      </c>
      <c r="V100" s="101">
        <f t="shared" si="78"/>
        <v>0</v>
      </c>
      <c r="W100" s="101">
        <f t="shared" si="78"/>
        <v>0</v>
      </c>
      <c r="X100" s="101">
        <f t="shared" si="78"/>
        <v>0</v>
      </c>
      <c r="Y100" s="101">
        <f t="shared" si="78"/>
        <v>0</v>
      </c>
      <c r="Z100" s="101">
        <f t="shared" si="78"/>
        <v>0</v>
      </c>
      <c r="AA100" s="101">
        <f t="shared" si="78"/>
        <v>0</v>
      </c>
      <c r="AB100" s="101">
        <f t="shared" si="78"/>
        <v>0</v>
      </c>
      <c r="AC100" s="101">
        <f t="shared" si="78"/>
        <v>436511874.30000001</v>
      </c>
      <c r="AD100" s="101">
        <f t="shared" si="78"/>
        <v>0</v>
      </c>
      <c r="AE100" s="101">
        <f t="shared" si="78"/>
        <v>0</v>
      </c>
      <c r="AF100" s="101">
        <f>+AF101+AF104</f>
        <v>436511874.30000001</v>
      </c>
    </row>
    <row r="101" spans="1:32" ht="15.75" x14ac:dyDescent="0.2">
      <c r="A101" s="352"/>
      <c r="B101" s="354"/>
      <c r="C101" s="131">
        <v>23</v>
      </c>
      <c r="D101" s="103">
        <v>3205</v>
      </c>
      <c r="E101" s="275" t="s">
        <v>210</v>
      </c>
      <c r="F101" s="102"/>
      <c r="G101" s="103"/>
      <c r="H101" s="104"/>
      <c r="I101" s="102"/>
      <c r="J101" s="103"/>
      <c r="K101" s="103"/>
      <c r="L101" s="102"/>
      <c r="M101" s="104"/>
      <c r="N101" s="104"/>
      <c r="O101" s="103"/>
      <c r="P101" s="106"/>
      <c r="Q101" s="103"/>
      <c r="R101" s="102"/>
      <c r="S101" s="300">
        <f>SUM(S102:S103)</f>
        <v>0</v>
      </c>
      <c r="T101" s="300">
        <f t="shared" ref="T101:AE101" si="79">SUM(T102:T103)</f>
        <v>0</v>
      </c>
      <c r="U101" s="300">
        <f t="shared" si="79"/>
        <v>0</v>
      </c>
      <c r="V101" s="300">
        <f t="shared" si="79"/>
        <v>0</v>
      </c>
      <c r="W101" s="300">
        <f t="shared" si="79"/>
        <v>0</v>
      </c>
      <c r="X101" s="300">
        <f t="shared" si="79"/>
        <v>0</v>
      </c>
      <c r="Y101" s="300">
        <f t="shared" si="79"/>
        <v>0</v>
      </c>
      <c r="Z101" s="300">
        <f t="shared" si="79"/>
        <v>0</v>
      </c>
      <c r="AA101" s="300">
        <f t="shared" si="79"/>
        <v>0</v>
      </c>
      <c r="AB101" s="300">
        <f t="shared" si="79"/>
        <v>0</v>
      </c>
      <c r="AC101" s="300">
        <f t="shared" si="79"/>
        <v>37702666</v>
      </c>
      <c r="AD101" s="300">
        <f t="shared" si="79"/>
        <v>0</v>
      </c>
      <c r="AE101" s="300">
        <f t="shared" si="79"/>
        <v>0</v>
      </c>
      <c r="AF101" s="300">
        <f>SUM(AF102:AF103)</f>
        <v>37702666</v>
      </c>
    </row>
    <row r="102" spans="1:32" ht="130.5" customHeight="1" x14ac:dyDescent="0.2">
      <c r="A102" s="352"/>
      <c r="B102" s="355"/>
      <c r="C102" s="289"/>
      <c r="D102" s="302"/>
      <c r="E102" s="160">
        <v>3205</v>
      </c>
      <c r="F102" s="159" t="s">
        <v>1383</v>
      </c>
      <c r="G102" s="160" t="s">
        <v>327</v>
      </c>
      <c r="H102" s="160">
        <v>3205002</v>
      </c>
      <c r="I102" s="159" t="s">
        <v>328</v>
      </c>
      <c r="J102" s="160" t="s">
        <v>329</v>
      </c>
      <c r="K102" s="160">
        <v>320500200</v>
      </c>
      <c r="L102" s="159" t="s">
        <v>330</v>
      </c>
      <c r="M102" s="251" t="s">
        <v>143</v>
      </c>
      <c r="N102" s="251">
        <v>10</v>
      </c>
      <c r="O102" s="251">
        <v>1</v>
      </c>
      <c r="P102" s="448" t="s">
        <v>331</v>
      </c>
      <c r="Q102" s="441" t="s">
        <v>275</v>
      </c>
      <c r="R102" s="442" t="s">
        <v>276</v>
      </c>
      <c r="S102" s="3"/>
      <c r="T102" s="3"/>
      <c r="U102" s="3"/>
      <c r="V102" s="3"/>
      <c r="W102" s="3"/>
      <c r="X102" s="3"/>
      <c r="Y102" s="3"/>
      <c r="Z102" s="3"/>
      <c r="AA102" s="3"/>
      <c r="AB102" s="3"/>
      <c r="AC102" s="283">
        <f>12866668+20000000</f>
        <v>32866668</v>
      </c>
      <c r="AD102" s="3"/>
      <c r="AE102" s="3"/>
      <c r="AF102" s="109">
        <f>+S102+T102+U102+V102+W102+X102+Y102+Z102+AA102+AB102+AC102+AD102+AE102</f>
        <v>32866668</v>
      </c>
    </row>
    <row r="103" spans="1:32" ht="137.25" customHeight="1" x14ac:dyDescent="0.2">
      <c r="A103" s="352"/>
      <c r="B103" s="355"/>
      <c r="C103" s="289"/>
      <c r="D103" s="302"/>
      <c r="E103" s="160">
        <v>3205</v>
      </c>
      <c r="F103" s="159" t="s">
        <v>1384</v>
      </c>
      <c r="G103" s="160" t="s">
        <v>332</v>
      </c>
      <c r="H103" s="160">
        <v>3205021</v>
      </c>
      <c r="I103" s="159" t="s">
        <v>212</v>
      </c>
      <c r="J103" s="160" t="s">
        <v>211</v>
      </c>
      <c r="K103" s="160">
        <v>320502100</v>
      </c>
      <c r="L103" s="159" t="s">
        <v>213</v>
      </c>
      <c r="M103" s="160" t="s">
        <v>143</v>
      </c>
      <c r="N103" s="160">
        <v>4</v>
      </c>
      <c r="O103" s="160">
        <v>1</v>
      </c>
      <c r="P103" s="448"/>
      <c r="Q103" s="441"/>
      <c r="R103" s="442"/>
      <c r="S103" s="3"/>
      <c r="T103" s="3"/>
      <c r="U103" s="3"/>
      <c r="V103" s="3"/>
      <c r="W103" s="3"/>
      <c r="X103" s="3"/>
      <c r="Y103" s="3"/>
      <c r="Z103" s="3"/>
      <c r="AA103" s="3"/>
      <c r="AB103" s="3"/>
      <c r="AC103" s="283">
        <v>4835998</v>
      </c>
      <c r="AD103" s="3"/>
      <c r="AE103" s="3"/>
      <c r="AF103" s="109">
        <f>+S103+T103+U103+V103+W103+X103+Y103+Z103+AA103+AB103+AC103+AD103+AE103</f>
        <v>4835998</v>
      </c>
    </row>
    <row r="104" spans="1:32" ht="15.75" x14ac:dyDescent="0.2">
      <c r="A104" s="352"/>
      <c r="B104" s="355"/>
      <c r="C104" s="131">
        <v>43</v>
      </c>
      <c r="D104" s="103">
        <v>4503</v>
      </c>
      <c r="E104" s="275" t="s">
        <v>333</v>
      </c>
      <c r="F104" s="102"/>
      <c r="G104" s="103"/>
      <c r="H104" s="104"/>
      <c r="I104" s="102"/>
      <c r="J104" s="103"/>
      <c r="K104" s="103"/>
      <c r="L104" s="102"/>
      <c r="M104" s="104"/>
      <c r="N104" s="104"/>
      <c r="O104" s="103"/>
      <c r="P104" s="338"/>
      <c r="Q104" s="103"/>
      <c r="R104" s="102"/>
      <c r="S104" s="300">
        <f>SUM(S105:S107)</f>
        <v>0</v>
      </c>
      <c r="T104" s="300">
        <f t="shared" ref="T104:AE104" si="80">SUM(T105:T107)</f>
        <v>0</v>
      </c>
      <c r="U104" s="300">
        <f t="shared" si="80"/>
        <v>0</v>
      </c>
      <c r="V104" s="300">
        <f t="shared" si="80"/>
        <v>0</v>
      </c>
      <c r="W104" s="300">
        <f t="shared" si="80"/>
        <v>0</v>
      </c>
      <c r="X104" s="300">
        <f t="shared" si="80"/>
        <v>0</v>
      </c>
      <c r="Y104" s="300">
        <f t="shared" si="80"/>
        <v>0</v>
      </c>
      <c r="Z104" s="300">
        <f t="shared" si="80"/>
        <v>0</v>
      </c>
      <c r="AA104" s="300">
        <f t="shared" si="80"/>
        <v>0</v>
      </c>
      <c r="AB104" s="300">
        <f t="shared" si="80"/>
        <v>0</v>
      </c>
      <c r="AC104" s="300">
        <f t="shared" si="80"/>
        <v>398809208.30000001</v>
      </c>
      <c r="AD104" s="300">
        <f t="shared" si="80"/>
        <v>0</v>
      </c>
      <c r="AE104" s="300">
        <f t="shared" si="80"/>
        <v>0</v>
      </c>
      <c r="AF104" s="300">
        <f>SUM(AF105:AF107)</f>
        <v>398809208.30000001</v>
      </c>
    </row>
    <row r="105" spans="1:32" ht="108" customHeight="1" x14ac:dyDescent="0.2">
      <c r="A105" s="352"/>
      <c r="B105" s="355"/>
      <c r="C105" s="289"/>
      <c r="D105" s="290"/>
      <c r="E105" s="259">
        <v>4503</v>
      </c>
      <c r="F105" s="159" t="s">
        <v>1385</v>
      </c>
      <c r="G105" s="160" t="s">
        <v>334</v>
      </c>
      <c r="H105" s="160">
        <v>4503002</v>
      </c>
      <c r="I105" s="159" t="s">
        <v>335</v>
      </c>
      <c r="J105" s="160" t="s">
        <v>336</v>
      </c>
      <c r="K105" s="160">
        <v>450300200</v>
      </c>
      <c r="L105" s="159" t="s">
        <v>337</v>
      </c>
      <c r="M105" s="160" t="s">
        <v>143</v>
      </c>
      <c r="N105" s="160">
        <v>15000</v>
      </c>
      <c r="O105" s="160">
        <v>1000</v>
      </c>
      <c r="P105" s="465" t="s">
        <v>331</v>
      </c>
      <c r="Q105" s="441" t="s">
        <v>275</v>
      </c>
      <c r="R105" s="442" t="s">
        <v>1366</v>
      </c>
      <c r="S105" s="3"/>
      <c r="T105" s="3"/>
      <c r="U105" s="3"/>
      <c r="V105" s="3"/>
      <c r="W105" s="3"/>
      <c r="X105" s="3"/>
      <c r="Y105" s="3"/>
      <c r="Z105" s="3"/>
      <c r="AA105" s="3"/>
      <c r="AB105" s="3"/>
      <c r="AC105" s="9">
        <f>3733333+4390667+33000000</f>
        <v>41124000</v>
      </c>
      <c r="AD105" s="3"/>
      <c r="AE105" s="3"/>
      <c r="AF105" s="109">
        <f>+S105+T105+U105+V105+W105+X105+Y105+Z105+AA105+AB105+AC105+AD105+AE105</f>
        <v>41124000</v>
      </c>
    </row>
    <row r="106" spans="1:32" ht="93.75" customHeight="1" x14ac:dyDescent="0.2">
      <c r="A106" s="352"/>
      <c r="B106" s="355"/>
      <c r="C106" s="289"/>
      <c r="D106" s="290"/>
      <c r="E106" s="259">
        <v>4503</v>
      </c>
      <c r="F106" s="159" t="s">
        <v>338</v>
      </c>
      <c r="G106" s="160" t="s">
        <v>339</v>
      </c>
      <c r="H106" s="160">
        <v>4503003</v>
      </c>
      <c r="I106" s="159" t="s">
        <v>322</v>
      </c>
      <c r="J106" s="160" t="s">
        <v>340</v>
      </c>
      <c r="K106" s="160">
        <v>450300300</v>
      </c>
      <c r="L106" s="159" t="s">
        <v>341</v>
      </c>
      <c r="M106" s="160" t="s">
        <v>53</v>
      </c>
      <c r="N106" s="160">
        <v>12</v>
      </c>
      <c r="O106" s="160">
        <v>12</v>
      </c>
      <c r="P106" s="465"/>
      <c r="Q106" s="441"/>
      <c r="R106" s="442"/>
      <c r="S106" s="3"/>
      <c r="T106" s="3"/>
      <c r="U106" s="3"/>
      <c r="V106" s="3"/>
      <c r="W106" s="3"/>
      <c r="X106" s="3"/>
      <c r="Y106" s="3"/>
      <c r="Z106" s="3"/>
      <c r="AA106" s="3"/>
      <c r="AB106" s="3"/>
      <c r="AC106" s="9">
        <f>84753736+22122264+177579598</f>
        <v>284455598</v>
      </c>
      <c r="AD106" s="3"/>
      <c r="AE106" s="3"/>
      <c r="AF106" s="109">
        <f>+S106+T106+U106+V106+W106+X106+Y106+Z106+AA106+AB106+AC106+AD106+AE106</f>
        <v>284455598</v>
      </c>
    </row>
    <row r="107" spans="1:32" ht="87.75" customHeight="1" x14ac:dyDescent="0.2">
      <c r="A107" s="352"/>
      <c r="B107" s="356"/>
      <c r="C107" s="289"/>
      <c r="D107" s="290"/>
      <c r="E107" s="259">
        <v>4503</v>
      </c>
      <c r="F107" s="159" t="s">
        <v>338</v>
      </c>
      <c r="G107" s="160" t="s">
        <v>342</v>
      </c>
      <c r="H107" s="160">
        <v>4503004</v>
      </c>
      <c r="I107" s="159" t="s">
        <v>343</v>
      </c>
      <c r="J107" s="160" t="s">
        <v>344</v>
      </c>
      <c r="K107" s="160" t="s">
        <v>47</v>
      </c>
      <c r="L107" s="159" t="s">
        <v>345</v>
      </c>
      <c r="M107" s="160" t="s">
        <v>53</v>
      </c>
      <c r="N107" s="160">
        <v>1</v>
      </c>
      <c r="O107" s="160">
        <v>1</v>
      </c>
      <c r="P107" s="254" t="s">
        <v>331</v>
      </c>
      <c r="Q107" s="272" t="s">
        <v>346</v>
      </c>
      <c r="R107" s="273" t="s">
        <v>347</v>
      </c>
      <c r="S107" s="3"/>
      <c r="T107" s="3"/>
      <c r="U107" s="3"/>
      <c r="V107" s="3"/>
      <c r="W107" s="3"/>
      <c r="X107" s="3"/>
      <c r="Y107" s="3"/>
      <c r="Z107" s="3"/>
      <c r="AA107" s="3"/>
      <c r="AB107" s="3"/>
      <c r="AC107" s="9">
        <f>13229610.3+60000000</f>
        <v>73229610.299999997</v>
      </c>
      <c r="AD107" s="3"/>
      <c r="AE107" s="3"/>
      <c r="AF107" s="109">
        <f>+S107+T107+U107+V107+W107+X107+Y107+Z107+AA107+AB107+AC107+AD107+AE107</f>
        <v>73229610.299999997</v>
      </c>
    </row>
    <row r="108" spans="1:32" ht="15.75" x14ac:dyDescent="0.2">
      <c r="A108" s="352"/>
      <c r="B108" s="193">
        <v>4</v>
      </c>
      <c r="C108" s="95" t="s">
        <v>72</v>
      </c>
      <c r="D108" s="96"/>
      <c r="E108" s="96"/>
      <c r="F108" s="97"/>
      <c r="G108" s="98"/>
      <c r="H108" s="99"/>
      <c r="I108" s="97"/>
      <c r="J108" s="98"/>
      <c r="K108" s="98"/>
      <c r="L108" s="97"/>
      <c r="M108" s="99"/>
      <c r="N108" s="99"/>
      <c r="O108" s="98"/>
      <c r="P108" s="340"/>
      <c r="Q108" s="98"/>
      <c r="R108" s="97"/>
      <c r="S108" s="101">
        <f>+S109</f>
        <v>0</v>
      </c>
      <c r="T108" s="101">
        <f t="shared" ref="T108:AE108" si="81">+T109</f>
        <v>0</v>
      </c>
      <c r="U108" s="101">
        <f t="shared" si="81"/>
        <v>0</v>
      </c>
      <c r="V108" s="101">
        <f t="shared" si="81"/>
        <v>0</v>
      </c>
      <c r="W108" s="101">
        <f t="shared" si="81"/>
        <v>0</v>
      </c>
      <c r="X108" s="101">
        <f t="shared" si="81"/>
        <v>0</v>
      </c>
      <c r="Y108" s="101">
        <f t="shared" si="81"/>
        <v>0</v>
      </c>
      <c r="Z108" s="101">
        <f t="shared" si="81"/>
        <v>0</v>
      </c>
      <c r="AA108" s="101">
        <f t="shared" si="81"/>
        <v>0</v>
      </c>
      <c r="AB108" s="101">
        <f t="shared" si="81"/>
        <v>0</v>
      </c>
      <c r="AC108" s="101">
        <f t="shared" si="81"/>
        <v>150170667</v>
      </c>
      <c r="AD108" s="101">
        <f t="shared" si="81"/>
        <v>0</v>
      </c>
      <c r="AE108" s="101">
        <f t="shared" si="81"/>
        <v>0</v>
      </c>
      <c r="AF108" s="101">
        <f>+AF109</f>
        <v>150170667</v>
      </c>
    </row>
    <row r="109" spans="1:32" ht="15.75" x14ac:dyDescent="0.2">
      <c r="A109" s="352"/>
      <c r="B109" s="373"/>
      <c r="C109" s="131">
        <v>42</v>
      </c>
      <c r="D109" s="103">
        <v>4502</v>
      </c>
      <c r="E109" s="158" t="s">
        <v>63</v>
      </c>
      <c r="F109" s="102"/>
      <c r="G109" s="103"/>
      <c r="H109" s="104"/>
      <c r="I109" s="102"/>
      <c r="J109" s="103"/>
      <c r="K109" s="103"/>
      <c r="L109" s="102"/>
      <c r="M109" s="104"/>
      <c r="N109" s="104"/>
      <c r="O109" s="103"/>
      <c r="P109" s="338"/>
      <c r="Q109" s="103"/>
      <c r="R109" s="102"/>
      <c r="S109" s="107">
        <f>SUM(S110:S114)</f>
        <v>0</v>
      </c>
      <c r="T109" s="107">
        <f t="shared" ref="T109:AE109" si="82">SUM(T110:T114)</f>
        <v>0</v>
      </c>
      <c r="U109" s="107">
        <f t="shared" si="82"/>
        <v>0</v>
      </c>
      <c r="V109" s="107">
        <f t="shared" si="82"/>
        <v>0</v>
      </c>
      <c r="W109" s="107">
        <f t="shared" si="82"/>
        <v>0</v>
      </c>
      <c r="X109" s="107">
        <f t="shared" si="82"/>
        <v>0</v>
      </c>
      <c r="Y109" s="107">
        <f t="shared" si="82"/>
        <v>0</v>
      </c>
      <c r="Z109" s="107">
        <f t="shared" si="82"/>
        <v>0</v>
      </c>
      <c r="AA109" s="107">
        <f t="shared" si="82"/>
        <v>0</v>
      </c>
      <c r="AB109" s="107">
        <f t="shared" si="82"/>
        <v>0</v>
      </c>
      <c r="AC109" s="107">
        <f t="shared" si="82"/>
        <v>150170667</v>
      </c>
      <c r="AD109" s="107">
        <f t="shared" si="82"/>
        <v>0</v>
      </c>
      <c r="AE109" s="107">
        <f t="shared" si="82"/>
        <v>0</v>
      </c>
      <c r="AF109" s="107">
        <f>SUM(AF110:AF114)</f>
        <v>150170667</v>
      </c>
    </row>
    <row r="110" spans="1:32" ht="99.75" customHeight="1" x14ac:dyDescent="0.2">
      <c r="A110" s="352"/>
      <c r="B110" s="374"/>
      <c r="C110" s="291"/>
      <c r="D110" s="272"/>
      <c r="E110" s="160">
        <v>4502</v>
      </c>
      <c r="F110" s="159" t="s">
        <v>64</v>
      </c>
      <c r="G110" s="160" t="s">
        <v>348</v>
      </c>
      <c r="H110" s="253">
        <v>4502001</v>
      </c>
      <c r="I110" s="254" t="s">
        <v>349</v>
      </c>
      <c r="J110" s="255" t="s">
        <v>350</v>
      </c>
      <c r="K110" s="160">
        <v>450200100</v>
      </c>
      <c r="L110" s="254" t="s">
        <v>351</v>
      </c>
      <c r="M110" s="256" t="s">
        <v>53</v>
      </c>
      <c r="N110" s="160">
        <v>3</v>
      </c>
      <c r="O110" s="255">
        <v>3</v>
      </c>
      <c r="P110" s="465" t="s">
        <v>69</v>
      </c>
      <c r="Q110" s="441" t="s">
        <v>325</v>
      </c>
      <c r="R110" s="442" t="s">
        <v>326</v>
      </c>
      <c r="S110" s="3"/>
      <c r="T110" s="3"/>
      <c r="U110" s="3"/>
      <c r="V110" s="3"/>
      <c r="W110" s="3"/>
      <c r="X110" s="3"/>
      <c r="Y110" s="3"/>
      <c r="Z110" s="3"/>
      <c r="AA110" s="3"/>
      <c r="AB110" s="3"/>
      <c r="AC110" s="283">
        <f>207796636-100000000-79525969+35000000</f>
        <v>63270667</v>
      </c>
      <c r="AD110" s="3"/>
      <c r="AE110" s="3"/>
      <c r="AF110" s="109">
        <f>+S110+T110+U110+V110+W110+X110+Y110+Z110+AA110+AB110+AC110+AD110+AE110</f>
        <v>63270667</v>
      </c>
    </row>
    <row r="111" spans="1:32" ht="54.75" customHeight="1" x14ac:dyDescent="0.2">
      <c r="A111" s="352"/>
      <c r="B111" s="374"/>
      <c r="C111" s="291"/>
      <c r="D111" s="272"/>
      <c r="E111" s="160">
        <v>4502</v>
      </c>
      <c r="F111" s="159" t="s">
        <v>64</v>
      </c>
      <c r="G111" s="257" t="s">
        <v>352</v>
      </c>
      <c r="H111" s="160" t="s">
        <v>47</v>
      </c>
      <c r="I111" s="258" t="s">
        <v>353</v>
      </c>
      <c r="J111" s="257" t="s">
        <v>354</v>
      </c>
      <c r="K111" s="257" t="s">
        <v>47</v>
      </c>
      <c r="L111" s="258" t="s">
        <v>355</v>
      </c>
      <c r="M111" s="256" t="s">
        <v>53</v>
      </c>
      <c r="N111" s="160">
        <v>1</v>
      </c>
      <c r="O111" s="257">
        <v>1</v>
      </c>
      <c r="P111" s="465"/>
      <c r="Q111" s="441"/>
      <c r="R111" s="442"/>
      <c r="S111" s="3"/>
      <c r="T111" s="3"/>
      <c r="U111" s="3"/>
      <c r="V111" s="3"/>
      <c r="W111" s="3"/>
      <c r="X111" s="3"/>
      <c r="Y111" s="3"/>
      <c r="Z111" s="3"/>
      <c r="AA111" s="3"/>
      <c r="AB111" s="3"/>
      <c r="AC111" s="9">
        <f>70000000-35000000</f>
        <v>35000000</v>
      </c>
      <c r="AD111" s="3"/>
      <c r="AE111" s="3"/>
      <c r="AF111" s="109">
        <f>+S111+T111+U111+V111+W111+X111+Y111+Z111+AA111+AB111+AC111+AD111+AE111</f>
        <v>35000000</v>
      </c>
    </row>
    <row r="112" spans="1:32" ht="95.25" customHeight="1" x14ac:dyDescent="0.2">
      <c r="A112" s="352"/>
      <c r="B112" s="374"/>
      <c r="C112" s="291"/>
      <c r="D112" s="272"/>
      <c r="E112" s="160">
        <v>4502</v>
      </c>
      <c r="F112" s="159" t="s">
        <v>64</v>
      </c>
      <c r="G112" s="255" t="s">
        <v>356</v>
      </c>
      <c r="H112" s="160" t="s">
        <v>47</v>
      </c>
      <c r="I112" s="254" t="s">
        <v>357</v>
      </c>
      <c r="J112" s="255" t="s">
        <v>358</v>
      </c>
      <c r="K112" s="255" t="s">
        <v>47</v>
      </c>
      <c r="L112" s="254" t="s">
        <v>1386</v>
      </c>
      <c r="M112" s="256" t="s">
        <v>53</v>
      </c>
      <c r="N112" s="160">
        <v>12</v>
      </c>
      <c r="O112" s="255">
        <v>12</v>
      </c>
      <c r="P112" s="465" t="s">
        <v>69</v>
      </c>
      <c r="Q112" s="441" t="s">
        <v>359</v>
      </c>
      <c r="R112" s="442" t="s">
        <v>360</v>
      </c>
      <c r="S112" s="3"/>
      <c r="T112" s="3"/>
      <c r="U112" s="3"/>
      <c r="V112" s="3"/>
      <c r="W112" s="3"/>
      <c r="X112" s="3"/>
      <c r="Y112" s="3"/>
      <c r="Z112" s="3"/>
      <c r="AA112" s="3"/>
      <c r="AB112" s="3"/>
      <c r="AC112" s="9">
        <f>40000000-20100000</f>
        <v>19900000</v>
      </c>
      <c r="AD112" s="3"/>
      <c r="AE112" s="3"/>
      <c r="AF112" s="109">
        <f>+S112+T112+U112+V112+W112+X112+Y112+Z112+AA112+AB112+AC112+AD112+AE112</f>
        <v>19900000</v>
      </c>
    </row>
    <row r="113" spans="1:38" ht="63.75" customHeight="1" x14ac:dyDescent="0.2">
      <c r="A113" s="352"/>
      <c r="B113" s="374"/>
      <c r="C113" s="291"/>
      <c r="D113" s="272"/>
      <c r="E113" s="160">
        <v>4502</v>
      </c>
      <c r="F113" s="159" t="s">
        <v>64</v>
      </c>
      <c r="G113" s="257" t="s">
        <v>361</v>
      </c>
      <c r="H113" s="160" t="s">
        <v>1365</v>
      </c>
      <c r="I113" s="258" t="s">
        <v>362</v>
      </c>
      <c r="J113" s="257" t="s">
        <v>363</v>
      </c>
      <c r="K113" s="257" t="s">
        <v>47</v>
      </c>
      <c r="L113" s="258" t="s">
        <v>364</v>
      </c>
      <c r="M113" s="256" t="s">
        <v>143</v>
      </c>
      <c r="N113" s="160">
        <v>1</v>
      </c>
      <c r="O113" s="257">
        <v>0.2</v>
      </c>
      <c r="P113" s="465"/>
      <c r="Q113" s="441"/>
      <c r="R113" s="442"/>
      <c r="S113" s="3"/>
      <c r="T113" s="3"/>
      <c r="U113" s="3"/>
      <c r="V113" s="3"/>
      <c r="W113" s="3"/>
      <c r="X113" s="3"/>
      <c r="Y113" s="3"/>
      <c r="Z113" s="3"/>
      <c r="AA113" s="3"/>
      <c r="AB113" s="3"/>
      <c r="AC113" s="9">
        <v>10000000</v>
      </c>
      <c r="AD113" s="3"/>
      <c r="AE113" s="3"/>
      <c r="AF113" s="109">
        <f>+S113+T113+U113+V113+W113+X113+Y113+Z113+AA113+AB113+AC113+AD113+AE113</f>
        <v>10000000</v>
      </c>
    </row>
    <row r="114" spans="1:38" ht="46.5" customHeight="1" x14ac:dyDescent="0.2">
      <c r="A114" s="353"/>
      <c r="B114" s="372"/>
      <c r="C114" s="291"/>
      <c r="D114" s="272"/>
      <c r="E114" s="160">
        <v>4502</v>
      </c>
      <c r="F114" s="159" t="s">
        <v>64</v>
      </c>
      <c r="G114" s="160" t="s">
        <v>348</v>
      </c>
      <c r="H114" s="250">
        <v>4502001</v>
      </c>
      <c r="I114" s="159" t="s">
        <v>349</v>
      </c>
      <c r="J114" s="160" t="s">
        <v>350</v>
      </c>
      <c r="K114" s="160">
        <v>450200100</v>
      </c>
      <c r="L114" s="159" t="s">
        <v>351</v>
      </c>
      <c r="M114" s="256" t="s">
        <v>53</v>
      </c>
      <c r="N114" s="160">
        <v>3</v>
      </c>
      <c r="O114" s="160">
        <v>3</v>
      </c>
      <c r="P114" s="254" t="s">
        <v>69</v>
      </c>
      <c r="Q114" s="272" t="s">
        <v>365</v>
      </c>
      <c r="R114" s="273" t="s">
        <v>1387</v>
      </c>
      <c r="S114" s="3"/>
      <c r="T114" s="3"/>
      <c r="U114" s="3"/>
      <c r="V114" s="3"/>
      <c r="W114" s="3"/>
      <c r="X114" s="3"/>
      <c r="Y114" s="3"/>
      <c r="Z114" s="3"/>
      <c r="AA114" s="3"/>
      <c r="AB114" s="3"/>
      <c r="AC114" s="9">
        <f>50000000-28000000</f>
        <v>22000000</v>
      </c>
      <c r="AD114" s="3"/>
      <c r="AE114" s="3"/>
      <c r="AF114" s="109">
        <f>+S114+T114+U114+V114+W114+X114+Y114+Z114+AA114+AB114+AC114+AD114+AE114</f>
        <v>22000000</v>
      </c>
    </row>
    <row r="115" spans="1:38" s="176" customFormat="1" ht="15.75" x14ac:dyDescent="0.2">
      <c r="A115" s="357"/>
      <c r="B115" s="358"/>
      <c r="C115" s="358"/>
      <c r="D115" s="359"/>
      <c r="E115" s="360"/>
      <c r="F115" s="360"/>
      <c r="G115" s="361"/>
      <c r="H115" s="361"/>
      <c r="I115" s="362"/>
      <c r="J115" s="363"/>
      <c r="K115" s="363"/>
      <c r="L115" s="362"/>
      <c r="M115" s="361"/>
      <c r="N115" s="361"/>
      <c r="O115" s="363"/>
      <c r="P115" s="361"/>
      <c r="Q115" s="361"/>
      <c r="R115" s="362"/>
      <c r="S115" s="364"/>
      <c r="T115" s="364"/>
      <c r="U115" s="364"/>
      <c r="V115" s="364"/>
      <c r="W115" s="364"/>
      <c r="X115" s="364"/>
      <c r="Y115" s="364"/>
      <c r="Z115" s="364"/>
      <c r="AA115" s="364"/>
      <c r="AB115" s="364"/>
      <c r="AC115" s="365"/>
      <c r="AD115" s="364"/>
      <c r="AE115" s="364"/>
      <c r="AF115" s="434"/>
    </row>
    <row r="116" spans="1:38" ht="15.75" x14ac:dyDescent="0.2">
      <c r="A116" s="145" t="s">
        <v>367</v>
      </c>
      <c r="B116" s="145"/>
      <c r="C116" s="145"/>
      <c r="D116" s="146"/>
      <c r="E116" s="146"/>
      <c r="F116" s="147"/>
      <c r="G116" s="148"/>
      <c r="H116" s="92"/>
      <c r="I116" s="147"/>
      <c r="J116" s="148"/>
      <c r="K116" s="148"/>
      <c r="L116" s="147"/>
      <c r="M116" s="92"/>
      <c r="N116" s="92"/>
      <c r="O116" s="148"/>
      <c r="P116" s="339"/>
      <c r="Q116" s="148"/>
      <c r="R116" s="147"/>
      <c r="S116" s="124">
        <f t="shared" ref="S116:AF116" si="83">S117</f>
        <v>2235170761.02</v>
      </c>
      <c r="T116" s="124">
        <f t="shared" si="83"/>
        <v>0</v>
      </c>
      <c r="U116" s="124">
        <f t="shared" si="83"/>
        <v>0</v>
      </c>
      <c r="V116" s="124">
        <f t="shared" si="83"/>
        <v>0</v>
      </c>
      <c r="W116" s="124">
        <f t="shared" si="83"/>
        <v>0</v>
      </c>
      <c r="X116" s="124">
        <f t="shared" si="83"/>
        <v>0</v>
      </c>
      <c r="Y116" s="124">
        <f t="shared" si="83"/>
        <v>0</v>
      </c>
      <c r="Z116" s="124">
        <f t="shared" si="83"/>
        <v>0</v>
      </c>
      <c r="AA116" s="124">
        <f t="shared" si="83"/>
        <v>0</v>
      </c>
      <c r="AB116" s="124">
        <f t="shared" si="83"/>
        <v>0</v>
      </c>
      <c r="AC116" s="124">
        <f t="shared" si="83"/>
        <v>425949741</v>
      </c>
      <c r="AD116" s="124">
        <f t="shared" si="83"/>
        <v>342754433.30000001</v>
      </c>
      <c r="AE116" s="124">
        <f t="shared" si="83"/>
        <v>0</v>
      </c>
      <c r="AF116" s="124">
        <f t="shared" si="83"/>
        <v>3003874935.3200002</v>
      </c>
      <c r="AG116" s="401"/>
      <c r="AH116" s="401"/>
      <c r="AI116" s="401"/>
      <c r="AJ116" s="401"/>
      <c r="AK116" s="401"/>
      <c r="AL116" s="401"/>
    </row>
    <row r="117" spans="1:38" ht="15.75" x14ac:dyDescent="0.2">
      <c r="A117" s="366"/>
      <c r="B117" s="193">
        <v>1</v>
      </c>
      <c r="C117" s="95" t="s">
        <v>1</v>
      </c>
      <c r="D117" s="96"/>
      <c r="E117" s="96"/>
      <c r="F117" s="97"/>
      <c r="G117" s="98"/>
      <c r="H117" s="99"/>
      <c r="I117" s="97"/>
      <c r="J117" s="98"/>
      <c r="K117" s="98"/>
      <c r="L117" s="97"/>
      <c r="M117" s="100"/>
      <c r="N117" s="100"/>
      <c r="O117" s="98"/>
      <c r="P117" s="340"/>
      <c r="Q117" s="98"/>
      <c r="R117" s="97"/>
      <c r="S117" s="101">
        <f t="shared" ref="S117:AF117" si="84">S118+S125</f>
        <v>2235170761.02</v>
      </c>
      <c r="T117" s="101">
        <f t="shared" si="84"/>
        <v>0</v>
      </c>
      <c r="U117" s="101">
        <f t="shared" si="84"/>
        <v>0</v>
      </c>
      <c r="V117" s="101">
        <f t="shared" si="84"/>
        <v>0</v>
      </c>
      <c r="W117" s="101">
        <f t="shared" si="84"/>
        <v>0</v>
      </c>
      <c r="X117" s="101">
        <f t="shared" si="84"/>
        <v>0</v>
      </c>
      <c r="Y117" s="101">
        <f t="shared" si="84"/>
        <v>0</v>
      </c>
      <c r="Z117" s="101">
        <f t="shared" si="84"/>
        <v>0</v>
      </c>
      <c r="AA117" s="101">
        <f t="shared" si="84"/>
        <v>0</v>
      </c>
      <c r="AB117" s="101">
        <f t="shared" si="84"/>
        <v>0</v>
      </c>
      <c r="AC117" s="101">
        <f t="shared" si="84"/>
        <v>425949741</v>
      </c>
      <c r="AD117" s="101">
        <f t="shared" si="84"/>
        <v>342754433.30000001</v>
      </c>
      <c r="AE117" s="101">
        <f t="shared" si="84"/>
        <v>0</v>
      </c>
      <c r="AF117" s="101">
        <f t="shared" si="84"/>
        <v>3003874935.3200002</v>
      </c>
    </row>
    <row r="118" spans="1:38" ht="15.75" x14ac:dyDescent="0.2">
      <c r="A118" s="352"/>
      <c r="B118" s="354"/>
      <c r="C118" s="131">
        <v>25</v>
      </c>
      <c r="D118" s="103">
        <v>3301</v>
      </c>
      <c r="E118" s="275" t="s">
        <v>165</v>
      </c>
      <c r="F118" s="102"/>
      <c r="G118" s="103"/>
      <c r="H118" s="104"/>
      <c r="I118" s="102"/>
      <c r="J118" s="103"/>
      <c r="K118" s="103"/>
      <c r="L118" s="102"/>
      <c r="M118" s="105"/>
      <c r="N118" s="105"/>
      <c r="O118" s="103"/>
      <c r="P118" s="338"/>
      <c r="Q118" s="103"/>
      <c r="R118" s="102"/>
      <c r="S118" s="107">
        <f t="shared" ref="S118:AF118" si="85">SUM(S119:S124)</f>
        <v>2235170761.02</v>
      </c>
      <c r="T118" s="107">
        <f t="shared" ref="T118:AE118" si="86">SUM(T119:T124)</f>
        <v>0</v>
      </c>
      <c r="U118" s="107">
        <f t="shared" si="86"/>
        <v>0</v>
      </c>
      <c r="V118" s="107">
        <f t="shared" si="86"/>
        <v>0</v>
      </c>
      <c r="W118" s="107">
        <f t="shared" si="86"/>
        <v>0</v>
      </c>
      <c r="X118" s="107">
        <f t="shared" si="86"/>
        <v>0</v>
      </c>
      <c r="Y118" s="107">
        <f t="shared" si="86"/>
        <v>0</v>
      </c>
      <c r="Z118" s="107">
        <f t="shared" si="86"/>
        <v>0</v>
      </c>
      <c r="AA118" s="107">
        <f t="shared" si="86"/>
        <v>0</v>
      </c>
      <c r="AB118" s="107">
        <f t="shared" si="86"/>
        <v>0</v>
      </c>
      <c r="AC118" s="107">
        <f t="shared" si="86"/>
        <v>392149741</v>
      </c>
      <c r="AD118" s="107">
        <f t="shared" si="86"/>
        <v>0</v>
      </c>
      <c r="AE118" s="107">
        <f t="shared" si="86"/>
        <v>0</v>
      </c>
      <c r="AF118" s="107">
        <f t="shared" si="85"/>
        <v>2627320502.02</v>
      </c>
    </row>
    <row r="119" spans="1:38" ht="69.75" customHeight="1" x14ac:dyDescent="0.2">
      <c r="A119" s="352"/>
      <c r="B119" s="355"/>
      <c r="C119" s="289"/>
      <c r="D119" s="290"/>
      <c r="E119" s="282">
        <v>3301</v>
      </c>
      <c r="F119" s="274" t="s">
        <v>1346</v>
      </c>
      <c r="G119" s="255" t="s">
        <v>368</v>
      </c>
      <c r="H119" s="272">
        <v>3301087</v>
      </c>
      <c r="I119" s="273" t="s">
        <v>369</v>
      </c>
      <c r="J119" s="272" t="s">
        <v>370</v>
      </c>
      <c r="K119" s="272">
        <v>330108701</v>
      </c>
      <c r="L119" s="273" t="s">
        <v>337</v>
      </c>
      <c r="M119" s="272" t="s">
        <v>143</v>
      </c>
      <c r="N119" s="272">
        <v>18785</v>
      </c>
      <c r="O119" s="272">
        <v>1600</v>
      </c>
      <c r="P119" s="442" t="s">
        <v>172</v>
      </c>
      <c r="Q119" s="441" t="s">
        <v>371</v>
      </c>
      <c r="R119" s="442" t="s">
        <v>372</v>
      </c>
      <c r="S119" s="303"/>
      <c r="T119" s="3"/>
      <c r="U119" s="3"/>
      <c r="V119" s="3"/>
      <c r="W119" s="3"/>
      <c r="X119" s="3"/>
      <c r="Y119" s="3"/>
      <c r="Z119" s="3"/>
      <c r="AA119" s="3"/>
      <c r="AB119" s="3"/>
      <c r="AC119" s="132">
        <f>774149741-400000000-210749741</f>
        <v>163400000</v>
      </c>
      <c r="AD119" s="3"/>
      <c r="AE119" s="3"/>
      <c r="AF119" s="109">
        <f t="shared" ref="AF119:AF124" si="87">+S119+T119+U119+V119+W119+X119+Y119+Z119+AA119+AB119+AC119+AD119+AE119</f>
        <v>163400000</v>
      </c>
    </row>
    <row r="120" spans="1:38" ht="114" customHeight="1" x14ac:dyDescent="0.2">
      <c r="A120" s="352"/>
      <c r="B120" s="355"/>
      <c r="C120" s="289"/>
      <c r="D120" s="290"/>
      <c r="E120" s="282">
        <v>3301</v>
      </c>
      <c r="F120" s="274" t="s">
        <v>1459</v>
      </c>
      <c r="G120" s="255" t="s">
        <v>373</v>
      </c>
      <c r="H120" s="272">
        <v>3301073</v>
      </c>
      <c r="I120" s="273" t="s">
        <v>374</v>
      </c>
      <c r="J120" s="272" t="s">
        <v>375</v>
      </c>
      <c r="K120" s="272">
        <v>330107301</v>
      </c>
      <c r="L120" s="273" t="s">
        <v>376</v>
      </c>
      <c r="M120" s="272" t="s">
        <v>143</v>
      </c>
      <c r="N120" s="272">
        <v>1800</v>
      </c>
      <c r="O120" s="272">
        <v>200</v>
      </c>
      <c r="P120" s="442"/>
      <c r="Q120" s="441"/>
      <c r="R120" s="442"/>
      <c r="S120" s="140">
        <f>1308657774.35-151977347.27-151977347</f>
        <v>1004703080.0799999</v>
      </c>
      <c r="T120" s="3"/>
      <c r="U120" s="3"/>
      <c r="V120" s="3"/>
      <c r="W120" s="3"/>
      <c r="X120" s="3"/>
      <c r="Y120" s="3"/>
      <c r="Z120" s="3"/>
      <c r="AA120" s="3"/>
      <c r="AB120" s="3"/>
      <c r="AC120" s="9">
        <f>0+210749741</f>
        <v>210749741</v>
      </c>
      <c r="AD120" s="3"/>
      <c r="AE120" s="3"/>
      <c r="AF120" s="109">
        <f t="shared" si="87"/>
        <v>1215452821.0799999</v>
      </c>
    </row>
    <row r="121" spans="1:38" ht="72.75" customHeight="1" x14ac:dyDescent="0.2">
      <c r="A121" s="352"/>
      <c r="B121" s="355"/>
      <c r="C121" s="289"/>
      <c r="D121" s="290"/>
      <c r="E121" s="282">
        <v>3301</v>
      </c>
      <c r="F121" s="274" t="s">
        <v>1460</v>
      </c>
      <c r="G121" s="255" t="s">
        <v>377</v>
      </c>
      <c r="H121" s="272">
        <v>3301085</v>
      </c>
      <c r="I121" s="273" t="s">
        <v>378</v>
      </c>
      <c r="J121" s="272" t="s">
        <v>379</v>
      </c>
      <c r="K121" s="272" t="s">
        <v>380</v>
      </c>
      <c r="L121" s="273" t="s">
        <v>381</v>
      </c>
      <c r="M121" s="272" t="s">
        <v>143</v>
      </c>
      <c r="N121" s="272">
        <v>270958</v>
      </c>
      <c r="O121" s="272">
        <v>958</v>
      </c>
      <c r="P121" s="442" t="s">
        <v>172</v>
      </c>
      <c r="Q121" s="441" t="s">
        <v>382</v>
      </c>
      <c r="R121" s="442" t="s">
        <v>1388</v>
      </c>
      <c r="S121" s="140">
        <v>110000000</v>
      </c>
      <c r="T121" s="3"/>
      <c r="U121" s="3"/>
      <c r="V121" s="3"/>
      <c r="W121" s="3"/>
      <c r="X121" s="3"/>
      <c r="Y121" s="3"/>
      <c r="Z121" s="3"/>
      <c r="AA121" s="3"/>
      <c r="AB121" s="3"/>
      <c r="AC121" s="9"/>
      <c r="AD121" s="3"/>
      <c r="AE121" s="3"/>
      <c r="AF121" s="109">
        <f t="shared" si="87"/>
        <v>110000000</v>
      </c>
    </row>
    <row r="122" spans="1:38" ht="101.25" customHeight="1" x14ac:dyDescent="0.2">
      <c r="A122" s="352"/>
      <c r="B122" s="355"/>
      <c r="C122" s="289"/>
      <c r="D122" s="290"/>
      <c r="E122" s="282">
        <v>3301</v>
      </c>
      <c r="F122" s="274" t="s">
        <v>1347</v>
      </c>
      <c r="G122" s="255" t="s">
        <v>384</v>
      </c>
      <c r="H122" s="272">
        <v>3301100</v>
      </c>
      <c r="I122" s="273" t="s">
        <v>385</v>
      </c>
      <c r="J122" s="218" t="s">
        <v>386</v>
      </c>
      <c r="K122" s="227" t="s">
        <v>387</v>
      </c>
      <c r="L122" s="224" t="s">
        <v>388</v>
      </c>
      <c r="M122" s="272" t="s">
        <v>143</v>
      </c>
      <c r="N122" s="272">
        <v>40</v>
      </c>
      <c r="O122" s="272">
        <v>5</v>
      </c>
      <c r="P122" s="442"/>
      <c r="Q122" s="441"/>
      <c r="R122" s="442"/>
      <c r="S122" s="141">
        <f>94814219-0.26</f>
        <v>94814218.739999995</v>
      </c>
      <c r="T122" s="3"/>
      <c r="U122" s="3"/>
      <c r="V122" s="3"/>
      <c r="W122" s="3"/>
      <c r="X122" s="3"/>
      <c r="Y122" s="3"/>
      <c r="Z122" s="3"/>
      <c r="AA122" s="3"/>
      <c r="AB122" s="3"/>
      <c r="AC122" s="3"/>
      <c r="AD122" s="3"/>
      <c r="AE122" s="3"/>
      <c r="AF122" s="109">
        <f t="shared" si="87"/>
        <v>94814218.739999995</v>
      </c>
    </row>
    <row r="123" spans="1:38" ht="99.75" customHeight="1" x14ac:dyDescent="0.2">
      <c r="A123" s="352"/>
      <c r="B123" s="355"/>
      <c r="C123" s="289"/>
      <c r="D123" s="290"/>
      <c r="E123" s="282">
        <v>3301</v>
      </c>
      <c r="F123" s="273" t="s">
        <v>1459</v>
      </c>
      <c r="G123" s="160" t="s">
        <v>389</v>
      </c>
      <c r="H123" s="272">
        <v>3301099</v>
      </c>
      <c r="I123" s="273" t="s">
        <v>390</v>
      </c>
      <c r="J123" s="218" t="s">
        <v>391</v>
      </c>
      <c r="K123" s="227" t="s">
        <v>392</v>
      </c>
      <c r="L123" s="224" t="s">
        <v>393</v>
      </c>
      <c r="M123" s="218" t="s">
        <v>53</v>
      </c>
      <c r="N123" s="218">
        <v>1</v>
      </c>
      <c r="O123" s="272">
        <v>1</v>
      </c>
      <c r="P123" s="335" t="s">
        <v>172</v>
      </c>
      <c r="Q123" s="272" t="s">
        <v>394</v>
      </c>
      <c r="R123" s="273" t="s">
        <v>1389</v>
      </c>
      <c r="S123" s="3"/>
      <c r="T123" s="3"/>
      <c r="U123" s="3"/>
      <c r="V123" s="3"/>
      <c r="W123" s="3"/>
      <c r="X123" s="3"/>
      <c r="Y123" s="3"/>
      <c r="Z123" s="3"/>
      <c r="AA123" s="3"/>
      <c r="AB123" s="3"/>
      <c r="AC123" s="9">
        <f>80000000-62000000</f>
        <v>18000000</v>
      </c>
      <c r="AD123" s="3"/>
      <c r="AE123" s="3"/>
      <c r="AF123" s="109">
        <f t="shared" si="87"/>
        <v>18000000</v>
      </c>
    </row>
    <row r="124" spans="1:38" ht="141" customHeight="1" x14ac:dyDescent="0.2">
      <c r="A124" s="352"/>
      <c r="B124" s="355"/>
      <c r="C124" s="289"/>
      <c r="D124" s="290"/>
      <c r="E124" s="282">
        <v>3301</v>
      </c>
      <c r="F124" s="274" t="s">
        <v>1344</v>
      </c>
      <c r="G124" s="255" t="s">
        <v>396</v>
      </c>
      <c r="H124" s="272">
        <v>3301095</v>
      </c>
      <c r="I124" s="273" t="s">
        <v>397</v>
      </c>
      <c r="J124" s="272" t="s">
        <v>398</v>
      </c>
      <c r="K124" s="272" t="s">
        <v>399</v>
      </c>
      <c r="L124" s="273" t="s">
        <v>400</v>
      </c>
      <c r="M124" s="218" t="s">
        <v>143</v>
      </c>
      <c r="N124" s="218">
        <v>480</v>
      </c>
      <c r="O124" s="218">
        <v>30</v>
      </c>
      <c r="P124" s="335" t="s">
        <v>172</v>
      </c>
      <c r="Q124" s="272" t="s">
        <v>401</v>
      </c>
      <c r="R124" s="273" t="s">
        <v>402</v>
      </c>
      <c r="S124" s="142">
        <f>1063903990.74-38250528.54</f>
        <v>1025653462.2</v>
      </c>
      <c r="T124" s="3"/>
      <c r="U124" s="3"/>
      <c r="V124" s="3"/>
      <c r="W124" s="3"/>
      <c r="X124" s="3"/>
      <c r="Y124" s="3"/>
      <c r="Z124" s="3"/>
      <c r="AA124" s="3"/>
      <c r="AB124" s="3"/>
      <c r="AC124" s="132"/>
      <c r="AD124" s="3"/>
      <c r="AE124" s="3"/>
      <c r="AF124" s="109">
        <f t="shared" si="87"/>
        <v>1025653462.2</v>
      </c>
    </row>
    <row r="125" spans="1:38" ht="25.5" customHeight="1" x14ac:dyDescent="0.2">
      <c r="A125" s="352"/>
      <c r="B125" s="355"/>
      <c r="C125" s="131">
        <v>26</v>
      </c>
      <c r="D125" s="103">
        <v>3302</v>
      </c>
      <c r="E125" s="158" t="s">
        <v>403</v>
      </c>
      <c r="F125" s="102"/>
      <c r="G125" s="103"/>
      <c r="H125" s="104"/>
      <c r="I125" s="102"/>
      <c r="J125" s="103"/>
      <c r="K125" s="103"/>
      <c r="L125" s="102"/>
      <c r="M125" s="105"/>
      <c r="N125" s="105"/>
      <c r="O125" s="103"/>
      <c r="P125" s="338"/>
      <c r="Q125" s="103"/>
      <c r="R125" s="102"/>
      <c r="S125" s="107">
        <f t="shared" ref="S125:AF125" si="88">SUM(S126:S127)</f>
        <v>0</v>
      </c>
      <c r="T125" s="107">
        <f t="shared" si="88"/>
        <v>0</v>
      </c>
      <c r="U125" s="107">
        <f t="shared" si="88"/>
        <v>0</v>
      </c>
      <c r="V125" s="107">
        <f t="shared" si="88"/>
        <v>0</v>
      </c>
      <c r="W125" s="107">
        <f t="shared" si="88"/>
        <v>0</v>
      </c>
      <c r="X125" s="107">
        <f t="shared" si="88"/>
        <v>0</v>
      </c>
      <c r="Y125" s="107">
        <f t="shared" si="88"/>
        <v>0</v>
      </c>
      <c r="Z125" s="107">
        <f t="shared" si="88"/>
        <v>0</v>
      </c>
      <c r="AA125" s="107">
        <f t="shared" si="88"/>
        <v>0</v>
      </c>
      <c r="AB125" s="107">
        <f t="shared" si="88"/>
        <v>0</v>
      </c>
      <c r="AC125" s="107">
        <f t="shared" si="88"/>
        <v>33800000</v>
      </c>
      <c r="AD125" s="107">
        <f t="shared" si="88"/>
        <v>342754433.30000001</v>
      </c>
      <c r="AE125" s="107">
        <f t="shared" si="88"/>
        <v>0</v>
      </c>
      <c r="AF125" s="107">
        <f t="shared" si="88"/>
        <v>376554433.30000001</v>
      </c>
    </row>
    <row r="126" spans="1:38" ht="99" customHeight="1" x14ac:dyDescent="0.2">
      <c r="A126" s="352"/>
      <c r="B126" s="355"/>
      <c r="C126" s="289"/>
      <c r="D126" s="290"/>
      <c r="E126" s="282">
        <v>3302</v>
      </c>
      <c r="F126" s="274" t="s">
        <v>1461</v>
      </c>
      <c r="G126" s="160" t="s">
        <v>404</v>
      </c>
      <c r="H126" s="8">
        <v>3302042</v>
      </c>
      <c r="I126" s="273" t="s">
        <v>405</v>
      </c>
      <c r="J126" s="272" t="s">
        <v>406</v>
      </c>
      <c r="K126" s="272" t="s">
        <v>407</v>
      </c>
      <c r="L126" s="273" t="s">
        <v>408</v>
      </c>
      <c r="M126" s="272" t="s">
        <v>143</v>
      </c>
      <c r="N126" s="272">
        <v>48</v>
      </c>
      <c r="O126" s="272">
        <v>12</v>
      </c>
      <c r="P126" s="442" t="s">
        <v>172</v>
      </c>
      <c r="Q126" s="441" t="s">
        <v>409</v>
      </c>
      <c r="R126" s="442" t="s">
        <v>410</v>
      </c>
      <c r="S126" s="3"/>
      <c r="T126" s="3"/>
      <c r="U126" s="3"/>
      <c r="V126" s="3"/>
      <c r="W126" s="3"/>
      <c r="X126" s="3"/>
      <c r="Y126" s="3"/>
      <c r="Z126" s="3"/>
      <c r="AA126" s="3"/>
      <c r="AB126" s="3"/>
      <c r="AC126" s="9">
        <f>80000000-46200000</f>
        <v>33800000</v>
      </c>
      <c r="AD126" s="3"/>
      <c r="AE126" s="301"/>
      <c r="AF126" s="109">
        <f>+S126+T126+U126+V126+W126+X126+Y126+Z126+AA126+AB126+AC126+AD126+AE126</f>
        <v>33800000</v>
      </c>
    </row>
    <row r="127" spans="1:38" ht="100.5" customHeight="1" x14ac:dyDescent="0.2">
      <c r="A127" s="353"/>
      <c r="B127" s="356"/>
      <c r="C127" s="289"/>
      <c r="D127" s="290"/>
      <c r="E127" s="282">
        <v>3302</v>
      </c>
      <c r="F127" s="274" t="s">
        <v>1462</v>
      </c>
      <c r="G127" s="251" t="s">
        <v>411</v>
      </c>
      <c r="H127" s="8">
        <v>3302070</v>
      </c>
      <c r="I127" s="273" t="s">
        <v>412</v>
      </c>
      <c r="J127" s="218" t="s">
        <v>413</v>
      </c>
      <c r="K127" s="227" t="s">
        <v>414</v>
      </c>
      <c r="L127" s="224" t="s">
        <v>388</v>
      </c>
      <c r="M127" s="272" t="s">
        <v>53</v>
      </c>
      <c r="N127" s="272">
        <v>4</v>
      </c>
      <c r="O127" s="272">
        <v>4</v>
      </c>
      <c r="P127" s="442"/>
      <c r="Q127" s="441"/>
      <c r="R127" s="442"/>
      <c r="S127" s="3"/>
      <c r="T127" s="3"/>
      <c r="U127" s="3"/>
      <c r="V127" s="3"/>
      <c r="W127" s="3"/>
      <c r="X127" s="3"/>
      <c r="Y127" s="3"/>
      <c r="Z127" s="3"/>
      <c r="AA127" s="3"/>
      <c r="AB127" s="3"/>
      <c r="AC127" s="9"/>
      <c r="AD127" s="143">
        <f>287355981.3+55398452</f>
        <v>342754433.30000001</v>
      </c>
      <c r="AE127" s="301"/>
      <c r="AF127" s="109">
        <f>+S127+T127+U127+V127+W127+X127+Y127+Z127+AA127+AB127+AC127+AD127+AE127</f>
        <v>342754433.30000001</v>
      </c>
    </row>
    <row r="128" spans="1:38" s="176" customFormat="1" ht="15.75" x14ac:dyDescent="0.2">
      <c r="A128" s="357"/>
      <c r="B128" s="358"/>
      <c r="C128" s="358"/>
      <c r="D128" s="359"/>
      <c r="E128" s="360"/>
      <c r="F128" s="360"/>
      <c r="G128" s="361"/>
      <c r="H128" s="361"/>
      <c r="I128" s="362"/>
      <c r="J128" s="363"/>
      <c r="K128" s="363"/>
      <c r="L128" s="362"/>
      <c r="M128" s="361"/>
      <c r="N128" s="361"/>
      <c r="O128" s="363"/>
      <c r="P128" s="361"/>
      <c r="Q128" s="361"/>
      <c r="R128" s="362"/>
      <c r="S128" s="364"/>
      <c r="T128" s="364"/>
      <c r="U128" s="364"/>
      <c r="V128" s="364"/>
      <c r="W128" s="364"/>
      <c r="X128" s="364"/>
      <c r="Y128" s="364"/>
      <c r="Z128" s="364"/>
      <c r="AA128" s="364"/>
      <c r="AB128" s="364"/>
      <c r="AC128" s="365"/>
      <c r="AD128" s="364"/>
      <c r="AE128" s="364"/>
      <c r="AF128" s="434"/>
    </row>
    <row r="129" spans="1:38" ht="15.75" x14ac:dyDescent="0.2">
      <c r="A129" s="145" t="s">
        <v>415</v>
      </c>
      <c r="B129" s="145"/>
      <c r="C129" s="145"/>
      <c r="D129" s="146"/>
      <c r="E129" s="146"/>
      <c r="F129" s="147"/>
      <c r="G129" s="148"/>
      <c r="H129" s="92"/>
      <c r="I129" s="147"/>
      <c r="J129" s="148"/>
      <c r="K129" s="148"/>
      <c r="L129" s="147"/>
      <c r="M129" s="92"/>
      <c r="N129" s="92"/>
      <c r="O129" s="148"/>
      <c r="P129" s="339"/>
      <c r="Q129" s="148"/>
      <c r="R129" s="147"/>
      <c r="S129" s="124">
        <f t="shared" ref="S129:AF129" si="89">S130</f>
        <v>0</v>
      </c>
      <c r="T129" s="124">
        <f t="shared" si="89"/>
        <v>0</v>
      </c>
      <c r="U129" s="124">
        <f t="shared" si="89"/>
        <v>0</v>
      </c>
      <c r="V129" s="124">
        <f t="shared" si="89"/>
        <v>0</v>
      </c>
      <c r="W129" s="124">
        <f t="shared" si="89"/>
        <v>0</v>
      </c>
      <c r="X129" s="124">
        <f t="shared" si="89"/>
        <v>0</v>
      </c>
      <c r="Y129" s="124">
        <f t="shared" si="89"/>
        <v>0</v>
      </c>
      <c r="Z129" s="124">
        <f t="shared" si="89"/>
        <v>0</v>
      </c>
      <c r="AA129" s="124">
        <f t="shared" si="89"/>
        <v>0</v>
      </c>
      <c r="AB129" s="124">
        <f t="shared" si="89"/>
        <v>0</v>
      </c>
      <c r="AC129" s="124">
        <f t="shared" si="89"/>
        <v>2205292436</v>
      </c>
      <c r="AD129" s="124">
        <f t="shared" si="89"/>
        <v>516877904.85000002</v>
      </c>
      <c r="AE129" s="124">
        <f t="shared" si="89"/>
        <v>0</v>
      </c>
      <c r="AF129" s="124">
        <f t="shared" si="89"/>
        <v>2722170340.8499999</v>
      </c>
      <c r="AG129" s="401"/>
      <c r="AH129" s="401"/>
      <c r="AI129" s="401"/>
      <c r="AJ129" s="401"/>
      <c r="AK129" s="401"/>
      <c r="AL129" s="401"/>
    </row>
    <row r="130" spans="1:38" ht="15.75" x14ac:dyDescent="0.2">
      <c r="A130" s="366"/>
      <c r="B130" s="95">
        <v>2</v>
      </c>
      <c r="C130" s="95" t="s">
        <v>2</v>
      </c>
      <c r="D130" s="96"/>
      <c r="E130" s="304"/>
      <c r="F130" s="97"/>
      <c r="G130" s="98"/>
      <c r="H130" s="99"/>
      <c r="I130" s="97"/>
      <c r="J130" s="98"/>
      <c r="K130" s="98"/>
      <c r="L130" s="97"/>
      <c r="M130" s="100"/>
      <c r="N130" s="100"/>
      <c r="O130" s="98"/>
      <c r="P130" s="340"/>
      <c r="Q130" s="98"/>
      <c r="R130" s="97"/>
      <c r="S130" s="101">
        <f t="shared" ref="S130:AF130" si="90">S131+S140</f>
        <v>0</v>
      </c>
      <c r="T130" s="101">
        <f t="shared" si="90"/>
        <v>0</v>
      </c>
      <c r="U130" s="101">
        <f t="shared" si="90"/>
        <v>0</v>
      </c>
      <c r="V130" s="101">
        <f t="shared" si="90"/>
        <v>0</v>
      </c>
      <c r="W130" s="101">
        <f t="shared" si="90"/>
        <v>0</v>
      </c>
      <c r="X130" s="101">
        <f t="shared" si="90"/>
        <v>0</v>
      </c>
      <c r="Y130" s="101">
        <f t="shared" si="90"/>
        <v>0</v>
      </c>
      <c r="Z130" s="101">
        <f t="shared" si="90"/>
        <v>0</v>
      </c>
      <c r="AA130" s="101">
        <f t="shared" si="90"/>
        <v>0</v>
      </c>
      <c r="AB130" s="101">
        <f t="shared" si="90"/>
        <v>0</v>
      </c>
      <c r="AC130" s="101">
        <f t="shared" si="90"/>
        <v>2205292436</v>
      </c>
      <c r="AD130" s="101">
        <f t="shared" si="90"/>
        <v>516877904.85000002</v>
      </c>
      <c r="AE130" s="101">
        <f t="shared" si="90"/>
        <v>0</v>
      </c>
      <c r="AF130" s="101">
        <f t="shared" si="90"/>
        <v>2722170340.8499999</v>
      </c>
    </row>
    <row r="131" spans="1:38" ht="15.75" x14ac:dyDescent="0.2">
      <c r="A131" s="352"/>
      <c r="B131" s="464"/>
      <c r="C131" s="275">
        <v>27</v>
      </c>
      <c r="D131" s="106">
        <v>3502</v>
      </c>
      <c r="E131" s="275" t="s">
        <v>192</v>
      </c>
      <c r="F131" s="102"/>
      <c r="G131" s="103"/>
      <c r="H131" s="104"/>
      <c r="I131" s="102"/>
      <c r="J131" s="103"/>
      <c r="K131" s="103"/>
      <c r="L131" s="102"/>
      <c r="M131" s="105"/>
      <c r="N131" s="105"/>
      <c r="O131" s="103"/>
      <c r="P131" s="338"/>
      <c r="Q131" s="103"/>
      <c r="R131" s="102"/>
      <c r="S131" s="107">
        <f t="shared" ref="S131:AF131" si="91">SUM(S132:S139)</f>
        <v>0</v>
      </c>
      <c r="T131" s="107">
        <f t="shared" si="91"/>
        <v>0</v>
      </c>
      <c r="U131" s="107">
        <f t="shared" si="91"/>
        <v>0</v>
      </c>
      <c r="V131" s="107">
        <f t="shared" si="91"/>
        <v>0</v>
      </c>
      <c r="W131" s="107">
        <f t="shared" si="91"/>
        <v>0</v>
      </c>
      <c r="X131" s="107">
        <f t="shared" si="91"/>
        <v>0</v>
      </c>
      <c r="Y131" s="107">
        <f t="shared" si="91"/>
        <v>0</v>
      </c>
      <c r="Z131" s="107">
        <f t="shared" si="91"/>
        <v>0</v>
      </c>
      <c r="AA131" s="107">
        <f t="shared" si="91"/>
        <v>0</v>
      </c>
      <c r="AB131" s="107">
        <f t="shared" si="91"/>
        <v>0</v>
      </c>
      <c r="AC131" s="107">
        <f t="shared" si="91"/>
        <v>969607436</v>
      </c>
      <c r="AD131" s="107">
        <f t="shared" si="91"/>
        <v>516877904.85000002</v>
      </c>
      <c r="AE131" s="107">
        <f t="shared" si="91"/>
        <v>0</v>
      </c>
      <c r="AF131" s="107">
        <f t="shared" si="91"/>
        <v>1486485340.8499999</v>
      </c>
    </row>
    <row r="132" spans="1:38" ht="56.25" customHeight="1" x14ac:dyDescent="0.2">
      <c r="A132" s="352"/>
      <c r="B132" s="464"/>
      <c r="C132" s="289"/>
      <c r="D132" s="290"/>
      <c r="E132" s="259">
        <v>3502</v>
      </c>
      <c r="F132" s="159" t="s">
        <v>1348</v>
      </c>
      <c r="G132" s="160" t="s">
        <v>416</v>
      </c>
      <c r="H132" s="259">
        <v>3502006</v>
      </c>
      <c r="I132" s="159" t="s">
        <v>417</v>
      </c>
      <c r="J132" s="160" t="s">
        <v>418</v>
      </c>
      <c r="K132" s="160" t="s">
        <v>419</v>
      </c>
      <c r="L132" s="159" t="s">
        <v>420</v>
      </c>
      <c r="M132" s="256" t="s">
        <v>143</v>
      </c>
      <c r="N132" s="160">
        <v>4</v>
      </c>
      <c r="O132" s="160">
        <v>1</v>
      </c>
      <c r="P132" s="465" t="s">
        <v>189</v>
      </c>
      <c r="Q132" s="441" t="s">
        <v>421</v>
      </c>
      <c r="R132" s="442" t="s">
        <v>422</v>
      </c>
      <c r="S132" s="3"/>
      <c r="T132" s="3"/>
      <c r="U132" s="3"/>
      <c r="V132" s="3"/>
      <c r="W132" s="3"/>
      <c r="X132" s="3"/>
      <c r="Y132" s="3"/>
      <c r="Z132" s="3"/>
      <c r="AA132" s="3"/>
      <c r="AB132" s="3"/>
      <c r="AC132" s="283">
        <f>20000000+10000000</f>
        <v>30000000</v>
      </c>
      <c r="AD132" s="3"/>
      <c r="AE132" s="3"/>
      <c r="AF132" s="109">
        <f t="shared" ref="AF132:AF139" si="92">+S132+T132+U132+V132+W132+X132+Y132+Z132+AA132+AB132+AC132+AD132+AE132</f>
        <v>30000000</v>
      </c>
    </row>
    <row r="133" spans="1:38" ht="47.25" customHeight="1" x14ac:dyDescent="0.2">
      <c r="A133" s="352"/>
      <c r="B133" s="464"/>
      <c r="C133" s="289"/>
      <c r="D133" s="290"/>
      <c r="E133" s="259">
        <v>3502</v>
      </c>
      <c r="F133" s="159" t="s">
        <v>1348</v>
      </c>
      <c r="G133" s="160" t="s">
        <v>423</v>
      </c>
      <c r="H133" s="259">
        <v>3502007</v>
      </c>
      <c r="I133" s="159" t="s">
        <v>1390</v>
      </c>
      <c r="J133" s="160" t="s">
        <v>424</v>
      </c>
      <c r="K133" s="160" t="s">
        <v>425</v>
      </c>
      <c r="L133" s="159" t="s">
        <v>426</v>
      </c>
      <c r="M133" s="256" t="s">
        <v>53</v>
      </c>
      <c r="N133" s="160">
        <v>7</v>
      </c>
      <c r="O133" s="160">
        <v>7</v>
      </c>
      <c r="P133" s="465"/>
      <c r="Q133" s="441"/>
      <c r="R133" s="442"/>
      <c r="S133" s="3"/>
      <c r="T133" s="3"/>
      <c r="U133" s="3"/>
      <c r="V133" s="3"/>
      <c r="W133" s="3"/>
      <c r="X133" s="3"/>
      <c r="Y133" s="3"/>
      <c r="Z133" s="3"/>
      <c r="AA133" s="3"/>
      <c r="AB133" s="3"/>
      <c r="AC133" s="283">
        <f>30000000+15000000</f>
        <v>45000000</v>
      </c>
      <c r="AD133" s="3"/>
      <c r="AE133" s="3"/>
      <c r="AF133" s="109">
        <f t="shared" si="92"/>
        <v>45000000</v>
      </c>
    </row>
    <row r="134" spans="1:38" ht="43.5" customHeight="1" x14ac:dyDescent="0.2">
      <c r="A134" s="352"/>
      <c r="B134" s="464"/>
      <c r="C134" s="447"/>
      <c r="D134" s="290"/>
      <c r="E134" s="160">
        <v>3502</v>
      </c>
      <c r="F134" s="159" t="s">
        <v>1348</v>
      </c>
      <c r="G134" s="160" t="s">
        <v>427</v>
      </c>
      <c r="H134" s="250">
        <v>3502022</v>
      </c>
      <c r="I134" s="159" t="s">
        <v>428</v>
      </c>
      <c r="J134" s="251" t="s">
        <v>429</v>
      </c>
      <c r="K134" s="260" t="s">
        <v>430</v>
      </c>
      <c r="L134" s="261" t="s">
        <v>431</v>
      </c>
      <c r="M134" s="251" t="s">
        <v>53</v>
      </c>
      <c r="N134" s="251">
        <v>14</v>
      </c>
      <c r="O134" s="251">
        <v>14</v>
      </c>
      <c r="P134" s="465" t="s">
        <v>189</v>
      </c>
      <c r="Q134" s="441" t="s">
        <v>432</v>
      </c>
      <c r="R134" s="442" t="s">
        <v>433</v>
      </c>
      <c r="S134" s="3"/>
      <c r="T134" s="3"/>
      <c r="U134" s="3"/>
      <c r="V134" s="3"/>
      <c r="W134" s="3"/>
      <c r="X134" s="3"/>
      <c r="Y134" s="3"/>
      <c r="Z134" s="3"/>
      <c r="AA134" s="3"/>
      <c r="AB134" s="3"/>
      <c r="AC134" s="283">
        <f>100000000+89600000-23586667</f>
        <v>166013333</v>
      </c>
      <c r="AD134" s="3"/>
      <c r="AE134" s="3"/>
      <c r="AF134" s="109">
        <f t="shared" si="92"/>
        <v>166013333</v>
      </c>
    </row>
    <row r="135" spans="1:38" ht="39.75" customHeight="1" x14ac:dyDescent="0.2">
      <c r="A135" s="352"/>
      <c r="B135" s="464"/>
      <c r="C135" s="447"/>
      <c r="D135" s="290"/>
      <c r="E135" s="259">
        <v>3502</v>
      </c>
      <c r="F135" s="159" t="s">
        <v>1348</v>
      </c>
      <c r="G135" s="160" t="s">
        <v>434</v>
      </c>
      <c r="H135" s="250">
        <v>3502047</v>
      </c>
      <c r="I135" s="159" t="s">
        <v>435</v>
      </c>
      <c r="J135" s="251" t="s">
        <v>436</v>
      </c>
      <c r="K135" s="260" t="s">
        <v>437</v>
      </c>
      <c r="L135" s="261" t="s">
        <v>438</v>
      </c>
      <c r="M135" s="160" t="s">
        <v>143</v>
      </c>
      <c r="N135" s="160">
        <v>1</v>
      </c>
      <c r="O135" s="160">
        <v>0.3</v>
      </c>
      <c r="P135" s="465"/>
      <c r="Q135" s="441"/>
      <c r="R135" s="442"/>
      <c r="S135" s="3"/>
      <c r="T135" s="3"/>
      <c r="U135" s="3"/>
      <c r="V135" s="3"/>
      <c r="W135" s="3"/>
      <c r="X135" s="3"/>
      <c r="Y135" s="3"/>
      <c r="Z135" s="3"/>
      <c r="AA135" s="3"/>
      <c r="AB135" s="3"/>
      <c r="AC135" s="283">
        <f>20000000+23586667</f>
        <v>43586667</v>
      </c>
      <c r="AD135" s="3"/>
      <c r="AE135" s="3"/>
      <c r="AF135" s="109">
        <f t="shared" si="92"/>
        <v>43586667</v>
      </c>
    </row>
    <row r="136" spans="1:38" ht="62.25" customHeight="1" x14ac:dyDescent="0.2">
      <c r="A136" s="352"/>
      <c r="B136" s="464"/>
      <c r="C136" s="447"/>
      <c r="D136" s="290"/>
      <c r="E136" s="259">
        <v>3502</v>
      </c>
      <c r="F136" s="159" t="s">
        <v>1391</v>
      </c>
      <c r="G136" s="160" t="s">
        <v>439</v>
      </c>
      <c r="H136" s="250">
        <v>3502039</v>
      </c>
      <c r="I136" s="159" t="s">
        <v>440</v>
      </c>
      <c r="J136" s="160" t="s">
        <v>441</v>
      </c>
      <c r="K136" s="160" t="s">
        <v>442</v>
      </c>
      <c r="L136" s="159" t="s">
        <v>255</v>
      </c>
      <c r="M136" s="160" t="s">
        <v>53</v>
      </c>
      <c r="N136" s="160">
        <v>12</v>
      </c>
      <c r="O136" s="160">
        <v>12</v>
      </c>
      <c r="P136" s="465" t="s">
        <v>189</v>
      </c>
      <c r="Q136" s="441" t="s">
        <v>443</v>
      </c>
      <c r="R136" s="442" t="s">
        <v>1367</v>
      </c>
      <c r="S136" s="3"/>
      <c r="T136" s="3"/>
      <c r="U136" s="3"/>
      <c r="V136" s="3"/>
      <c r="W136" s="3"/>
      <c r="X136" s="3"/>
      <c r="Y136" s="3"/>
      <c r="Z136" s="3"/>
      <c r="AA136" s="3"/>
      <c r="AB136" s="3"/>
      <c r="AC136" s="9">
        <f>434485000-14600000-236245001-43639999+93839999</f>
        <v>233839999</v>
      </c>
      <c r="AD136" s="3"/>
      <c r="AE136" s="3"/>
      <c r="AF136" s="109">
        <f t="shared" si="92"/>
        <v>233839999</v>
      </c>
    </row>
    <row r="137" spans="1:38" ht="62.25" customHeight="1" x14ac:dyDescent="0.2">
      <c r="A137" s="352"/>
      <c r="B137" s="464"/>
      <c r="C137" s="447"/>
      <c r="D137" s="290"/>
      <c r="E137" s="160">
        <v>3502</v>
      </c>
      <c r="F137" s="159" t="s">
        <v>1391</v>
      </c>
      <c r="G137" s="160" t="s">
        <v>439</v>
      </c>
      <c r="H137" s="250">
        <v>3502039</v>
      </c>
      <c r="I137" s="159" t="s">
        <v>440</v>
      </c>
      <c r="J137" s="251" t="s">
        <v>445</v>
      </c>
      <c r="K137" s="260" t="s">
        <v>446</v>
      </c>
      <c r="L137" s="261" t="s">
        <v>447</v>
      </c>
      <c r="M137" s="160" t="s">
        <v>143</v>
      </c>
      <c r="N137" s="160">
        <v>6</v>
      </c>
      <c r="O137" s="160">
        <v>1</v>
      </c>
      <c r="P137" s="465"/>
      <c r="Q137" s="441"/>
      <c r="R137" s="442"/>
      <c r="S137" s="3"/>
      <c r="T137" s="3"/>
      <c r="U137" s="3"/>
      <c r="V137" s="3"/>
      <c r="W137" s="3"/>
      <c r="X137" s="3"/>
      <c r="Y137" s="3"/>
      <c r="Z137" s="3"/>
      <c r="AA137" s="3"/>
      <c r="AB137" s="3"/>
      <c r="AC137" s="9">
        <f>236245001-87757502-61320062</f>
        <v>87167437</v>
      </c>
      <c r="AD137" s="3"/>
      <c r="AE137" s="3"/>
      <c r="AF137" s="109">
        <f t="shared" si="92"/>
        <v>87167437</v>
      </c>
    </row>
    <row r="138" spans="1:38" ht="56.25" customHeight="1" x14ac:dyDescent="0.2">
      <c r="A138" s="352"/>
      <c r="B138" s="464"/>
      <c r="C138" s="447"/>
      <c r="D138" s="290"/>
      <c r="E138" s="160">
        <v>3502</v>
      </c>
      <c r="F138" s="159" t="s">
        <v>1348</v>
      </c>
      <c r="G138" s="160" t="s">
        <v>434</v>
      </c>
      <c r="H138" s="250">
        <v>3502047</v>
      </c>
      <c r="I138" s="159" t="s">
        <v>435</v>
      </c>
      <c r="J138" s="160" t="s">
        <v>436</v>
      </c>
      <c r="K138" s="160" t="s">
        <v>437</v>
      </c>
      <c r="L138" s="159" t="s">
        <v>438</v>
      </c>
      <c r="M138" s="160" t="s">
        <v>143</v>
      </c>
      <c r="N138" s="160">
        <v>1</v>
      </c>
      <c r="O138" s="160">
        <v>0.3</v>
      </c>
      <c r="P138" s="465"/>
      <c r="Q138" s="441"/>
      <c r="R138" s="442"/>
      <c r="S138" s="3"/>
      <c r="T138" s="3"/>
      <c r="U138" s="3"/>
      <c r="V138" s="3"/>
      <c r="W138" s="3"/>
      <c r="X138" s="3"/>
      <c r="Y138" s="3"/>
      <c r="Z138" s="3"/>
      <c r="AA138" s="3"/>
      <c r="AB138" s="3"/>
      <c r="AC138" s="9">
        <f>36519937-32519937</f>
        <v>4000000</v>
      </c>
      <c r="AD138" s="3"/>
      <c r="AE138" s="3"/>
      <c r="AF138" s="109">
        <f t="shared" si="92"/>
        <v>4000000</v>
      </c>
    </row>
    <row r="139" spans="1:38" s="144" customFormat="1" ht="90.75" customHeight="1" x14ac:dyDescent="0.25">
      <c r="A139" s="375"/>
      <c r="B139" s="464"/>
      <c r="C139" s="447"/>
      <c r="D139" s="290"/>
      <c r="E139" s="160">
        <v>3502</v>
      </c>
      <c r="F139" s="254" t="s">
        <v>1391</v>
      </c>
      <c r="G139" s="255" t="s">
        <v>448</v>
      </c>
      <c r="H139" s="250">
        <v>3502046</v>
      </c>
      <c r="I139" s="159" t="s">
        <v>449</v>
      </c>
      <c r="J139" s="160" t="s">
        <v>450</v>
      </c>
      <c r="K139" s="160" t="s">
        <v>451</v>
      </c>
      <c r="L139" s="159" t="s">
        <v>452</v>
      </c>
      <c r="M139" s="160" t="s">
        <v>143</v>
      </c>
      <c r="N139" s="160">
        <v>4</v>
      </c>
      <c r="O139" s="160">
        <v>1</v>
      </c>
      <c r="P139" s="254" t="s">
        <v>189</v>
      </c>
      <c r="Q139" s="272" t="s">
        <v>453</v>
      </c>
      <c r="R139" s="273" t="s">
        <v>1392</v>
      </c>
      <c r="S139" s="3"/>
      <c r="T139" s="3"/>
      <c r="U139" s="3"/>
      <c r="V139" s="3"/>
      <c r="W139" s="3"/>
      <c r="X139" s="3"/>
      <c r="Y139" s="3"/>
      <c r="Z139" s="3"/>
      <c r="AA139" s="3"/>
      <c r="AB139" s="3"/>
      <c r="AC139" s="9">
        <f>0+360000000</f>
        <v>360000000</v>
      </c>
      <c r="AD139" s="21">
        <f>291845334+22109904.85+232026666-29104000</f>
        <v>516877904.85000002</v>
      </c>
      <c r="AE139" s="21"/>
      <c r="AF139" s="109">
        <f t="shared" si="92"/>
        <v>876877904.85000002</v>
      </c>
    </row>
    <row r="140" spans="1:38" ht="15.75" x14ac:dyDescent="0.2">
      <c r="A140" s="352"/>
      <c r="B140" s="464"/>
      <c r="C140" s="275">
        <v>28</v>
      </c>
      <c r="D140" s="106">
        <v>3602</v>
      </c>
      <c r="E140" s="275" t="s">
        <v>455</v>
      </c>
      <c r="F140" s="102"/>
      <c r="G140" s="103"/>
      <c r="H140" s="104"/>
      <c r="I140" s="102"/>
      <c r="J140" s="103"/>
      <c r="K140" s="103"/>
      <c r="L140" s="102"/>
      <c r="M140" s="105"/>
      <c r="N140" s="105"/>
      <c r="O140" s="103"/>
      <c r="P140" s="338"/>
      <c r="Q140" s="103"/>
      <c r="R140" s="102"/>
      <c r="S140" s="107">
        <f t="shared" ref="S140:AE140" si="93">SUM(S141:S144)</f>
        <v>0</v>
      </c>
      <c r="T140" s="107">
        <f t="shared" si="93"/>
        <v>0</v>
      </c>
      <c r="U140" s="107">
        <f t="shared" si="93"/>
        <v>0</v>
      </c>
      <c r="V140" s="107">
        <f t="shared" si="93"/>
        <v>0</v>
      </c>
      <c r="W140" s="107">
        <f t="shared" si="93"/>
        <v>0</v>
      </c>
      <c r="X140" s="107">
        <f t="shared" si="93"/>
        <v>0</v>
      </c>
      <c r="Y140" s="107">
        <f t="shared" si="93"/>
        <v>0</v>
      </c>
      <c r="Z140" s="107">
        <f t="shared" si="93"/>
        <v>0</v>
      </c>
      <c r="AA140" s="107">
        <f t="shared" si="93"/>
        <v>0</v>
      </c>
      <c r="AB140" s="107">
        <f t="shared" si="93"/>
        <v>0</v>
      </c>
      <c r="AC140" s="107">
        <f t="shared" si="93"/>
        <v>1235685000</v>
      </c>
      <c r="AD140" s="107">
        <f t="shared" si="93"/>
        <v>0</v>
      </c>
      <c r="AE140" s="107">
        <f t="shared" si="93"/>
        <v>0</v>
      </c>
      <c r="AF140" s="107">
        <f>SUM(AF141:AF144)</f>
        <v>1235685000</v>
      </c>
    </row>
    <row r="141" spans="1:38" ht="99" customHeight="1" x14ac:dyDescent="0.2">
      <c r="A141" s="352"/>
      <c r="B141" s="464"/>
      <c r="C141" s="464"/>
      <c r="D141" s="290"/>
      <c r="E141" s="160">
        <v>3602</v>
      </c>
      <c r="F141" s="159" t="s">
        <v>1348</v>
      </c>
      <c r="G141" s="251" t="s">
        <v>456</v>
      </c>
      <c r="H141" s="160">
        <v>3602018</v>
      </c>
      <c r="I141" s="159" t="s">
        <v>457</v>
      </c>
      <c r="J141" s="251" t="s">
        <v>458</v>
      </c>
      <c r="K141" s="260" t="s">
        <v>1349</v>
      </c>
      <c r="L141" s="261" t="s">
        <v>459</v>
      </c>
      <c r="M141" s="251" t="s">
        <v>143</v>
      </c>
      <c r="N141" s="251">
        <v>14</v>
      </c>
      <c r="O141" s="251">
        <v>3</v>
      </c>
      <c r="P141" s="451" t="s">
        <v>189</v>
      </c>
      <c r="Q141" s="441" t="s">
        <v>460</v>
      </c>
      <c r="R141" s="442" t="s">
        <v>461</v>
      </c>
      <c r="S141" s="3"/>
      <c r="T141" s="3"/>
      <c r="U141" s="3"/>
      <c r="V141" s="3"/>
      <c r="W141" s="3"/>
      <c r="X141" s="3"/>
      <c r="Y141" s="3"/>
      <c r="Z141" s="3"/>
      <c r="AA141" s="3"/>
      <c r="AB141" s="3"/>
      <c r="AC141" s="9">
        <f>160285000+950000000</f>
        <v>1110285000</v>
      </c>
      <c r="AD141" s="3"/>
      <c r="AE141" s="3"/>
      <c r="AF141" s="109">
        <f>+S141+T141+U141+V141+W141+X141+Y141+Z141+AA141+AB141+AC141+AD141+AE141</f>
        <v>1110285000</v>
      </c>
    </row>
    <row r="142" spans="1:38" ht="51" customHeight="1" x14ac:dyDescent="0.2">
      <c r="A142" s="352"/>
      <c r="B142" s="464"/>
      <c r="C142" s="464"/>
      <c r="D142" s="290"/>
      <c r="E142" s="160">
        <v>3602</v>
      </c>
      <c r="F142" s="159" t="s">
        <v>1348</v>
      </c>
      <c r="G142" s="251" t="s">
        <v>462</v>
      </c>
      <c r="H142" s="259">
        <v>3602032</v>
      </c>
      <c r="I142" s="159" t="s">
        <v>463</v>
      </c>
      <c r="J142" s="251" t="s">
        <v>464</v>
      </c>
      <c r="K142" s="260" t="s">
        <v>1350</v>
      </c>
      <c r="L142" s="261" t="s">
        <v>465</v>
      </c>
      <c r="M142" s="251" t="s">
        <v>53</v>
      </c>
      <c r="N142" s="251">
        <v>14</v>
      </c>
      <c r="O142" s="251">
        <v>14</v>
      </c>
      <c r="P142" s="451"/>
      <c r="Q142" s="441"/>
      <c r="R142" s="442"/>
      <c r="S142" s="3"/>
      <c r="T142" s="3"/>
      <c r="U142" s="3"/>
      <c r="V142" s="3"/>
      <c r="W142" s="3"/>
      <c r="X142" s="3"/>
      <c r="Y142" s="3"/>
      <c r="Z142" s="3"/>
      <c r="AA142" s="3"/>
      <c r="AB142" s="3"/>
      <c r="AC142" s="9">
        <v>72000000</v>
      </c>
      <c r="AD142" s="3"/>
      <c r="AE142" s="3"/>
      <c r="AF142" s="109">
        <f>+S142+T142+U142+V142+W142+X142+Y142+Z142+AA142+AB142+AC142+AD142+AE142</f>
        <v>72000000</v>
      </c>
    </row>
    <row r="143" spans="1:38" ht="51" customHeight="1" x14ac:dyDescent="0.2">
      <c r="A143" s="352"/>
      <c r="B143" s="464"/>
      <c r="C143" s="464"/>
      <c r="D143" s="290"/>
      <c r="E143" s="160">
        <v>3602</v>
      </c>
      <c r="F143" s="159" t="s">
        <v>1348</v>
      </c>
      <c r="G143" s="251" t="s">
        <v>466</v>
      </c>
      <c r="H143" s="259">
        <v>3602029</v>
      </c>
      <c r="I143" s="159" t="s">
        <v>1393</v>
      </c>
      <c r="J143" s="251" t="s">
        <v>467</v>
      </c>
      <c r="K143" s="260" t="s">
        <v>1351</v>
      </c>
      <c r="L143" s="261" t="s">
        <v>468</v>
      </c>
      <c r="M143" s="251" t="s">
        <v>143</v>
      </c>
      <c r="N143" s="251">
        <v>42</v>
      </c>
      <c r="O143" s="251">
        <v>5</v>
      </c>
      <c r="P143" s="451"/>
      <c r="Q143" s="441"/>
      <c r="R143" s="442"/>
      <c r="S143" s="3"/>
      <c r="T143" s="3"/>
      <c r="U143" s="3"/>
      <c r="V143" s="3"/>
      <c r="W143" s="3"/>
      <c r="X143" s="3"/>
      <c r="Y143" s="3"/>
      <c r="Z143" s="3"/>
      <c r="AA143" s="3"/>
      <c r="AB143" s="3"/>
      <c r="AC143" s="9">
        <v>34400000</v>
      </c>
      <c r="AD143" s="3"/>
      <c r="AE143" s="3"/>
      <c r="AF143" s="109">
        <f>+S143+T143+U143+V143+W143+X143+Y143+Z143+AA143+AB143+AC143+AD143+AE143</f>
        <v>34400000</v>
      </c>
    </row>
    <row r="144" spans="1:38" ht="51" customHeight="1" x14ac:dyDescent="0.2">
      <c r="A144" s="353"/>
      <c r="B144" s="464"/>
      <c r="C144" s="464"/>
      <c r="D144" s="290"/>
      <c r="E144" s="160">
        <v>3602</v>
      </c>
      <c r="F144" s="159" t="s">
        <v>1348</v>
      </c>
      <c r="G144" s="251" t="s">
        <v>469</v>
      </c>
      <c r="H144" s="259">
        <v>3602030</v>
      </c>
      <c r="I144" s="159" t="s">
        <v>470</v>
      </c>
      <c r="J144" s="251" t="s">
        <v>471</v>
      </c>
      <c r="K144" s="260" t="s">
        <v>472</v>
      </c>
      <c r="L144" s="261" t="s">
        <v>473</v>
      </c>
      <c r="M144" s="256" t="s">
        <v>143</v>
      </c>
      <c r="N144" s="160">
        <v>12</v>
      </c>
      <c r="O144" s="160">
        <v>1</v>
      </c>
      <c r="P144" s="451"/>
      <c r="Q144" s="441"/>
      <c r="R144" s="442"/>
      <c r="S144" s="3"/>
      <c r="T144" s="3"/>
      <c r="U144" s="3"/>
      <c r="V144" s="3"/>
      <c r="W144" s="3"/>
      <c r="X144" s="3"/>
      <c r="Y144" s="3"/>
      <c r="Z144" s="3"/>
      <c r="AA144" s="3"/>
      <c r="AB144" s="3"/>
      <c r="AC144" s="9">
        <v>19000000</v>
      </c>
      <c r="AD144" s="3"/>
      <c r="AE144" s="3"/>
      <c r="AF144" s="109">
        <f>+S144+T144+U144+V144+W144+X144+Y144+Z144+AA144+AB144+AC144+AD144+AE144</f>
        <v>19000000</v>
      </c>
    </row>
    <row r="145" spans="1:38" s="176" customFormat="1" ht="15.75" x14ac:dyDescent="0.2">
      <c r="A145" s="357"/>
      <c r="B145" s="358"/>
      <c r="C145" s="358"/>
      <c r="D145" s="359"/>
      <c r="E145" s="360"/>
      <c r="F145" s="360"/>
      <c r="G145" s="361"/>
      <c r="H145" s="361"/>
      <c r="I145" s="362"/>
      <c r="J145" s="363"/>
      <c r="K145" s="363"/>
      <c r="L145" s="362"/>
      <c r="M145" s="361"/>
      <c r="N145" s="361"/>
      <c r="O145" s="363"/>
      <c r="P145" s="361"/>
      <c r="Q145" s="361"/>
      <c r="R145" s="362"/>
      <c r="S145" s="364"/>
      <c r="T145" s="364"/>
      <c r="U145" s="364"/>
      <c r="V145" s="364"/>
      <c r="W145" s="364"/>
      <c r="X145" s="364"/>
      <c r="Y145" s="364"/>
      <c r="Z145" s="364"/>
      <c r="AA145" s="364"/>
      <c r="AB145" s="364"/>
      <c r="AC145" s="365"/>
      <c r="AD145" s="364"/>
      <c r="AE145" s="364"/>
      <c r="AF145" s="434"/>
    </row>
    <row r="146" spans="1:38" ht="17.25" customHeight="1" x14ac:dyDescent="0.2">
      <c r="A146" s="145" t="s">
        <v>474</v>
      </c>
      <c r="B146" s="145"/>
      <c r="C146" s="145"/>
      <c r="D146" s="146"/>
      <c r="E146" s="146"/>
      <c r="F146" s="147"/>
      <c r="G146" s="148"/>
      <c r="H146" s="92"/>
      <c r="I146" s="147"/>
      <c r="J146" s="148"/>
      <c r="K146" s="148"/>
      <c r="L146" s="147"/>
      <c r="M146" s="92"/>
      <c r="N146" s="92"/>
      <c r="O146" s="148"/>
      <c r="P146" s="339"/>
      <c r="Q146" s="148"/>
      <c r="R146" s="147"/>
      <c r="S146" s="124">
        <f t="shared" ref="S146:AF146" si="94">S147+S178</f>
        <v>0</v>
      </c>
      <c r="T146" s="124">
        <f t="shared" si="94"/>
        <v>0</v>
      </c>
      <c r="U146" s="124">
        <f t="shared" si="94"/>
        <v>0</v>
      </c>
      <c r="V146" s="124">
        <f t="shared" si="94"/>
        <v>0</v>
      </c>
      <c r="W146" s="124">
        <f t="shared" si="94"/>
        <v>0</v>
      </c>
      <c r="X146" s="124">
        <f t="shared" si="94"/>
        <v>0</v>
      </c>
      <c r="Y146" s="124">
        <f t="shared" si="94"/>
        <v>0</v>
      </c>
      <c r="Z146" s="124">
        <f t="shared" si="94"/>
        <v>0</v>
      </c>
      <c r="AA146" s="124">
        <f t="shared" si="94"/>
        <v>0</v>
      </c>
      <c r="AB146" s="124">
        <f t="shared" si="94"/>
        <v>0</v>
      </c>
      <c r="AC146" s="124">
        <f t="shared" si="94"/>
        <v>1618563166</v>
      </c>
      <c r="AD146" s="124">
        <f t="shared" si="94"/>
        <v>0</v>
      </c>
      <c r="AE146" s="124">
        <f t="shared" si="94"/>
        <v>0</v>
      </c>
      <c r="AF146" s="124">
        <f t="shared" si="94"/>
        <v>1618563166</v>
      </c>
      <c r="AG146" s="401"/>
      <c r="AH146" s="401"/>
      <c r="AI146" s="401"/>
      <c r="AJ146" s="401"/>
      <c r="AK146" s="401"/>
      <c r="AL146" s="401"/>
    </row>
    <row r="147" spans="1:38" ht="17.25" customHeight="1" x14ac:dyDescent="0.2">
      <c r="A147" s="366"/>
      <c r="B147" s="193">
        <v>2</v>
      </c>
      <c r="C147" s="95" t="s">
        <v>2</v>
      </c>
      <c r="D147" s="96"/>
      <c r="E147" s="96"/>
      <c r="F147" s="97"/>
      <c r="G147" s="98"/>
      <c r="H147" s="99"/>
      <c r="I147" s="97"/>
      <c r="J147" s="98"/>
      <c r="K147" s="98"/>
      <c r="L147" s="97"/>
      <c r="M147" s="100"/>
      <c r="N147" s="100"/>
      <c r="O147" s="98"/>
      <c r="P147" s="340"/>
      <c r="Q147" s="98"/>
      <c r="R147" s="97"/>
      <c r="S147" s="101">
        <f t="shared" ref="S147:AF147" si="95">+S148+S160+S162+S165+S167+S169+S172+S175</f>
        <v>0</v>
      </c>
      <c r="T147" s="101">
        <f t="shared" si="95"/>
        <v>0</v>
      </c>
      <c r="U147" s="101">
        <f t="shared" si="95"/>
        <v>0</v>
      </c>
      <c r="V147" s="101">
        <f t="shared" si="95"/>
        <v>0</v>
      </c>
      <c r="W147" s="101">
        <f t="shared" si="95"/>
        <v>0</v>
      </c>
      <c r="X147" s="101">
        <f t="shared" si="95"/>
        <v>0</v>
      </c>
      <c r="Y147" s="101">
        <f t="shared" si="95"/>
        <v>0</v>
      </c>
      <c r="Z147" s="101">
        <f t="shared" si="95"/>
        <v>0</v>
      </c>
      <c r="AA147" s="101">
        <f t="shared" si="95"/>
        <v>0</v>
      </c>
      <c r="AB147" s="101">
        <f t="shared" si="95"/>
        <v>0</v>
      </c>
      <c r="AC147" s="101">
        <f t="shared" si="95"/>
        <v>882513299</v>
      </c>
      <c r="AD147" s="101">
        <f t="shared" si="95"/>
        <v>0</v>
      </c>
      <c r="AE147" s="101">
        <f t="shared" si="95"/>
        <v>0</v>
      </c>
      <c r="AF147" s="101">
        <f t="shared" si="95"/>
        <v>882513299</v>
      </c>
    </row>
    <row r="148" spans="1:38" ht="17.25" customHeight="1" x14ac:dyDescent="0.2">
      <c r="A148" s="352"/>
      <c r="B148" s="354"/>
      <c r="C148" s="131">
        <v>4</v>
      </c>
      <c r="D148" s="103">
        <v>1702</v>
      </c>
      <c r="E148" s="275" t="s">
        <v>475</v>
      </c>
      <c r="F148" s="102"/>
      <c r="G148" s="103"/>
      <c r="H148" s="104"/>
      <c r="I148" s="102"/>
      <c r="J148" s="103"/>
      <c r="K148" s="103"/>
      <c r="L148" s="102"/>
      <c r="M148" s="105"/>
      <c r="N148" s="105"/>
      <c r="O148" s="103"/>
      <c r="P148" s="338"/>
      <c r="Q148" s="103"/>
      <c r="R148" s="102"/>
      <c r="S148" s="107">
        <f t="shared" ref="S148:AF148" si="96">SUM(S149:S159)</f>
        <v>0</v>
      </c>
      <c r="T148" s="107">
        <f t="shared" si="96"/>
        <v>0</v>
      </c>
      <c r="U148" s="107">
        <f t="shared" si="96"/>
        <v>0</v>
      </c>
      <c r="V148" s="107">
        <f t="shared" si="96"/>
        <v>0</v>
      </c>
      <c r="W148" s="107">
        <f t="shared" si="96"/>
        <v>0</v>
      </c>
      <c r="X148" s="107">
        <f t="shared" si="96"/>
        <v>0</v>
      </c>
      <c r="Y148" s="107">
        <f t="shared" si="96"/>
        <v>0</v>
      </c>
      <c r="Z148" s="107">
        <f t="shared" si="96"/>
        <v>0</v>
      </c>
      <c r="AA148" s="107">
        <f t="shared" si="96"/>
        <v>0</v>
      </c>
      <c r="AB148" s="107">
        <f t="shared" si="96"/>
        <v>0</v>
      </c>
      <c r="AC148" s="107">
        <f t="shared" si="96"/>
        <v>594194030</v>
      </c>
      <c r="AD148" s="107">
        <f t="shared" si="96"/>
        <v>0</v>
      </c>
      <c r="AE148" s="107">
        <f t="shared" si="96"/>
        <v>0</v>
      </c>
      <c r="AF148" s="107">
        <f t="shared" si="96"/>
        <v>594194030</v>
      </c>
    </row>
    <row r="149" spans="1:38" ht="66" customHeight="1" x14ac:dyDescent="0.2">
      <c r="A149" s="352"/>
      <c r="B149" s="355"/>
      <c r="C149" s="289"/>
      <c r="D149" s="290"/>
      <c r="E149" s="272">
        <v>1702</v>
      </c>
      <c r="F149" s="273" t="s">
        <v>185</v>
      </c>
      <c r="G149" s="272" t="s">
        <v>476</v>
      </c>
      <c r="H149" s="135">
        <v>1702011</v>
      </c>
      <c r="I149" s="273" t="s">
        <v>477</v>
      </c>
      <c r="J149" s="272" t="s">
        <v>478</v>
      </c>
      <c r="K149" s="272" t="s">
        <v>479</v>
      </c>
      <c r="L149" s="273" t="s">
        <v>480</v>
      </c>
      <c r="M149" s="272" t="s">
        <v>53</v>
      </c>
      <c r="N149" s="272">
        <v>30</v>
      </c>
      <c r="O149" s="135">
        <v>30</v>
      </c>
      <c r="P149" s="442" t="s">
        <v>189</v>
      </c>
      <c r="Q149" s="441" t="s">
        <v>481</v>
      </c>
      <c r="R149" s="442" t="s">
        <v>482</v>
      </c>
      <c r="S149" s="3"/>
      <c r="T149" s="3"/>
      <c r="U149" s="3"/>
      <c r="V149" s="3"/>
      <c r="W149" s="3"/>
      <c r="X149" s="3"/>
      <c r="Y149" s="3"/>
      <c r="Z149" s="3"/>
      <c r="AA149" s="3"/>
      <c r="AB149" s="3"/>
      <c r="AC149" s="149">
        <f>195850000+64199999</f>
        <v>260049999</v>
      </c>
      <c r="AD149" s="150"/>
      <c r="AE149" s="150"/>
      <c r="AF149" s="109">
        <f t="shared" ref="AF149:AF159" si="97">+S149+T149+U149+V149+W149+X149+Y149+Z149+AA149+AB149+AC149+AD149+AE149</f>
        <v>260049999</v>
      </c>
    </row>
    <row r="150" spans="1:38" ht="54.75" customHeight="1" x14ac:dyDescent="0.2">
      <c r="A150" s="352"/>
      <c r="B150" s="355"/>
      <c r="C150" s="289"/>
      <c r="D150" s="290"/>
      <c r="E150" s="272">
        <v>1702</v>
      </c>
      <c r="F150" s="273" t="s">
        <v>185</v>
      </c>
      <c r="G150" s="218" t="s">
        <v>483</v>
      </c>
      <c r="H150" s="135">
        <v>1702007</v>
      </c>
      <c r="I150" s="273" t="s">
        <v>484</v>
      </c>
      <c r="J150" s="218" t="s">
        <v>485</v>
      </c>
      <c r="K150" s="221" t="s">
        <v>486</v>
      </c>
      <c r="L150" s="224" t="s">
        <v>487</v>
      </c>
      <c r="M150" s="282" t="s">
        <v>143</v>
      </c>
      <c r="N150" s="282">
        <v>16</v>
      </c>
      <c r="O150" s="135">
        <v>5</v>
      </c>
      <c r="P150" s="442"/>
      <c r="Q150" s="441"/>
      <c r="R150" s="442"/>
      <c r="S150" s="152"/>
      <c r="T150" s="152"/>
      <c r="U150" s="152"/>
      <c r="V150" s="152"/>
      <c r="W150" s="152"/>
      <c r="X150" s="152"/>
      <c r="Y150" s="152"/>
      <c r="Z150" s="152"/>
      <c r="AA150" s="152"/>
      <c r="AB150" s="152"/>
      <c r="AC150" s="149">
        <f>130000000-86255969</f>
        <v>43744031</v>
      </c>
      <c r="AD150" s="150"/>
      <c r="AE150" s="150"/>
      <c r="AF150" s="109">
        <f t="shared" si="97"/>
        <v>43744031</v>
      </c>
    </row>
    <row r="151" spans="1:38" ht="104.25" customHeight="1" x14ac:dyDescent="0.2">
      <c r="A151" s="352"/>
      <c r="B151" s="355"/>
      <c r="C151" s="289"/>
      <c r="D151" s="290"/>
      <c r="E151" s="272">
        <v>1702</v>
      </c>
      <c r="F151" s="273" t="s">
        <v>185</v>
      </c>
      <c r="G151" s="218" t="s">
        <v>488</v>
      </c>
      <c r="H151" s="13">
        <v>1702017</v>
      </c>
      <c r="I151" s="273" t="s">
        <v>489</v>
      </c>
      <c r="J151" s="218" t="s">
        <v>490</v>
      </c>
      <c r="K151" s="221" t="s">
        <v>491</v>
      </c>
      <c r="L151" s="224" t="s">
        <v>492</v>
      </c>
      <c r="M151" s="282" t="s">
        <v>143</v>
      </c>
      <c r="N151" s="282">
        <v>2500</v>
      </c>
      <c r="O151" s="272">
        <v>250</v>
      </c>
      <c r="P151" s="344" t="s">
        <v>493</v>
      </c>
      <c r="Q151" s="272" t="s">
        <v>494</v>
      </c>
      <c r="R151" s="273" t="s">
        <v>495</v>
      </c>
      <c r="S151" s="152"/>
      <c r="T151" s="152"/>
      <c r="U151" s="152"/>
      <c r="V151" s="152"/>
      <c r="W151" s="152"/>
      <c r="X151" s="152"/>
      <c r="Y151" s="152"/>
      <c r="Z151" s="152"/>
      <c r="AA151" s="152"/>
      <c r="AB151" s="152"/>
      <c r="AC151" s="149">
        <v>110000000</v>
      </c>
      <c r="AD151" s="150"/>
      <c r="AE151" s="150"/>
      <c r="AF151" s="109">
        <f t="shared" si="97"/>
        <v>110000000</v>
      </c>
    </row>
    <row r="152" spans="1:38" ht="56.25" customHeight="1" x14ac:dyDescent="0.2">
      <c r="A152" s="352"/>
      <c r="B152" s="355"/>
      <c r="C152" s="289"/>
      <c r="D152" s="290"/>
      <c r="E152" s="272">
        <v>1702</v>
      </c>
      <c r="F152" s="273" t="s">
        <v>185</v>
      </c>
      <c r="G152" s="272" t="s">
        <v>496</v>
      </c>
      <c r="H152" s="135">
        <v>1702038</v>
      </c>
      <c r="I152" s="273" t="s">
        <v>497</v>
      </c>
      <c r="J152" s="272" t="s">
        <v>498</v>
      </c>
      <c r="K152" s="272" t="s">
        <v>499</v>
      </c>
      <c r="L152" s="273" t="s">
        <v>500</v>
      </c>
      <c r="M152" s="218" t="s">
        <v>53</v>
      </c>
      <c r="N152" s="218">
        <v>30</v>
      </c>
      <c r="O152" s="218">
        <v>30</v>
      </c>
      <c r="P152" s="442" t="s">
        <v>189</v>
      </c>
      <c r="Q152" s="441" t="s">
        <v>501</v>
      </c>
      <c r="R152" s="442" t="s">
        <v>502</v>
      </c>
      <c r="S152" s="152"/>
      <c r="T152" s="152"/>
      <c r="U152" s="152"/>
      <c r="V152" s="152"/>
      <c r="W152" s="152"/>
      <c r="X152" s="152"/>
      <c r="Y152" s="152"/>
      <c r="Z152" s="152"/>
      <c r="AA152" s="152"/>
      <c r="AB152" s="152"/>
      <c r="AC152" s="149">
        <f>71204155-49804155</f>
        <v>21400000</v>
      </c>
      <c r="AD152" s="150"/>
      <c r="AE152" s="150"/>
      <c r="AF152" s="109">
        <f t="shared" si="97"/>
        <v>21400000</v>
      </c>
    </row>
    <row r="153" spans="1:38" ht="63.75" customHeight="1" x14ac:dyDescent="0.2">
      <c r="A153" s="352"/>
      <c r="B153" s="355"/>
      <c r="C153" s="289"/>
      <c r="D153" s="290"/>
      <c r="E153" s="272">
        <v>1702</v>
      </c>
      <c r="F153" s="273" t="s">
        <v>185</v>
      </c>
      <c r="G153" s="272" t="s">
        <v>496</v>
      </c>
      <c r="H153" s="135">
        <v>1702038</v>
      </c>
      <c r="I153" s="273" t="s">
        <v>497</v>
      </c>
      <c r="J153" s="272" t="s">
        <v>503</v>
      </c>
      <c r="K153" s="272" t="s">
        <v>504</v>
      </c>
      <c r="L153" s="273" t="s">
        <v>505</v>
      </c>
      <c r="M153" s="218" t="s">
        <v>143</v>
      </c>
      <c r="N153" s="218">
        <v>300</v>
      </c>
      <c r="O153" s="218">
        <v>60</v>
      </c>
      <c r="P153" s="442"/>
      <c r="Q153" s="441"/>
      <c r="R153" s="442"/>
      <c r="S153" s="152"/>
      <c r="T153" s="152"/>
      <c r="U153" s="152"/>
      <c r="V153" s="152"/>
      <c r="W153" s="152"/>
      <c r="X153" s="152"/>
      <c r="Y153" s="152"/>
      <c r="Z153" s="152"/>
      <c r="AA153" s="152"/>
      <c r="AB153" s="152"/>
      <c r="AC153" s="149">
        <v>40000000</v>
      </c>
      <c r="AD153" s="150"/>
      <c r="AE153" s="150"/>
      <c r="AF153" s="109">
        <f t="shared" si="97"/>
        <v>40000000</v>
      </c>
    </row>
    <row r="154" spans="1:38" ht="74.25" customHeight="1" x14ac:dyDescent="0.2">
      <c r="A154" s="352"/>
      <c r="B154" s="355"/>
      <c r="C154" s="289"/>
      <c r="D154" s="290"/>
      <c r="E154" s="272">
        <v>1702</v>
      </c>
      <c r="F154" s="273" t="s">
        <v>185</v>
      </c>
      <c r="G154" s="272" t="s">
        <v>506</v>
      </c>
      <c r="H154" s="135">
        <v>1702023</v>
      </c>
      <c r="I154" s="273" t="s">
        <v>435</v>
      </c>
      <c r="J154" s="272" t="s">
        <v>507</v>
      </c>
      <c r="K154" s="272" t="s">
        <v>508</v>
      </c>
      <c r="L154" s="273" t="s">
        <v>509</v>
      </c>
      <c r="M154" s="282" t="s">
        <v>53</v>
      </c>
      <c r="N154" s="282">
        <v>1</v>
      </c>
      <c r="O154" s="218">
        <v>1</v>
      </c>
      <c r="P154" s="442" t="s">
        <v>493</v>
      </c>
      <c r="Q154" s="441" t="s">
        <v>1359</v>
      </c>
      <c r="R154" s="448" t="s">
        <v>510</v>
      </c>
      <c r="S154" s="152"/>
      <c r="T154" s="152"/>
      <c r="U154" s="152"/>
      <c r="V154" s="152"/>
      <c r="W154" s="152"/>
      <c r="X154" s="152"/>
      <c r="Y154" s="152"/>
      <c r="Z154" s="152"/>
      <c r="AA154" s="152"/>
      <c r="AB154" s="152"/>
      <c r="AC154" s="149">
        <f>50000000-35000000</f>
        <v>15000000</v>
      </c>
      <c r="AD154" s="150"/>
      <c r="AE154" s="150"/>
      <c r="AF154" s="109">
        <f t="shared" si="97"/>
        <v>15000000</v>
      </c>
    </row>
    <row r="155" spans="1:38" ht="83.25" customHeight="1" x14ac:dyDescent="0.2">
      <c r="A155" s="352"/>
      <c r="B155" s="355"/>
      <c r="C155" s="289"/>
      <c r="D155" s="290"/>
      <c r="E155" s="272">
        <v>1702</v>
      </c>
      <c r="F155" s="273" t="s">
        <v>185</v>
      </c>
      <c r="G155" s="218" t="s">
        <v>511</v>
      </c>
      <c r="H155" s="135">
        <v>1702024</v>
      </c>
      <c r="I155" s="273" t="s">
        <v>512</v>
      </c>
      <c r="J155" s="218" t="s">
        <v>513</v>
      </c>
      <c r="K155" s="221" t="s">
        <v>514</v>
      </c>
      <c r="L155" s="224" t="s">
        <v>515</v>
      </c>
      <c r="M155" s="282" t="s">
        <v>53</v>
      </c>
      <c r="N155" s="282">
        <v>12</v>
      </c>
      <c r="O155" s="218">
        <v>12</v>
      </c>
      <c r="P155" s="442"/>
      <c r="Q155" s="441"/>
      <c r="R155" s="448"/>
      <c r="S155" s="152"/>
      <c r="T155" s="152"/>
      <c r="U155" s="152"/>
      <c r="V155" s="152"/>
      <c r="W155" s="152"/>
      <c r="X155" s="152"/>
      <c r="Y155" s="152"/>
      <c r="Z155" s="152"/>
      <c r="AA155" s="152"/>
      <c r="AB155" s="152"/>
      <c r="AC155" s="149">
        <f>50000000-15000000</f>
        <v>35000000</v>
      </c>
      <c r="AD155" s="150"/>
      <c r="AE155" s="150"/>
      <c r="AF155" s="109">
        <f t="shared" si="97"/>
        <v>35000000</v>
      </c>
    </row>
    <row r="156" spans="1:38" ht="52.5" customHeight="1" x14ac:dyDescent="0.2">
      <c r="A156" s="352"/>
      <c r="B156" s="355"/>
      <c r="C156" s="289"/>
      <c r="D156" s="290"/>
      <c r="E156" s="272">
        <v>1702</v>
      </c>
      <c r="F156" s="273" t="s">
        <v>185</v>
      </c>
      <c r="G156" s="218" t="s">
        <v>516</v>
      </c>
      <c r="H156" s="135">
        <v>1702014</v>
      </c>
      <c r="I156" s="273" t="s">
        <v>517</v>
      </c>
      <c r="J156" s="218" t="s">
        <v>518</v>
      </c>
      <c r="K156" s="221" t="s">
        <v>519</v>
      </c>
      <c r="L156" s="224" t="s">
        <v>520</v>
      </c>
      <c r="M156" s="218" t="s">
        <v>143</v>
      </c>
      <c r="N156" s="218">
        <v>100</v>
      </c>
      <c r="O156" s="218">
        <v>25</v>
      </c>
      <c r="P156" s="442" t="s">
        <v>493</v>
      </c>
      <c r="Q156" s="441" t="s">
        <v>521</v>
      </c>
      <c r="R156" s="448" t="s">
        <v>522</v>
      </c>
      <c r="S156" s="152"/>
      <c r="T156" s="152"/>
      <c r="U156" s="152"/>
      <c r="V156" s="152"/>
      <c r="W156" s="152"/>
      <c r="X156" s="152"/>
      <c r="Y156" s="152"/>
      <c r="Z156" s="152"/>
      <c r="AA156" s="152"/>
      <c r="AB156" s="152"/>
      <c r="AC156" s="149">
        <f>50000000-40000000</f>
        <v>10000000</v>
      </c>
      <c r="AD156" s="150"/>
      <c r="AE156" s="150"/>
      <c r="AF156" s="109">
        <f t="shared" si="97"/>
        <v>10000000</v>
      </c>
    </row>
    <row r="157" spans="1:38" ht="74.25" customHeight="1" x14ac:dyDescent="0.2">
      <c r="A157" s="352"/>
      <c r="B157" s="355"/>
      <c r="C157" s="289"/>
      <c r="D157" s="290"/>
      <c r="E157" s="272">
        <v>1702</v>
      </c>
      <c r="F157" s="273" t="s">
        <v>185</v>
      </c>
      <c r="G157" s="218" t="s">
        <v>488</v>
      </c>
      <c r="H157" s="135">
        <v>1702017</v>
      </c>
      <c r="I157" s="273" t="s">
        <v>523</v>
      </c>
      <c r="J157" s="218" t="s">
        <v>490</v>
      </c>
      <c r="K157" s="221" t="s">
        <v>491</v>
      </c>
      <c r="L157" s="224" t="s">
        <v>492</v>
      </c>
      <c r="M157" s="282" t="s">
        <v>143</v>
      </c>
      <c r="N157" s="282">
        <v>2500</v>
      </c>
      <c r="O157" s="272">
        <v>250</v>
      </c>
      <c r="P157" s="442"/>
      <c r="Q157" s="441"/>
      <c r="R157" s="448"/>
      <c r="S157" s="152"/>
      <c r="T157" s="152"/>
      <c r="U157" s="152"/>
      <c r="V157" s="152"/>
      <c r="W157" s="152"/>
      <c r="X157" s="152"/>
      <c r="Y157" s="152"/>
      <c r="Z157" s="152"/>
      <c r="AA157" s="152"/>
      <c r="AB157" s="152"/>
      <c r="AC157" s="149">
        <v>19000000</v>
      </c>
      <c r="AD157" s="150"/>
      <c r="AE157" s="150"/>
      <c r="AF157" s="109">
        <f t="shared" si="97"/>
        <v>19000000</v>
      </c>
    </row>
    <row r="158" spans="1:38" ht="61.5" customHeight="1" x14ac:dyDescent="0.2">
      <c r="A158" s="352"/>
      <c r="B158" s="355"/>
      <c r="C158" s="289"/>
      <c r="D158" s="290"/>
      <c r="E158" s="272">
        <v>1702</v>
      </c>
      <c r="F158" s="273" t="s">
        <v>185</v>
      </c>
      <c r="G158" s="218" t="s">
        <v>524</v>
      </c>
      <c r="H158" s="135">
        <v>1702021</v>
      </c>
      <c r="I158" s="273" t="s">
        <v>525</v>
      </c>
      <c r="J158" s="218" t="s">
        <v>526</v>
      </c>
      <c r="K158" s="221" t="s">
        <v>527</v>
      </c>
      <c r="L158" s="224" t="s">
        <v>528</v>
      </c>
      <c r="M158" s="218" t="s">
        <v>143</v>
      </c>
      <c r="N158" s="218">
        <v>500</v>
      </c>
      <c r="O158" s="218">
        <v>50</v>
      </c>
      <c r="P158" s="442"/>
      <c r="Q158" s="441"/>
      <c r="R158" s="448"/>
      <c r="S158" s="152"/>
      <c r="T158" s="152"/>
      <c r="U158" s="152"/>
      <c r="V158" s="152"/>
      <c r="W158" s="152"/>
      <c r="X158" s="152"/>
      <c r="Y158" s="152"/>
      <c r="Z158" s="152"/>
      <c r="AA158" s="152"/>
      <c r="AB158" s="152"/>
      <c r="AC158" s="149">
        <v>10000000</v>
      </c>
      <c r="AD158" s="150"/>
      <c r="AE158" s="150"/>
      <c r="AF158" s="109">
        <f t="shared" si="97"/>
        <v>10000000</v>
      </c>
    </row>
    <row r="159" spans="1:38" ht="67.5" customHeight="1" x14ac:dyDescent="0.2">
      <c r="A159" s="352"/>
      <c r="B159" s="355"/>
      <c r="C159" s="289"/>
      <c r="D159" s="290"/>
      <c r="E159" s="272">
        <v>1702</v>
      </c>
      <c r="F159" s="273" t="s">
        <v>185</v>
      </c>
      <c r="G159" s="218" t="s">
        <v>529</v>
      </c>
      <c r="H159" s="135">
        <v>1702025</v>
      </c>
      <c r="I159" s="273" t="s">
        <v>530</v>
      </c>
      <c r="J159" s="218" t="s">
        <v>531</v>
      </c>
      <c r="K159" s="221" t="s">
        <v>532</v>
      </c>
      <c r="L159" s="224" t="s">
        <v>533</v>
      </c>
      <c r="M159" s="282" t="s">
        <v>143</v>
      </c>
      <c r="N159" s="282">
        <v>100</v>
      </c>
      <c r="O159" s="218">
        <v>25</v>
      </c>
      <c r="P159" s="335" t="s">
        <v>189</v>
      </c>
      <c r="Q159" s="272" t="s">
        <v>534</v>
      </c>
      <c r="R159" s="274" t="s">
        <v>535</v>
      </c>
      <c r="S159" s="152"/>
      <c r="T159" s="152"/>
      <c r="U159" s="152"/>
      <c r="V159" s="152"/>
      <c r="W159" s="152"/>
      <c r="X159" s="152"/>
      <c r="Y159" s="152"/>
      <c r="Z159" s="152"/>
      <c r="AA159" s="152"/>
      <c r="AB159" s="152"/>
      <c r="AC159" s="149">
        <v>30000000</v>
      </c>
      <c r="AD159" s="150"/>
      <c r="AE159" s="150"/>
      <c r="AF159" s="109">
        <f t="shared" si="97"/>
        <v>30000000</v>
      </c>
    </row>
    <row r="160" spans="1:38" ht="23.25" customHeight="1" x14ac:dyDescent="0.2">
      <c r="A160" s="352"/>
      <c r="B160" s="355"/>
      <c r="C160" s="131">
        <v>5</v>
      </c>
      <c r="D160" s="103">
        <v>1703</v>
      </c>
      <c r="E160" s="275" t="s">
        <v>536</v>
      </c>
      <c r="F160" s="102"/>
      <c r="G160" s="103"/>
      <c r="H160" s="104"/>
      <c r="I160" s="102"/>
      <c r="J160" s="103"/>
      <c r="K160" s="103"/>
      <c r="L160" s="102"/>
      <c r="M160" s="105"/>
      <c r="N160" s="105"/>
      <c r="O160" s="103"/>
      <c r="P160" s="338"/>
      <c r="Q160" s="103"/>
      <c r="R160" s="102"/>
      <c r="S160" s="107">
        <f>SUM(S161)</f>
        <v>0</v>
      </c>
      <c r="T160" s="107">
        <f t="shared" ref="T160:AF160" si="98">SUM(T161)</f>
        <v>0</v>
      </c>
      <c r="U160" s="107">
        <f t="shared" si="98"/>
        <v>0</v>
      </c>
      <c r="V160" s="107">
        <f t="shared" si="98"/>
        <v>0</v>
      </c>
      <c r="W160" s="107">
        <f t="shared" si="98"/>
        <v>0</v>
      </c>
      <c r="X160" s="107">
        <f t="shared" si="98"/>
        <v>0</v>
      </c>
      <c r="Y160" s="107">
        <f t="shared" si="98"/>
        <v>0</v>
      </c>
      <c r="Z160" s="107">
        <f t="shared" si="98"/>
        <v>0</v>
      </c>
      <c r="AA160" s="107">
        <f t="shared" si="98"/>
        <v>0</v>
      </c>
      <c r="AB160" s="107">
        <f t="shared" si="98"/>
        <v>0</v>
      </c>
      <c r="AC160" s="107">
        <f t="shared" si="98"/>
        <v>40000000</v>
      </c>
      <c r="AD160" s="107">
        <f t="shared" si="98"/>
        <v>0</v>
      </c>
      <c r="AE160" s="107">
        <f t="shared" si="98"/>
        <v>0</v>
      </c>
      <c r="AF160" s="107">
        <f t="shared" si="98"/>
        <v>40000000</v>
      </c>
    </row>
    <row r="161" spans="1:32" ht="126.75" customHeight="1" x14ac:dyDescent="0.2">
      <c r="A161" s="352"/>
      <c r="B161" s="355"/>
      <c r="C161" s="289"/>
      <c r="D161" s="290"/>
      <c r="E161" s="272">
        <v>1703</v>
      </c>
      <c r="F161" s="273" t="s">
        <v>185</v>
      </c>
      <c r="G161" s="218" t="s">
        <v>537</v>
      </c>
      <c r="H161" s="135">
        <v>1703013</v>
      </c>
      <c r="I161" s="273" t="s">
        <v>538</v>
      </c>
      <c r="J161" s="218" t="s">
        <v>539</v>
      </c>
      <c r="K161" s="221" t="s">
        <v>540</v>
      </c>
      <c r="L161" s="224" t="s">
        <v>541</v>
      </c>
      <c r="M161" s="282" t="s">
        <v>143</v>
      </c>
      <c r="N161" s="166">
        <v>300</v>
      </c>
      <c r="O161" s="223">
        <v>75</v>
      </c>
      <c r="P161" s="335" t="s">
        <v>493</v>
      </c>
      <c r="Q161" s="272" t="s">
        <v>521</v>
      </c>
      <c r="R161" s="274" t="s">
        <v>4</v>
      </c>
      <c r="S161" s="152"/>
      <c r="T161" s="152"/>
      <c r="U161" s="152"/>
      <c r="V161" s="152"/>
      <c r="W161" s="152"/>
      <c r="X161" s="152"/>
      <c r="Y161" s="152"/>
      <c r="Z161" s="152"/>
      <c r="AA161" s="152"/>
      <c r="AB161" s="152"/>
      <c r="AC161" s="149">
        <f>90000000-50000000</f>
        <v>40000000</v>
      </c>
      <c r="AD161" s="150"/>
      <c r="AE161" s="150"/>
      <c r="AF161" s="109">
        <f>+S161+T161+U161+V161+W161+X161+Y161+Z161+AA161+AB161+AC161+AD161+AE161</f>
        <v>40000000</v>
      </c>
    </row>
    <row r="162" spans="1:32" ht="23.25" customHeight="1" x14ac:dyDescent="0.2">
      <c r="A162" s="352"/>
      <c r="B162" s="355"/>
      <c r="C162" s="131">
        <v>6</v>
      </c>
      <c r="D162" s="103">
        <v>1704</v>
      </c>
      <c r="E162" s="275" t="s">
        <v>542</v>
      </c>
      <c r="F162" s="153"/>
      <c r="G162" s="153"/>
      <c r="H162" s="153"/>
      <c r="I162" s="153"/>
      <c r="J162" s="153"/>
      <c r="K162" s="153"/>
      <c r="L162" s="153"/>
      <c r="M162" s="153"/>
      <c r="N162" s="153"/>
      <c r="O162" s="153"/>
      <c r="P162" s="102"/>
      <c r="Q162" s="154"/>
      <c r="R162" s="155"/>
      <c r="S162" s="14">
        <f>SUM(S163:S164)</f>
        <v>0</v>
      </c>
      <c r="T162" s="14">
        <f t="shared" ref="T162:AF162" si="99">SUM(T163:T164)</f>
        <v>0</v>
      </c>
      <c r="U162" s="14">
        <f t="shared" si="99"/>
        <v>0</v>
      </c>
      <c r="V162" s="14">
        <f t="shared" si="99"/>
        <v>0</v>
      </c>
      <c r="W162" s="14">
        <f t="shared" si="99"/>
        <v>0</v>
      </c>
      <c r="X162" s="14">
        <f t="shared" si="99"/>
        <v>0</v>
      </c>
      <c r="Y162" s="14">
        <f t="shared" si="99"/>
        <v>0</v>
      </c>
      <c r="Z162" s="14">
        <f t="shared" si="99"/>
        <v>0</v>
      </c>
      <c r="AA162" s="14">
        <f t="shared" si="99"/>
        <v>0</v>
      </c>
      <c r="AB162" s="14">
        <f t="shared" si="99"/>
        <v>0</v>
      </c>
      <c r="AC162" s="15">
        <f t="shared" si="99"/>
        <v>40000000</v>
      </c>
      <c r="AD162" s="15">
        <f t="shared" si="99"/>
        <v>0</v>
      </c>
      <c r="AE162" s="15">
        <f t="shared" si="99"/>
        <v>0</v>
      </c>
      <c r="AF162" s="15">
        <f t="shared" si="99"/>
        <v>40000000</v>
      </c>
    </row>
    <row r="163" spans="1:32" ht="80.25" customHeight="1" x14ac:dyDescent="0.2">
      <c r="A163" s="352"/>
      <c r="B163" s="379"/>
      <c r="C163" s="297"/>
      <c r="D163" s="282"/>
      <c r="E163" s="282">
        <v>1704</v>
      </c>
      <c r="F163" s="273" t="s">
        <v>185</v>
      </c>
      <c r="G163" s="272" t="s">
        <v>543</v>
      </c>
      <c r="H163" s="135">
        <v>1704002</v>
      </c>
      <c r="I163" s="273" t="s">
        <v>544</v>
      </c>
      <c r="J163" s="272" t="s">
        <v>545</v>
      </c>
      <c r="K163" s="272" t="s">
        <v>546</v>
      </c>
      <c r="L163" s="273" t="s">
        <v>547</v>
      </c>
      <c r="M163" s="218" t="s">
        <v>53</v>
      </c>
      <c r="N163" s="218">
        <v>1</v>
      </c>
      <c r="O163" s="223">
        <v>1</v>
      </c>
      <c r="P163" s="442" t="s">
        <v>189</v>
      </c>
      <c r="Q163" s="441" t="s">
        <v>548</v>
      </c>
      <c r="R163" s="442" t="s">
        <v>549</v>
      </c>
      <c r="S163" s="117"/>
      <c r="T163" s="117"/>
      <c r="U163" s="117"/>
      <c r="V163" s="117"/>
      <c r="W163" s="117"/>
      <c r="X163" s="117"/>
      <c r="Y163" s="117"/>
      <c r="Z163" s="117"/>
      <c r="AA163" s="117"/>
      <c r="AB163" s="117"/>
      <c r="AC163" s="150">
        <f>50000000-40364849</f>
        <v>9635151</v>
      </c>
      <c r="AD163" s="150"/>
      <c r="AE163" s="150"/>
      <c r="AF163" s="109">
        <f>+S163+T163+U163+V163+W163+X163+Y163+Z163+AA163+AB163+AC163+AD163+AE163</f>
        <v>9635151</v>
      </c>
    </row>
    <row r="164" spans="1:32" ht="57.75" customHeight="1" x14ac:dyDescent="0.2">
      <c r="A164" s="352"/>
      <c r="B164" s="379"/>
      <c r="C164" s="297"/>
      <c r="D164" s="282"/>
      <c r="E164" s="282">
        <v>17041</v>
      </c>
      <c r="F164" s="273" t="s">
        <v>185</v>
      </c>
      <c r="G164" s="272" t="s">
        <v>550</v>
      </c>
      <c r="H164" s="135">
        <v>1704017</v>
      </c>
      <c r="I164" s="273" t="s">
        <v>551</v>
      </c>
      <c r="J164" s="272" t="s">
        <v>552</v>
      </c>
      <c r="K164" s="272" t="s">
        <v>553</v>
      </c>
      <c r="L164" s="273" t="s">
        <v>554</v>
      </c>
      <c r="M164" s="218" t="s">
        <v>143</v>
      </c>
      <c r="N164" s="218">
        <v>500</v>
      </c>
      <c r="O164" s="218">
        <v>50</v>
      </c>
      <c r="P164" s="442"/>
      <c r="Q164" s="441"/>
      <c r="R164" s="442"/>
      <c r="S164" s="117"/>
      <c r="T164" s="117"/>
      <c r="U164" s="117"/>
      <c r="V164" s="117"/>
      <c r="W164" s="117"/>
      <c r="X164" s="117"/>
      <c r="Y164" s="117"/>
      <c r="Z164" s="117"/>
      <c r="AA164" s="117"/>
      <c r="AB164" s="117"/>
      <c r="AC164" s="150">
        <v>30364849</v>
      </c>
      <c r="AD164" s="150"/>
      <c r="AE164" s="150"/>
      <c r="AF164" s="109">
        <f>+S164+T164+U164+V164+W164+X164+Y164+Z164+AA164+AB164+AC164+AD164+AE164</f>
        <v>30364849</v>
      </c>
    </row>
    <row r="165" spans="1:32" ht="24" customHeight="1" x14ac:dyDescent="0.2">
      <c r="A165" s="352"/>
      <c r="B165" s="355"/>
      <c r="C165" s="131">
        <v>7</v>
      </c>
      <c r="D165" s="103">
        <v>1706</v>
      </c>
      <c r="E165" s="275" t="s">
        <v>555</v>
      </c>
      <c r="F165" s="102"/>
      <c r="G165" s="103"/>
      <c r="H165" s="104"/>
      <c r="I165" s="102"/>
      <c r="J165" s="103"/>
      <c r="K165" s="103"/>
      <c r="L165" s="102"/>
      <c r="M165" s="105"/>
      <c r="N165" s="105"/>
      <c r="O165" s="103"/>
      <c r="P165" s="338"/>
      <c r="Q165" s="103"/>
      <c r="R165" s="102"/>
      <c r="S165" s="107">
        <f>SUM(S166)</f>
        <v>0</v>
      </c>
      <c r="T165" s="107">
        <f t="shared" ref="T165:AF165" si="100">SUM(T166)</f>
        <v>0</v>
      </c>
      <c r="U165" s="107">
        <f t="shared" si="100"/>
        <v>0</v>
      </c>
      <c r="V165" s="107">
        <f t="shared" si="100"/>
        <v>0</v>
      </c>
      <c r="W165" s="107">
        <f t="shared" si="100"/>
        <v>0</v>
      </c>
      <c r="X165" s="107">
        <f t="shared" si="100"/>
        <v>0</v>
      </c>
      <c r="Y165" s="107">
        <f t="shared" si="100"/>
        <v>0</v>
      </c>
      <c r="Z165" s="107">
        <f t="shared" si="100"/>
        <v>0</v>
      </c>
      <c r="AA165" s="107">
        <f t="shared" si="100"/>
        <v>0</v>
      </c>
      <c r="AB165" s="107">
        <f t="shared" si="100"/>
        <v>0</v>
      </c>
      <c r="AC165" s="107">
        <f t="shared" si="100"/>
        <v>12800000</v>
      </c>
      <c r="AD165" s="107">
        <f t="shared" si="100"/>
        <v>0</v>
      </c>
      <c r="AE165" s="107">
        <f t="shared" si="100"/>
        <v>0</v>
      </c>
      <c r="AF165" s="107">
        <f t="shared" si="100"/>
        <v>12800000</v>
      </c>
    </row>
    <row r="166" spans="1:32" ht="72.75" customHeight="1" x14ac:dyDescent="0.2">
      <c r="A166" s="352"/>
      <c r="B166" s="355"/>
      <c r="C166" s="289"/>
      <c r="D166" s="290"/>
      <c r="E166" s="282">
        <v>1706</v>
      </c>
      <c r="F166" s="273" t="s">
        <v>185</v>
      </c>
      <c r="G166" s="272" t="s">
        <v>556</v>
      </c>
      <c r="H166" s="135">
        <v>1706004</v>
      </c>
      <c r="I166" s="273" t="s">
        <v>557</v>
      </c>
      <c r="J166" s="272" t="s">
        <v>558</v>
      </c>
      <c r="K166" s="272" t="s">
        <v>559</v>
      </c>
      <c r="L166" s="273" t="s">
        <v>560</v>
      </c>
      <c r="M166" s="218" t="s">
        <v>53</v>
      </c>
      <c r="N166" s="218">
        <v>10</v>
      </c>
      <c r="O166" s="218">
        <v>10</v>
      </c>
      <c r="P166" s="335" t="s">
        <v>189</v>
      </c>
      <c r="Q166" s="272" t="s">
        <v>501</v>
      </c>
      <c r="R166" s="273" t="s">
        <v>502</v>
      </c>
      <c r="S166" s="3"/>
      <c r="T166" s="3"/>
      <c r="U166" s="3"/>
      <c r="V166" s="3"/>
      <c r="W166" s="3"/>
      <c r="X166" s="3"/>
      <c r="Y166" s="3"/>
      <c r="Z166" s="3"/>
      <c r="AA166" s="3"/>
      <c r="AB166" s="3"/>
      <c r="AC166" s="150">
        <f>12800000</f>
        <v>12800000</v>
      </c>
      <c r="AD166" s="150"/>
      <c r="AE166" s="150"/>
      <c r="AF166" s="109">
        <f>+S166+T166+U166+V166+W166+X166+Y166+Z166+AA166+AB166+AC166+AD166+AE166</f>
        <v>12800000</v>
      </c>
    </row>
    <row r="167" spans="1:32" ht="25.5" customHeight="1" x14ac:dyDescent="0.2">
      <c r="A167" s="352"/>
      <c r="B167" s="355"/>
      <c r="C167" s="131">
        <v>8</v>
      </c>
      <c r="D167" s="103">
        <v>1707</v>
      </c>
      <c r="E167" s="275" t="s">
        <v>561</v>
      </c>
      <c r="F167" s="102"/>
      <c r="G167" s="103"/>
      <c r="H167" s="104"/>
      <c r="I167" s="102"/>
      <c r="J167" s="103"/>
      <c r="K167" s="103"/>
      <c r="L167" s="102"/>
      <c r="M167" s="105"/>
      <c r="N167" s="105"/>
      <c r="O167" s="103"/>
      <c r="P167" s="338"/>
      <c r="Q167" s="103"/>
      <c r="R167" s="102"/>
      <c r="S167" s="107">
        <f>SUM(S168)</f>
        <v>0</v>
      </c>
      <c r="T167" s="107">
        <f t="shared" ref="T167:AF167" si="101">SUM(T168)</f>
        <v>0</v>
      </c>
      <c r="U167" s="107">
        <f t="shared" si="101"/>
        <v>0</v>
      </c>
      <c r="V167" s="107">
        <f t="shared" si="101"/>
        <v>0</v>
      </c>
      <c r="W167" s="107">
        <f t="shared" si="101"/>
        <v>0</v>
      </c>
      <c r="X167" s="107">
        <f t="shared" si="101"/>
        <v>0</v>
      </c>
      <c r="Y167" s="107">
        <f t="shared" si="101"/>
        <v>0</v>
      </c>
      <c r="Z167" s="107">
        <f t="shared" si="101"/>
        <v>0</v>
      </c>
      <c r="AA167" s="107">
        <f t="shared" si="101"/>
        <v>0</v>
      </c>
      <c r="AB167" s="107">
        <f t="shared" si="101"/>
        <v>0</v>
      </c>
      <c r="AC167" s="107">
        <f t="shared" si="101"/>
        <v>50000000</v>
      </c>
      <c r="AD167" s="107">
        <f t="shared" si="101"/>
        <v>0</v>
      </c>
      <c r="AE167" s="107">
        <f t="shared" si="101"/>
        <v>0</v>
      </c>
      <c r="AF167" s="107">
        <f t="shared" si="101"/>
        <v>50000000</v>
      </c>
    </row>
    <row r="168" spans="1:32" ht="97.5" customHeight="1" x14ac:dyDescent="0.2">
      <c r="A168" s="352"/>
      <c r="B168" s="355"/>
      <c r="C168" s="289"/>
      <c r="D168" s="290"/>
      <c r="E168" s="272">
        <v>1707</v>
      </c>
      <c r="F168" s="273" t="s">
        <v>185</v>
      </c>
      <c r="G168" s="272" t="s">
        <v>562</v>
      </c>
      <c r="H168" s="135">
        <v>1707069</v>
      </c>
      <c r="I168" s="273" t="s">
        <v>563</v>
      </c>
      <c r="J168" s="272" t="s">
        <v>564</v>
      </c>
      <c r="K168" s="272" t="s">
        <v>565</v>
      </c>
      <c r="L168" s="273" t="s">
        <v>566</v>
      </c>
      <c r="M168" s="218" t="s">
        <v>143</v>
      </c>
      <c r="N168" s="218">
        <v>20</v>
      </c>
      <c r="O168" s="218">
        <v>5</v>
      </c>
      <c r="P168" s="335" t="s">
        <v>493</v>
      </c>
      <c r="Q168" s="272" t="s">
        <v>1359</v>
      </c>
      <c r="R168" s="274" t="s">
        <v>5</v>
      </c>
      <c r="S168" s="152"/>
      <c r="T168" s="152"/>
      <c r="U168" s="152"/>
      <c r="V168" s="152"/>
      <c r="W168" s="152"/>
      <c r="X168" s="152"/>
      <c r="Y168" s="152"/>
      <c r="Z168" s="152"/>
      <c r="AA168" s="152"/>
      <c r="AB168" s="152"/>
      <c r="AC168" s="149">
        <v>50000000</v>
      </c>
      <c r="AD168" s="150"/>
      <c r="AE168" s="150"/>
      <c r="AF168" s="109">
        <f>+S168+T168+U168+V168+W168+X168+Y168+Z168+AA168+AB168+AC168+AD168+AE168</f>
        <v>50000000</v>
      </c>
    </row>
    <row r="169" spans="1:32" ht="29.25" customHeight="1" x14ac:dyDescent="0.2">
      <c r="A169" s="352"/>
      <c r="B169" s="355"/>
      <c r="C169" s="131">
        <v>9</v>
      </c>
      <c r="D169" s="103">
        <v>1708</v>
      </c>
      <c r="E169" s="275" t="s">
        <v>567</v>
      </c>
      <c r="F169" s="102"/>
      <c r="G169" s="103"/>
      <c r="H169" s="104"/>
      <c r="I169" s="102"/>
      <c r="J169" s="103"/>
      <c r="K169" s="103"/>
      <c r="L169" s="102"/>
      <c r="M169" s="105"/>
      <c r="N169" s="105"/>
      <c r="O169" s="103"/>
      <c r="P169" s="338"/>
      <c r="Q169" s="103"/>
      <c r="R169" s="102"/>
      <c r="S169" s="107">
        <f t="shared" ref="S169:AE169" si="102">SUM(S170:S170)</f>
        <v>0</v>
      </c>
      <c r="T169" s="107">
        <f t="shared" si="102"/>
        <v>0</v>
      </c>
      <c r="U169" s="107">
        <f t="shared" si="102"/>
        <v>0</v>
      </c>
      <c r="V169" s="107">
        <f t="shared" si="102"/>
        <v>0</v>
      </c>
      <c r="W169" s="107">
        <f t="shared" si="102"/>
        <v>0</v>
      </c>
      <c r="X169" s="107">
        <f t="shared" si="102"/>
        <v>0</v>
      </c>
      <c r="Y169" s="107">
        <f t="shared" si="102"/>
        <v>0</v>
      </c>
      <c r="Z169" s="107">
        <f t="shared" si="102"/>
        <v>0</v>
      </c>
      <c r="AA169" s="107">
        <f t="shared" si="102"/>
        <v>0</v>
      </c>
      <c r="AB169" s="107">
        <f t="shared" si="102"/>
        <v>0</v>
      </c>
      <c r="AC169" s="107">
        <f>SUM(AC170:AC171)</f>
        <v>30519269</v>
      </c>
      <c r="AD169" s="107">
        <f t="shared" si="102"/>
        <v>0</v>
      </c>
      <c r="AE169" s="107">
        <f t="shared" si="102"/>
        <v>0</v>
      </c>
      <c r="AF169" s="107">
        <f>SUM(AF170:AF171)</f>
        <v>30519269</v>
      </c>
    </row>
    <row r="170" spans="1:32" s="89" customFormat="1" ht="72.75" customHeight="1" x14ac:dyDescent="0.2">
      <c r="A170" s="376"/>
      <c r="B170" s="378"/>
      <c r="C170" s="306"/>
      <c r="D170" s="302"/>
      <c r="E170" s="259">
        <v>1708</v>
      </c>
      <c r="F170" s="159" t="s">
        <v>185</v>
      </c>
      <c r="G170" s="332" t="s">
        <v>568</v>
      </c>
      <c r="H170" s="250">
        <v>1708016</v>
      </c>
      <c r="I170" s="159" t="s">
        <v>544</v>
      </c>
      <c r="J170" s="332" t="s">
        <v>569</v>
      </c>
      <c r="K170" s="260" t="s">
        <v>570</v>
      </c>
      <c r="L170" s="261" t="s">
        <v>571</v>
      </c>
      <c r="M170" s="332" t="s">
        <v>53</v>
      </c>
      <c r="N170" s="332">
        <v>2</v>
      </c>
      <c r="O170" s="332">
        <v>2</v>
      </c>
      <c r="P170" s="159" t="s">
        <v>189</v>
      </c>
      <c r="Q170" s="305" t="s">
        <v>572</v>
      </c>
      <c r="R170" s="159" t="s">
        <v>573</v>
      </c>
      <c r="S170" s="263"/>
      <c r="T170" s="263"/>
      <c r="U170" s="263"/>
      <c r="V170" s="263"/>
      <c r="W170" s="263"/>
      <c r="X170" s="263"/>
      <c r="Y170" s="263"/>
      <c r="Z170" s="263"/>
      <c r="AA170" s="263"/>
      <c r="AB170" s="263"/>
      <c r="AC170" s="217">
        <f>50000000-34480731+15000000-15000000</f>
        <v>15519269</v>
      </c>
      <c r="AD170" s="217"/>
      <c r="AE170" s="217"/>
      <c r="AF170" s="216">
        <f>+S170+T170+U170+V170+W170+X170+Y170+Z170+AA170+AB170+AC170+AD170+AE170</f>
        <v>15519269</v>
      </c>
    </row>
    <row r="171" spans="1:32" s="89" customFormat="1" ht="72.75" customHeight="1" x14ac:dyDescent="0.2">
      <c r="A171" s="376"/>
      <c r="B171" s="378"/>
      <c r="C171" s="306"/>
      <c r="D171" s="302"/>
      <c r="E171" s="259">
        <v>1708</v>
      </c>
      <c r="F171" s="159" t="s">
        <v>185</v>
      </c>
      <c r="G171" s="332" t="s">
        <v>1368</v>
      </c>
      <c r="H171" s="250">
        <v>1708051</v>
      </c>
      <c r="I171" s="159" t="s">
        <v>1369</v>
      </c>
      <c r="J171" s="332" t="s">
        <v>1370</v>
      </c>
      <c r="K171" s="260">
        <v>170805100</v>
      </c>
      <c r="L171" s="261" t="s">
        <v>1371</v>
      </c>
      <c r="M171" s="332" t="s">
        <v>53</v>
      </c>
      <c r="N171" s="332">
        <v>1</v>
      </c>
      <c r="O171" s="332">
        <v>1</v>
      </c>
      <c r="P171" s="159" t="s">
        <v>189</v>
      </c>
      <c r="Q171" s="305" t="s">
        <v>572</v>
      </c>
      <c r="R171" s="159" t="s">
        <v>573</v>
      </c>
      <c r="S171" s="263"/>
      <c r="T171" s="263"/>
      <c r="U171" s="263"/>
      <c r="V171" s="263"/>
      <c r="W171" s="263"/>
      <c r="X171" s="263"/>
      <c r="Y171" s="263"/>
      <c r="Z171" s="263"/>
      <c r="AA171" s="263"/>
      <c r="AB171" s="263"/>
      <c r="AC171" s="217">
        <v>15000000</v>
      </c>
      <c r="AD171" s="217"/>
      <c r="AE171" s="217"/>
      <c r="AF171" s="216">
        <f>+S171+T171+U171+V171+W171+X171+Y171+Z171+AA171+AB171+AC171+AD171+AE171</f>
        <v>15000000</v>
      </c>
    </row>
    <row r="172" spans="1:32" ht="27.75" customHeight="1" x14ac:dyDescent="0.2">
      <c r="A172" s="352"/>
      <c r="B172" s="355"/>
      <c r="C172" s="131">
        <v>10</v>
      </c>
      <c r="D172" s="103">
        <v>1709</v>
      </c>
      <c r="E172" s="275" t="s">
        <v>184</v>
      </c>
      <c r="F172" s="153"/>
      <c r="G172" s="153"/>
      <c r="H172" s="153"/>
      <c r="I172" s="153"/>
      <c r="J172" s="153"/>
      <c r="K172" s="153"/>
      <c r="L172" s="153"/>
      <c r="M172" s="153"/>
      <c r="N172" s="153"/>
      <c r="O172" s="153"/>
      <c r="P172" s="102"/>
      <c r="Q172" s="153"/>
      <c r="R172" s="155"/>
      <c r="S172" s="14">
        <f t="shared" ref="S172:AF172" si="103">SUM(S173:S174)</f>
        <v>0</v>
      </c>
      <c r="T172" s="14">
        <f t="shared" si="103"/>
        <v>0</v>
      </c>
      <c r="U172" s="14">
        <f t="shared" si="103"/>
        <v>0</v>
      </c>
      <c r="V172" s="14">
        <f t="shared" si="103"/>
        <v>0</v>
      </c>
      <c r="W172" s="14">
        <f t="shared" si="103"/>
        <v>0</v>
      </c>
      <c r="X172" s="14">
        <f t="shared" si="103"/>
        <v>0</v>
      </c>
      <c r="Y172" s="14">
        <f t="shared" si="103"/>
        <v>0</v>
      </c>
      <c r="Z172" s="14">
        <f t="shared" si="103"/>
        <v>0</v>
      </c>
      <c r="AA172" s="14">
        <f t="shared" si="103"/>
        <v>0</v>
      </c>
      <c r="AB172" s="14">
        <f t="shared" si="103"/>
        <v>0</v>
      </c>
      <c r="AC172" s="15">
        <f t="shared" si="103"/>
        <v>75000000</v>
      </c>
      <c r="AD172" s="15">
        <f t="shared" si="103"/>
        <v>0</v>
      </c>
      <c r="AE172" s="15">
        <f t="shared" si="103"/>
        <v>0</v>
      </c>
      <c r="AF172" s="15">
        <f t="shared" si="103"/>
        <v>75000000</v>
      </c>
    </row>
    <row r="173" spans="1:32" s="138" customFormat="1" ht="94.5" customHeight="1" x14ac:dyDescent="0.2">
      <c r="A173" s="370"/>
      <c r="B173" s="380"/>
      <c r="C173" s="307"/>
      <c r="D173" s="166"/>
      <c r="E173" s="166">
        <v>1709</v>
      </c>
      <c r="F173" s="280" t="s">
        <v>185</v>
      </c>
      <c r="G173" s="223" t="s">
        <v>574</v>
      </c>
      <c r="H173" s="135">
        <v>1709019</v>
      </c>
      <c r="I173" s="280" t="s">
        <v>575</v>
      </c>
      <c r="J173" s="223" t="s">
        <v>576</v>
      </c>
      <c r="K173" s="221" t="s">
        <v>577</v>
      </c>
      <c r="L173" s="228" t="s">
        <v>575</v>
      </c>
      <c r="M173" s="223" t="s">
        <v>143</v>
      </c>
      <c r="N173" s="223">
        <v>15</v>
      </c>
      <c r="O173" s="223">
        <v>2</v>
      </c>
      <c r="P173" s="442" t="s">
        <v>189</v>
      </c>
      <c r="Q173" s="441" t="s">
        <v>534</v>
      </c>
      <c r="R173" s="448" t="s">
        <v>578</v>
      </c>
      <c r="S173" s="156"/>
      <c r="T173" s="156"/>
      <c r="U173" s="156"/>
      <c r="V173" s="156"/>
      <c r="W173" s="156"/>
      <c r="X173" s="156"/>
      <c r="Y173" s="156"/>
      <c r="Z173" s="156"/>
      <c r="AA173" s="156"/>
      <c r="AB173" s="156"/>
      <c r="AC173" s="150">
        <f>50000000-25000000+25000000</f>
        <v>50000000</v>
      </c>
      <c r="AD173" s="150"/>
      <c r="AE173" s="150"/>
      <c r="AF173" s="109">
        <f>+S173+T173+U173+V173+W173+X173+Y173+Z173+AA173+AB173+AC173+AD173+AE173</f>
        <v>50000000</v>
      </c>
    </row>
    <row r="174" spans="1:32" ht="48.75" customHeight="1" x14ac:dyDescent="0.2">
      <c r="A174" s="352"/>
      <c r="B174" s="379"/>
      <c r="C174" s="297"/>
      <c r="D174" s="282"/>
      <c r="E174" s="282">
        <v>1709</v>
      </c>
      <c r="F174" s="273" t="s">
        <v>185</v>
      </c>
      <c r="G174" s="218" t="s">
        <v>579</v>
      </c>
      <c r="H174" s="135">
        <v>1709034</v>
      </c>
      <c r="I174" s="273" t="s">
        <v>580</v>
      </c>
      <c r="J174" s="218" t="s">
        <v>581</v>
      </c>
      <c r="K174" s="221" t="s">
        <v>582</v>
      </c>
      <c r="L174" s="224" t="s">
        <v>580</v>
      </c>
      <c r="M174" s="218" t="s">
        <v>143</v>
      </c>
      <c r="N174" s="218">
        <v>10</v>
      </c>
      <c r="O174" s="218">
        <v>1</v>
      </c>
      <c r="P174" s="442"/>
      <c r="Q174" s="441"/>
      <c r="R174" s="448"/>
      <c r="S174" s="117"/>
      <c r="T174" s="117"/>
      <c r="U174" s="117"/>
      <c r="V174" s="117"/>
      <c r="W174" s="117"/>
      <c r="X174" s="117"/>
      <c r="Y174" s="117"/>
      <c r="Z174" s="117"/>
      <c r="AA174" s="117"/>
      <c r="AB174" s="117"/>
      <c r="AC174" s="150">
        <f>50000000-25000000</f>
        <v>25000000</v>
      </c>
      <c r="AD174" s="150"/>
      <c r="AE174" s="150"/>
      <c r="AF174" s="109">
        <f>+S174+T174+U174+V174+W174+X174+Y174+Z174+AA174+AB174+AC174+AD174+AE174</f>
        <v>25000000</v>
      </c>
    </row>
    <row r="175" spans="1:32" ht="23.25" customHeight="1" x14ac:dyDescent="0.2">
      <c r="A175" s="352"/>
      <c r="B175" s="355"/>
      <c r="C175" s="131">
        <v>27</v>
      </c>
      <c r="D175" s="103">
        <v>3502</v>
      </c>
      <c r="E175" s="275" t="s">
        <v>192</v>
      </c>
      <c r="F175" s="102"/>
      <c r="G175" s="103"/>
      <c r="H175" s="104"/>
      <c r="I175" s="102"/>
      <c r="J175" s="103"/>
      <c r="K175" s="103"/>
      <c r="L175" s="102"/>
      <c r="M175" s="105"/>
      <c r="N175" s="105"/>
      <c r="O175" s="103"/>
      <c r="P175" s="338"/>
      <c r="Q175" s="103"/>
      <c r="R175" s="102"/>
      <c r="S175" s="107">
        <f>SUM(S176:S177)</f>
        <v>0</v>
      </c>
      <c r="T175" s="107">
        <f t="shared" ref="T175:AF175" si="104">SUM(T176:T177)</f>
        <v>0</v>
      </c>
      <c r="U175" s="107">
        <f t="shared" si="104"/>
        <v>0</v>
      </c>
      <c r="V175" s="107">
        <f t="shared" si="104"/>
        <v>0</v>
      </c>
      <c r="W175" s="107">
        <f t="shared" si="104"/>
        <v>0</v>
      </c>
      <c r="X175" s="107">
        <f t="shared" si="104"/>
        <v>0</v>
      </c>
      <c r="Y175" s="107">
        <f t="shared" si="104"/>
        <v>0</v>
      </c>
      <c r="Z175" s="107">
        <f t="shared" si="104"/>
        <v>0</v>
      </c>
      <c r="AA175" s="107">
        <f t="shared" si="104"/>
        <v>0</v>
      </c>
      <c r="AB175" s="107">
        <f t="shared" si="104"/>
        <v>0</v>
      </c>
      <c r="AC175" s="107">
        <f t="shared" si="104"/>
        <v>40000000</v>
      </c>
      <c r="AD175" s="107">
        <f t="shared" si="104"/>
        <v>0</v>
      </c>
      <c r="AE175" s="107">
        <f t="shared" si="104"/>
        <v>0</v>
      </c>
      <c r="AF175" s="107">
        <f t="shared" si="104"/>
        <v>40000000</v>
      </c>
    </row>
    <row r="176" spans="1:32" ht="81" customHeight="1" x14ac:dyDescent="0.2">
      <c r="A176" s="352"/>
      <c r="B176" s="355"/>
      <c r="C176" s="291"/>
      <c r="D176" s="272"/>
      <c r="E176" s="272">
        <v>3502</v>
      </c>
      <c r="F176" s="273" t="s">
        <v>583</v>
      </c>
      <c r="G176" s="218" t="s">
        <v>584</v>
      </c>
      <c r="H176" s="135">
        <v>3502017</v>
      </c>
      <c r="I176" s="273" t="s">
        <v>585</v>
      </c>
      <c r="J176" s="218" t="s">
        <v>586</v>
      </c>
      <c r="K176" s="221" t="s">
        <v>587</v>
      </c>
      <c r="L176" s="224" t="s">
        <v>588</v>
      </c>
      <c r="M176" s="218" t="s">
        <v>53</v>
      </c>
      <c r="N176" s="218">
        <v>6</v>
      </c>
      <c r="O176" s="218">
        <v>6</v>
      </c>
      <c r="P176" s="442" t="s">
        <v>189</v>
      </c>
      <c r="Q176" s="441" t="s">
        <v>501</v>
      </c>
      <c r="R176" s="442" t="s">
        <v>502</v>
      </c>
      <c r="S176" s="3"/>
      <c r="T176" s="3"/>
      <c r="U176" s="3"/>
      <c r="V176" s="3"/>
      <c r="W176" s="3"/>
      <c r="X176" s="3"/>
      <c r="Y176" s="3"/>
      <c r="Z176" s="3"/>
      <c r="AA176" s="3"/>
      <c r="AB176" s="3"/>
      <c r="AC176" s="150">
        <v>22138800</v>
      </c>
      <c r="AD176" s="150"/>
      <c r="AE176" s="150"/>
      <c r="AF176" s="109">
        <f>+S176+T176+U176+V176+W176+X176+Y176+Z176+AA176+AB176+AC176+AD176+AE176</f>
        <v>22138800</v>
      </c>
    </row>
    <row r="177" spans="1:32" s="94" customFormat="1" ht="54" customHeight="1" x14ac:dyDescent="0.25">
      <c r="A177" s="377"/>
      <c r="B177" s="372"/>
      <c r="C177" s="291"/>
      <c r="D177" s="272"/>
      <c r="E177" s="272">
        <v>3502</v>
      </c>
      <c r="F177" s="273" t="s">
        <v>583</v>
      </c>
      <c r="G177" s="272" t="s">
        <v>423</v>
      </c>
      <c r="H177" s="135">
        <v>3502007</v>
      </c>
      <c r="I177" s="273" t="s">
        <v>589</v>
      </c>
      <c r="J177" s="272" t="s">
        <v>424</v>
      </c>
      <c r="K177" s="272" t="s">
        <v>425</v>
      </c>
      <c r="L177" s="273" t="s">
        <v>426</v>
      </c>
      <c r="M177" s="272" t="s">
        <v>53</v>
      </c>
      <c r="N177" s="272">
        <v>5</v>
      </c>
      <c r="O177" s="272">
        <v>5</v>
      </c>
      <c r="P177" s="442"/>
      <c r="Q177" s="441"/>
      <c r="R177" s="442"/>
      <c r="S177" s="3"/>
      <c r="T177" s="3"/>
      <c r="U177" s="3"/>
      <c r="V177" s="3"/>
      <c r="W177" s="3"/>
      <c r="X177" s="3"/>
      <c r="Y177" s="3"/>
      <c r="Z177" s="3"/>
      <c r="AA177" s="3"/>
      <c r="AB177" s="3"/>
      <c r="AC177" s="150">
        <f>17861200</f>
        <v>17861200</v>
      </c>
      <c r="AD177" s="150"/>
      <c r="AE177" s="150"/>
      <c r="AF177" s="109">
        <f>+S177+T177+U177+V177+W177+X177+Y177+Z177+AA177+AB177+AC177+AD177+AE177</f>
        <v>17861200</v>
      </c>
    </row>
    <row r="178" spans="1:32" ht="24.75" customHeight="1" x14ac:dyDescent="0.2">
      <c r="A178" s="352"/>
      <c r="B178" s="193">
        <v>3</v>
      </c>
      <c r="C178" s="95" t="s">
        <v>3</v>
      </c>
      <c r="D178" s="96"/>
      <c r="E178" s="96"/>
      <c r="F178" s="97"/>
      <c r="G178" s="98"/>
      <c r="H178" s="99"/>
      <c r="I178" s="97"/>
      <c r="J178" s="98"/>
      <c r="K178" s="98"/>
      <c r="L178" s="97"/>
      <c r="M178" s="100"/>
      <c r="N178" s="100"/>
      <c r="O178" s="98"/>
      <c r="P178" s="340"/>
      <c r="Q178" s="98"/>
      <c r="R178" s="97"/>
      <c r="S178" s="101">
        <f t="shared" ref="S178:AF178" si="105">+S179+S181+S187+S189+S191</f>
        <v>0</v>
      </c>
      <c r="T178" s="101">
        <f t="shared" si="105"/>
        <v>0</v>
      </c>
      <c r="U178" s="101">
        <f t="shared" si="105"/>
        <v>0</v>
      </c>
      <c r="V178" s="101">
        <f t="shared" si="105"/>
        <v>0</v>
      </c>
      <c r="W178" s="101">
        <f t="shared" si="105"/>
        <v>0</v>
      </c>
      <c r="X178" s="101">
        <f t="shared" si="105"/>
        <v>0</v>
      </c>
      <c r="Y178" s="101">
        <f t="shared" si="105"/>
        <v>0</v>
      </c>
      <c r="Z178" s="101">
        <f t="shared" si="105"/>
        <v>0</v>
      </c>
      <c r="AA178" s="101">
        <f t="shared" si="105"/>
        <v>0</v>
      </c>
      <c r="AB178" s="101">
        <f t="shared" si="105"/>
        <v>0</v>
      </c>
      <c r="AC178" s="101">
        <f t="shared" si="105"/>
        <v>736049867</v>
      </c>
      <c r="AD178" s="101">
        <f t="shared" si="105"/>
        <v>0</v>
      </c>
      <c r="AE178" s="101">
        <f t="shared" si="105"/>
        <v>0</v>
      </c>
      <c r="AF178" s="101">
        <f t="shared" si="105"/>
        <v>736049867</v>
      </c>
    </row>
    <row r="179" spans="1:32" ht="19.5" customHeight="1" x14ac:dyDescent="0.2">
      <c r="A179" s="352"/>
      <c r="B179" s="354"/>
      <c r="C179" s="131">
        <v>20</v>
      </c>
      <c r="D179" s="103" t="s">
        <v>590</v>
      </c>
      <c r="E179" s="275" t="s">
        <v>591</v>
      </c>
      <c r="F179" s="102"/>
      <c r="G179" s="103"/>
      <c r="H179" s="104"/>
      <c r="I179" s="102"/>
      <c r="J179" s="103"/>
      <c r="K179" s="103"/>
      <c r="L179" s="102"/>
      <c r="M179" s="105"/>
      <c r="N179" s="105"/>
      <c r="O179" s="103"/>
      <c r="P179" s="338"/>
      <c r="Q179" s="103"/>
      <c r="R179" s="102"/>
      <c r="S179" s="107">
        <f t="shared" ref="S179:AF179" si="106">SUM(S180:S180)</f>
        <v>0</v>
      </c>
      <c r="T179" s="107">
        <f t="shared" si="106"/>
        <v>0</v>
      </c>
      <c r="U179" s="107">
        <f t="shared" si="106"/>
        <v>0</v>
      </c>
      <c r="V179" s="107">
        <f t="shared" si="106"/>
        <v>0</v>
      </c>
      <c r="W179" s="107">
        <f t="shared" si="106"/>
        <v>0</v>
      </c>
      <c r="X179" s="107">
        <f t="shared" si="106"/>
        <v>0</v>
      </c>
      <c r="Y179" s="107">
        <f t="shared" si="106"/>
        <v>0</v>
      </c>
      <c r="Z179" s="107">
        <f t="shared" si="106"/>
        <v>0</v>
      </c>
      <c r="AA179" s="107">
        <f t="shared" si="106"/>
        <v>0</v>
      </c>
      <c r="AB179" s="107">
        <f t="shared" si="106"/>
        <v>0</v>
      </c>
      <c r="AC179" s="107">
        <f t="shared" si="106"/>
        <v>40000000</v>
      </c>
      <c r="AD179" s="107">
        <f t="shared" si="106"/>
        <v>0</v>
      </c>
      <c r="AE179" s="107">
        <f t="shared" si="106"/>
        <v>0</v>
      </c>
      <c r="AF179" s="107">
        <f t="shared" si="106"/>
        <v>40000000</v>
      </c>
    </row>
    <row r="180" spans="1:32" ht="86.25" customHeight="1" x14ac:dyDescent="0.2">
      <c r="A180" s="352"/>
      <c r="B180" s="355"/>
      <c r="C180" s="90"/>
      <c r="D180" s="308"/>
      <c r="E180" s="282">
        <v>3201</v>
      </c>
      <c r="F180" s="273" t="s">
        <v>206</v>
      </c>
      <c r="G180" s="218" t="s">
        <v>592</v>
      </c>
      <c r="H180" s="135">
        <v>3201013</v>
      </c>
      <c r="I180" s="273" t="s">
        <v>593</v>
      </c>
      <c r="J180" s="218" t="s">
        <v>594</v>
      </c>
      <c r="K180" s="221" t="s">
        <v>595</v>
      </c>
      <c r="L180" s="224" t="s">
        <v>1372</v>
      </c>
      <c r="M180" s="218" t="s">
        <v>143</v>
      </c>
      <c r="N180" s="218">
        <v>4</v>
      </c>
      <c r="O180" s="218">
        <v>1</v>
      </c>
      <c r="P180" s="335" t="s">
        <v>596</v>
      </c>
      <c r="Q180" s="151" t="s">
        <v>597</v>
      </c>
      <c r="R180" s="273" t="s">
        <v>598</v>
      </c>
      <c r="S180" s="114"/>
      <c r="T180" s="114"/>
      <c r="U180" s="114"/>
      <c r="V180" s="114"/>
      <c r="W180" s="114"/>
      <c r="X180" s="114"/>
      <c r="Y180" s="114"/>
      <c r="Z180" s="114"/>
      <c r="AA180" s="114"/>
      <c r="AB180" s="114"/>
      <c r="AC180" s="150">
        <v>40000000</v>
      </c>
      <c r="AD180" s="150"/>
      <c r="AE180" s="150"/>
      <c r="AF180" s="109">
        <f>+S180+T180+U180+V180+W180+X180+Y180+Z180+AA180+AB180+AC180+AD180+AE180</f>
        <v>40000000</v>
      </c>
    </row>
    <row r="181" spans="1:32" ht="21.75" customHeight="1" x14ac:dyDescent="0.2">
      <c r="A181" s="352"/>
      <c r="B181" s="355"/>
      <c r="C181" s="131">
        <v>21</v>
      </c>
      <c r="D181" s="103" t="s">
        <v>204</v>
      </c>
      <c r="E181" s="275" t="s">
        <v>205</v>
      </c>
      <c r="F181" s="102"/>
      <c r="G181" s="103"/>
      <c r="H181" s="104"/>
      <c r="I181" s="102"/>
      <c r="J181" s="103"/>
      <c r="K181" s="103"/>
      <c r="L181" s="102"/>
      <c r="M181" s="105"/>
      <c r="N181" s="105"/>
      <c r="O181" s="103"/>
      <c r="P181" s="338"/>
      <c r="Q181" s="103"/>
      <c r="R181" s="102"/>
      <c r="S181" s="107">
        <f t="shared" ref="S181:AF181" si="107">SUM(S182:S186)</f>
        <v>0</v>
      </c>
      <c r="T181" s="107">
        <f t="shared" si="107"/>
        <v>0</v>
      </c>
      <c r="U181" s="107">
        <f t="shared" si="107"/>
        <v>0</v>
      </c>
      <c r="V181" s="107">
        <f t="shared" si="107"/>
        <v>0</v>
      </c>
      <c r="W181" s="107">
        <f t="shared" si="107"/>
        <v>0</v>
      </c>
      <c r="X181" s="107">
        <f t="shared" si="107"/>
        <v>0</v>
      </c>
      <c r="Y181" s="107">
        <f t="shared" si="107"/>
        <v>0</v>
      </c>
      <c r="Z181" s="107">
        <f t="shared" si="107"/>
        <v>0</v>
      </c>
      <c r="AA181" s="107">
        <f t="shared" si="107"/>
        <v>0</v>
      </c>
      <c r="AB181" s="107">
        <f t="shared" si="107"/>
        <v>0</v>
      </c>
      <c r="AC181" s="107">
        <f>SUM(AC182:AC186)</f>
        <v>600049867</v>
      </c>
      <c r="AD181" s="107">
        <f t="shared" si="107"/>
        <v>0</v>
      </c>
      <c r="AE181" s="107">
        <f t="shared" si="107"/>
        <v>0</v>
      </c>
      <c r="AF181" s="107">
        <f t="shared" si="107"/>
        <v>600049867</v>
      </c>
    </row>
    <row r="182" spans="1:32" ht="98.25" customHeight="1" x14ac:dyDescent="0.2">
      <c r="A182" s="352"/>
      <c r="B182" s="355"/>
      <c r="C182" s="289"/>
      <c r="D182" s="290"/>
      <c r="E182" s="272">
        <v>3202</v>
      </c>
      <c r="F182" s="273" t="s">
        <v>206</v>
      </c>
      <c r="G182" s="218" t="s">
        <v>599</v>
      </c>
      <c r="H182" s="135">
        <v>3202017</v>
      </c>
      <c r="I182" s="273" t="s">
        <v>600</v>
      </c>
      <c r="J182" s="218" t="s">
        <v>601</v>
      </c>
      <c r="K182" s="221" t="s">
        <v>602</v>
      </c>
      <c r="L182" s="224" t="s">
        <v>1352</v>
      </c>
      <c r="M182" s="218" t="s">
        <v>53</v>
      </c>
      <c r="N182" s="229">
        <v>1</v>
      </c>
      <c r="O182" s="229">
        <v>1</v>
      </c>
      <c r="P182" s="342" t="s">
        <v>596</v>
      </c>
      <c r="Q182" s="272" t="s">
        <v>603</v>
      </c>
      <c r="R182" s="273" t="s">
        <v>1373</v>
      </c>
      <c r="S182" s="3"/>
      <c r="T182" s="3"/>
      <c r="U182" s="3"/>
      <c r="V182" s="3"/>
      <c r="W182" s="3"/>
      <c r="X182" s="3"/>
      <c r="Y182" s="3"/>
      <c r="Z182" s="3"/>
      <c r="AA182" s="3"/>
      <c r="AB182" s="3"/>
      <c r="AC182" s="150">
        <v>80000000</v>
      </c>
      <c r="AD182" s="150"/>
      <c r="AE182" s="150"/>
      <c r="AF182" s="109">
        <f>+S182+T182+U182+V182+W182+X182+Y182+Z182+AA182+AB182+AC182+AD182+AE182</f>
        <v>80000000</v>
      </c>
    </row>
    <row r="183" spans="1:32" ht="66" customHeight="1" x14ac:dyDescent="0.2">
      <c r="A183" s="352"/>
      <c r="B183" s="355"/>
      <c r="C183" s="289"/>
      <c r="D183" s="290"/>
      <c r="E183" s="272">
        <v>3202</v>
      </c>
      <c r="F183" s="273" t="s">
        <v>206</v>
      </c>
      <c r="G183" s="218" t="s">
        <v>605</v>
      </c>
      <c r="H183" s="135">
        <v>3202037</v>
      </c>
      <c r="I183" s="273" t="s">
        <v>606</v>
      </c>
      <c r="J183" s="218" t="s">
        <v>607</v>
      </c>
      <c r="K183" s="221" t="s">
        <v>608</v>
      </c>
      <c r="L183" s="224" t="s">
        <v>609</v>
      </c>
      <c r="M183" s="218" t="s">
        <v>143</v>
      </c>
      <c r="N183" s="229">
        <v>200</v>
      </c>
      <c r="O183" s="218">
        <v>30</v>
      </c>
      <c r="P183" s="442" t="s">
        <v>596</v>
      </c>
      <c r="Q183" s="441" t="s">
        <v>610</v>
      </c>
      <c r="R183" s="442" t="s">
        <v>611</v>
      </c>
      <c r="S183" s="3"/>
      <c r="T183" s="3"/>
      <c r="U183" s="3"/>
      <c r="V183" s="3"/>
      <c r="W183" s="3"/>
      <c r="X183" s="3"/>
      <c r="Y183" s="3"/>
      <c r="Z183" s="3"/>
      <c r="AA183" s="3"/>
      <c r="AB183" s="3"/>
      <c r="AC183" s="150">
        <f>128662000-27195334</f>
        <v>101466666</v>
      </c>
      <c r="AD183" s="150"/>
      <c r="AE183" s="150"/>
      <c r="AF183" s="109">
        <f>+S183+T183+U183+V183+W183+X183+Y183+Z183+AA183+AB183+AC183+AD183+AE183</f>
        <v>101466666</v>
      </c>
    </row>
    <row r="184" spans="1:32" ht="86.25" customHeight="1" x14ac:dyDescent="0.2">
      <c r="A184" s="352"/>
      <c r="B184" s="355"/>
      <c r="C184" s="289"/>
      <c r="D184" s="290"/>
      <c r="E184" s="272">
        <v>3202</v>
      </c>
      <c r="F184" s="273" t="s">
        <v>206</v>
      </c>
      <c r="G184" s="218" t="s">
        <v>612</v>
      </c>
      <c r="H184" s="282" t="s">
        <v>47</v>
      </c>
      <c r="I184" s="273" t="s">
        <v>1394</v>
      </c>
      <c r="J184" s="218" t="s">
        <v>613</v>
      </c>
      <c r="K184" s="218" t="s">
        <v>47</v>
      </c>
      <c r="L184" s="224" t="s">
        <v>614</v>
      </c>
      <c r="M184" s="218" t="s">
        <v>143</v>
      </c>
      <c r="N184" s="220">
        <v>200</v>
      </c>
      <c r="O184" s="218">
        <v>20</v>
      </c>
      <c r="P184" s="442"/>
      <c r="Q184" s="441"/>
      <c r="R184" s="442"/>
      <c r="S184" s="3"/>
      <c r="T184" s="3"/>
      <c r="U184" s="3"/>
      <c r="V184" s="3"/>
      <c r="W184" s="3"/>
      <c r="X184" s="3"/>
      <c r="Y184" s="3"/>
      <c r="Z184" s="3"/>
      <c r="AA184" s="3"/>
      <c r="AB184" s="3"/>
      <c r="AC184" s="150">
        <f>1114208927.55-0.3-87936734.91-677688991.34</f>
        <v>348583201</v>
      </c>
      <c r="AD184" s="150"/>
      <c r="AE184" s="150"/>
      <c r="AF184" s="109">
        <f>+S184+T184+U184+V184+W184+X184+Y184+Z184+AA184+AB184+AC184+AD184+AE184</f>
        <v>348583201</v>
      </c>
    </row>
    <row r="185" spans="1:32" ht="86.25" customHeight="1" x14ac:dyDescent="0.2">
      <c r="A185" s="352"/>
      <c r="B185" s="355"/>
      <c r="C185" s="289"/>
      <c r="D185" s="290"/>
      <c r="E185" s="272">
        <v>3202</v>
      </c>
      <c r="F185" s="273" t="s">
        <v>206</v>
      </c>
      <c r="G185" s="218" t="s">
        <v>615</v>
      </c>
      <c r="H185" s="272" t="s">
        <v>47</v>
      </c>
      <c r="I185" s="273" t="s">
        <v>616</v>
      </c>
      <c r="J185" s="218" t="s">
        <v>617</v>
      </c>
      <c r="K185" s="218" t="s">
        <v>47</v>
      </c>
      <c r="L185" s="224" t="s">
        <v>618</v>
      </c>
      <c r="M185" s="218" t="s">
        <v>53</v>
      </c>
      <c r="N185" s="220">
        <v>1</v>
      </c>
      <c r="O185" s="220">
        <v>1</v>
      </c>
      <c r="P185" s="342" t="s">
        <v>596</v>
      </c>
      <c r="Q185" s="272" t="s">
        <v>619</v>
      </c>
      <c r="R185" s="273" t="s">
        <v>620</v>
      </c>
      <c r="S185" s="3"/>
      <c r="T185" s="3"/>
      <c r="U185" s="3"/>
      <c r="V185" s="3"/>
      <c r="W185" s="3"/>
      <c r="X185" s="3"/>
      <c r="Y185" s="3"/>
      <c r="Z185" s="3"/>
      <c r="AA185" s="3"/>
      <c r="AB185" s="3"/>
      <c r="AC185" s="150">
        <v>30000000</v>
      </c>
      <c r="AD185" s="150"/>
      <c r="AE185" s="150"/>
      <c r="AF185" s="109">
        <f>+S185+T185+U185+V185+W185+X185+Y185+Z185+AA185+AB185+AC185+AD185+AE185</f>
        <v>30000000</v>
      </c>
    </row>
    <row r="186" spans="1:32" ht="86.25" customHeight="1" x14ac:dyDescent="0.2">
      <c r="A186" s="352"/>
      <c r="B186" s="355"/>
      <c r="C186" s="289"/>
      <c r="D186" s="290"/>
      <c r="E186" s="272">
        <v>3202</v>
      </c>
      <c r="F186" s="273" t="s">
        <v>206</v>
      </c>
      <c r="G186" s="218" t="s">
        <v>621</v>
      </c>
      <c r="H186" s="272" t="s">
        <v>47</v>
      </c>
      <c r="I186" s="273" t="s">
        <v>622</v>
      </c>
      <c r="J186" s="218" t="s">
        <v>623</v>
      </c>
      <c r="K186" s="218" t="s">
        <v>47</v>
      </c>
      <c r="L186" s="224" t="s">
        <v>624</v>
      </c>
      <c r="M186" s="218" t="s">
        <v>143</v>
      </c>
      <c r="N186" s="220">
        <v>4</v>
      </c>
      <c r="O186" s="220">
        <v>1</v>
      </c>
      <c r="P186" s="342" t="s">
        <v>596</v>
      </c>
      <c r="Q186" s="272" t="s">
        <v>625</v>
      </c>
      <c r="R186" s="273" t="s">
        <v>1395</v>
      </c>
      <c r="S186" s="3"/>
      <c r="T186" s="3"/>
      <c r="U186" s="3"/>
      <c r="V186" s="3"/>
      <c r="W186" s="3"/>
      <c r="X186" s="3"/>
      <c r="Y186" s="3"/>
      <c r="Z186" s="3"/>
      <c r="AA186" s="3"/>
      <c r="AB186" s="3"/>
      <c r="AC186" s="150">
        <v>40000000</v>
      </c>
      <c r="AD186" s="150"/>
      <c r="AE186" s="150"/>
      <c r="AF186" s="109">
        <f>+S186+T186+U186+V186+W186+X186+Y186+Z186+AA186+AB186+AC186+AD186+AE186</f>
        <v>40000000</v>
      </c>
    </row>
    <row r="187" spans="1:32" ht="21" customHeight="1" x14ac:dyDescent="0.2">
      <c r="A187" s="352"/>
      <c r="B187" s="355"/>
      <c r="C187" s="131">
        <v>22</v>
      </c>
      <c r="D187" s="103" t="s">
        <v>627</v>
      </c>
      <c r="E187" s="275" t="s">
        <v>628</v>
      </c>
      <c r="F187" s="102"/>
      <c r="G187" s="103"/>
      <c r="H187" s="104"/>
      <c r="I187" s="102"/>
      <c r="J187" s="103"/>
      <c r="K187" s="103"/>
      <c r="L187" s="102"/>
      <c r="M187" s="105"/>
      <c r="N187" s="105"/>
      <c r="O187" s="103"/>
      <c r="P187" s="338"/>
      <c r="Q187" s="103"/>
      <c r="R187" s="102"/>
      <c r="S187" s="107">
        <f t="shared" ref="S187:AF187" si="108">SUM(S188:S188)</f>
        <v>0</v>
      </c>
      <c r="T187" s="107">
        <f t="shared" si="108"/>
        <v>0</v>
      </c>
      <c r="U187" s="107">
        <f t="shared" si="108"/>
        <v>0</v>
      </c>
      <c r="V187" s="107">
        <f t="shared" si="108"/>
        <v>0</v>
      </c>
      <c r="W187" s="107">
        <f t="shared" si="108"/>
        <v>0</v>
      </c>
      <c r="X187" s="107">
        <f t="shared" si="108"/>
        <v>0</v>
      </c>
      <c r="Y187" s="107">
        <f t="shared" si="108"/>
        <v>0</v>
      </c>
      <c r="Z187" s="107">
        <f t="shared" si="108"/>
        <v>0</v>
      </c>
      <c r="AA187" s="107">
        <f t="shared" si="108"/>
        <v>0</v>
      </c>
      <c r="AB187" s="107">
        <f t="shared" si="108"/>
        <v>0</v>
      </c>
      <c r="AC187" s="107">
        <f t="shared" si="108"/>
        <v>26000000</v>
      </c>
      <c r="AD187" s="107">
        <f t="shared" si="108"/>
        <v>0</v>
      </c>
      <c r="AE187" s="107">
        <f t="shared" si="108"/>
        <v>0</v>
      </c>
      <c r="AF187" s="107">
        <f t="shared" si="108"/>
        <v>26000000</v>
      </c>
    </row>
    <row r="188" spans="1:32" ht="62.25" customHeight="1" x14ac:dyDescent="0.2">
      <c r="A188" s="352"/>
      <c r="B188" s="355"/>
      <c r="C188" s="289"/>
      <c r="D188" s="290"/>
      <c r="E188" s="272">
        <v>3204</v>
      </c>
      <c r="F188" s="273" t="s">
        <v>206</v>
      </c>
      <c r="G188" s="218" t="s">
        <v>629</v>
      </c>
      <c r="H188" s="135">
        <v>3204012</v>
      </c>
      <c r="I188" s="273" t="s">
        <v>630</v>
      </c>
      <c r="J188" s="251" t="s">
        <v>631</v>
      </c>
      <c r="K188" s="260" t="s">
        <v>632</v>
      </c>
      <c r="L188" s="261" t="s">
        <v>633</v>
      </c>
      <c r="M188" s="251" t="s">
        <v>143</v>
      </c>
      <c r="N188" s="252">
        <v>12</v>
      </c>
      <c r="O188" s="251">
        <v>1</v>
      </c>
      <c r="P188" s="335" t="s">
        <v>596</v>
      </c>
      <c r="Q188" s="272" t="s">
        <v>634</v>
      </c>
      <c r="R188" s="273" t="s">
        <v>635</v>
      </c>
      <c r="S188" s="3"/>
      <c r="T188" s="3"/>
      <c r="U188" s="3"/>
      <c r="V188" s="3"/>
      <c r="W188" s="3"/>
      <c r="X188" s="3"/>
      <c r="Y188" s="3"/>
      <c r="Z188" s="3"/>
      <c r="AA188" s="3"/>
      <c r="AB188" s="3"/>
      <c r="AC188" s="150">
        <v>26000000</v>
      </c>
      <c r="AD188" s="150"/>
      <c r="AE188" s="150"/>
      <c r="AF188" s="109">
        <f>+S188+T188+U188+V188+W188+X188+Y188+Z188+AA188+AB188+AC188+AD188+AE188</f>
        <v>26000000</v>
      </c>
    </row>
    <row r="189" spans="1:32" ht="23.25" customHeight="1" x14ac:dyDescent="0.2">
      <c r="A189" s="352"/>
      <c r="B189" s="355"/>
      <c r="C189" s="131">
        <v>23</v>
      </c>
      <c r="D189" s="103">
        <v>3205</v>
      </c>
      <c r="E189" s="275" t="s">
        <v>210</v>
      </c>
      <c r="F189" s="102"/>
      <c r="G189" s="103"/>
      <c r="H189" s="104"/>
      <c r="I189" s="102"/>
      <c r="J189" s="103"/>
      <c r="K189" s="103"/>
      <c r="L189" s="102"/>
      <c r="M189" s="105"/>
      <c r="N189" s="105"/>
      <c r="O189" s="103"/>
      <c r="P189" s="338"/>
      <c r="Q189" s="103"/>
      <c r="R189" s="102"/>
      <c r="S189" s="107">
        <f t="shared" ref="S189:AF189" si="109">SUM(S190:S190)</f>
        <v>0</v>
      </c>
      <c r="T189" s="107">
        <f t="shared" si="109"/>
        <v>0</v>
      </c>
      <c r="U189" s="107">
        <f t="shared" si="109"/>
        <v>0</v>
      </c>
      <c r="V189" s="107">
        <f t="shared" si="109"/>
        <v>0</v>
      </c>
      <c r="W189" s="107">
        <f t="shared" si="109"/>
        <v>0</v>
      </c>
      <c r="X189" s="107">
        <f t="shared" si="109"/>
        <v>0</v>
      </c>
      <c r="Y189" s="107">
        <f t="shared" si="109"/>
        <v>0</v>
      </c>
      <c r="Z189" s="107">
        <f t="shared" si="109"/>
        <v>0</v>
      </c>
      <c r="AA189" s="107">
        <f t="shared" si="109"/>
        <v>0</v>
      </c>
      <c r="AB189" s="107">
        <f t="shared" si="109"/>
        <v>0</v>
      </c>
      <c r="AC189" s="107">
        <f t="shared" si="109"/>
        <v>50000000</v>
      </c>
      <c r="AD189" s="107">
        <f t="shared" si="109"/>
        <v>0</v>
      </c>
      <c r="AE189" s="107">
        <f t="shared" si="109"/>
        <v>0</v>
      </c>
      <c r="AF189" s="107">
        <f t="shared" si="109"/>
        <v>50000000</v>
      </c>
    </row>
    <row r="190" spans="1:32" ht="63" customHeight="1" x14ac:dyDescent="0.2">
      <c r="A190" s="352"/>
      <c r="B190" s="355"/>
      <c r="C190" s="289"/>
      <c r="D190" s="290"/>
      <c r="E190" s="272">
        <v>3205</v>
      </c>
      <c r="F190" s="273" t="s">
        <v>206</v>
      </c>
      <c r="G190" s="272" t="s">
        <v>637</v>
      </c>
      <c r="H190" s="135">
        <v>3205010</v>
      </c>
      <c r="I190" s="273" t="s">
        <v>636</v>
      </c>
      <c r="J190" s="272" t="s">
        <v>637</v>
      </c>
      <c r="K190" s="272" t="s">
        <v>638</v>
      </c>
      <c r="L190" s="273" t="s">
        <v>639</v>
      </c>
      <c r="M190" s="272" t="s">
        <v>143</v>
      </c>
      <c r="N190" s="272">
        <v>4</v>
      </c>
      <c r="O190" s="272">
        <v>1</v>
      </c>
      <c r="P190" s="335" t="s">
        <v>596</v>
      </c>
      <c r="Q190" s="272" t="s">
        <v>625</v>
      </c>
      <c r="R190" s="273" t="s">
        <v>1395</v>
      </c>
      <c r="S190" s="3"/>
      <c r="T190" s="3"/>
      <c r="U190" s="3"/>
      <c r="V190" s="3"/>
      <c r="W190" s="3"/>
      <c r="X190" s="3"/>
      <c r="Y190" s="3"/>
      <c r="Z190" s="3"/>
      <c r="AA190" s="3"/>
      <c r="AB190" s="3"/>
      <c r="AC190" s="150">
        <v>50000000</v>
      </c>
      <c r="AD190" s="150"/>
      <c r="AE190" s="150"/>
      <c r="AF190" s="109">
        <f>+S190+T190+U190+V190+W190+X190+Y190+Z190+AA190+AB190+AC190+AD190+AE190</f>
        <v>50000000</v>
      </c>
    </row>
    <row r="191" spans="1:32" ht="21" customHeight="1" x14ac:dyDescent="0.2">
      <c r="A191" s="352"/>
      <c r="B191" s="355"/>
      <c r="C191" s="131">
        <v>24</v>
      </c>
      <c r="D191" s="103" t="s">
        <v>640</v>
      </c>
      <c r="E191" s="275" t="s">
        <v>641</v>
      </c>
      <c r="F191" s="102"/>
      <c r="G191" s="103"/>
      <c r="H191" s="104"/>
      <c r="I191" s="102"/>
      <c r="J191" s="103"/>
      <c r="K191" s="103"/>
      <c r="L191" s="102"/>
      <c r="M191" s="105"/>
      <c r="N191" s="105"/>
      <c r="O191" s="103"/>
      <c r="P191" s="338"/>
      <c r="Q191" s="103"/>
      <c r="R191" s="102"/>
      <c r="S191" s="107">
        <f t="shared" ref="S191:AF191" si="110">SUM(S192:S192)</f>
        <v>0</v>
      </c>
      <c r="T191" s="107">
        <f t="shared" si="110"/>
        <v>0</v>
      </c>
      <c r="U191" s="107">
        <f t="shared" si="110"/>
        <v>0</v>
      </c>
      <c r="V191" s="107">
        <f t="shared" si="110"/>
        <v>0</v>
      </c>
      <c r="W191" s="107">
        <f t="shared" si="110"/>
        <v>0</v>
      </c>
      <c r="X191" s="107">
        <f t="shared" si="110"/>
        <v>0</v>
      </c>
      <c r="Y191" s="107">
        <f t="shared" si="110"/>
        <v>0</v>
      </c>
      <c r="Z191" s="107">
        <f t="shared" si="110"/>
        <v>0</v>
      </c>
      <c r="AA191" s="107">
        <f t="shared" si="110"/>
        <v>0</v>
      </c>
      <c r="AB191" s="107">
        <f t="shared" si="110"/>
        <v>0</v>
      </c>
      <c r="AC191" s="107">
        <f t="shared" si="110"/>
        <v>20000000</v>
      </c>
      <c r="AD191" s="107">
        <f t="shared" si="110"/>
        <v>0</v>
      </c>
      <c r="AE191" s="107">
        <f t="shared" si="110"/>
        <v>0</v>
      </c>
      <c r="AF191" s="107">
        <f t="shared" si="110"/>
        <v>20000000</v>
      </c>
    </row>
    <row r="192" spans="1:32" ht="78" customHeight="1" x14ac:dyDescent="0.2">
      <c r="A192" s="353"/>
      <c r="B192" s="356"/>
      <c r="C192" s="289"/>
      <c r="D192" s="290"/>
      <c r="E192" s="272">
        <v>3206</v>
      </c>
      <c r="F192" s="273" t="s">
        <v>206</v>
      </c>
      <c r="G192" s="218" t="s">
        <v>642</v>
      </c>
      <c r="H192" s="135">
        <v>3206014</v>
      </c>
      <c r="I192" s="273" t="s">
        <v>643</v>
      </c>
      <c r="J192" s="218" t="s">
        <v>644</v>
      </c>
      <c r="K192" s="221" t="s">
        <v>645</v>
      </c>
      <c r="L192" s="224" t="s">
        <v>646</v>
      </c>
      <c r="M192" s="218" t="s">
        <v>143</v>
      </c>
      <c r="N192" s="229">
        <v>6000</v>
      </c>
      <c r="O192" s="218">
        <v>50</v>
      </c>
      <c r="P192" s="335" t="s">
        <v>596</v>
      </c>
      <c r="Q192" s="272" t="s">
        <v>647</v>
      </c>
      <c r="R192" s="273" t="s">
        <v>1396</v>
      </c>
      <c r="S192" s="3"/>
      <c r="T192" s="3"/>
      <c r="U192" s="3"/>
      <c r="V192" s="3"/>
      <c r="W192" s="3"/>
      <c r="X192" s="3"/>
      <c r="Y192" s="3"/>
      <c r="Z192" s="3"/>
      <c r="AA192" s="3"/>
      <c r="AB192" s="3"/>
      <c r="AC192" s="150">
        <v>20000000</v>
      </c>
      <c r="AD192" s="150"/>
      <c r="AE192" s="150"/>
      <c r="AF192" s="109">
        <f>+S192+T192+U192+V192+W192+X192+Y192+Z192+AA192+AB192+AC192+AD192+AE192</f>
        <v>20000000</v>
      </c>
    </row>
    <row r="193" spans="1:38" s="176" customFormat="1" ht="15.75" x14ac:dyDescent="0.2">
      <c r="A193" s="357"/>
      <c r="B193" s="358"/>
      <c r="C193" s="358"/>
      <c r="D193" s="359"/>
      <c r="E193" s="360"/>
      <c r="F193" s="360"/>
      <c r="G193" s="361"/>
      <c r="H193" s="361"/>
      <c r="I193" s="362"/>
      <c r="J193" s="363"/>
      <c r="K193" s="363"/>
      <c r="L193" s="362"/>
      <c r="M193" s="361"/>
      <c r="N193" s="361"/>
      <c r="O193" s="363"/>
      <c r="P193" s="361"/>
      <c r="Q193" s="361"/>
      <c r="R193" s="362"/>
      <c r="S193" s="364"/>
      <c r="T193" s="364"/>
      <c r="U193" s="364"/>
      <c r="V193" s="364"/>
      <c r="W193" s="364"/>
      <c r="X193" s="364"/>
      <c r="Y193" s="364"/>
      <c r="Z193" s="364"/>
      <c r="AA193" s="364"/>
      <c r="AB193" s="364"/>
      <c r="AC193" s="365"/>
      <c r="AD193" s="364"/>
      <c r="AE193" s="364"/>
      <c r="AF193" s="434"/>
    </row>
    <row r="194" spans="1:38" ht="22.5" customHeight="1" x14ac:dyDescent="0.2">
      <c r="A194" s="145" t="s">
        <v>648</v>
      </c>
      <c r="B194" s="145"/>
      <c r="C194" s="145"/>
      <c r="D194" s="146"/>
      <c r="E194" s="146"/>
      <c r="F194" s="147"/>
      <c r="G194" s="148"/>
      <c r="H194" s="92"/>
      <c r="I194" s="147"/>
      <c r="J194" s="148"/>
      <c r="K194" s="148"/>
      <c r="L194" s="147"/>
      <c r="M194" s="92"/>
      <c r="N194" s="92"/>
      <c r="O194" s="148"/>
      <c r="P194" s="339"/>
      <c r="Q194" s="148"/>
      <c r="R194" s="147"/>
      <c r="S194" s="124">
        <f>S195</f>
        <v>0</v>
      </c>
      <c r="T194" s="124">
        <f t="shared" ref="T194:AF194" si="111">T195</f>
        <v>0</v>
      </c>
      <c r="U194" s="124">
        <f t="shared" si="111"/>
        <v>0</v>
      </c>
      <c r="V194" s="124">
        <f t="shared" si="111"/>
        <v>0</v>
      </c>
      <c r="W194" s="124">
        <f t="shared" si="111"/>
        <v>0</v>
      </c>
      <c r="X194" s="124">
        <f t="shared" si="111"/>
        <v>0</v>
      </c>
      <c r="Y194" s="124">
        <f t="shared" si="111"/>
        <v>0</v>
      </c>
      <c r="Z194" s="124">
        <f t="shared" si="111"/>
        <v>0</v>
      </c>
      <c r="AA194" s="124">
        <f t="shared" si="111"/>
        <v>0</v>
      </c>
      <c r="AB194" s="124">
        <f t="shared" si="111"/>
        <v>0</v>
      </c>
      <c r="AC194" s="124">
        <f t="shared" si="111"/>
        <v>1291267429</v>
      </c>
      <c r="AD194" s="124">
        <f t="shared" si="111"/>
        <v>0</v>
      </c>
      <c r="AE194" s="124">
        <f t="shared" si="111"/>
        <v>0</v>
      </c>
      <c r="AF194" s="124">
        <f t="shared" si="111"/>
        <v>1291267429</v>
      </c>
      <c r="AG194" s="401"/>
      <c r="AH194" s="401"/>
      <c r="AI194" s="401"/>
      <c r="AJ194" s="401"/>
      <c r="AK194" s="401"/>
      <c r="AL194" s="401"/>
    </row>
    <row r="195" spans="1:38" ht="24" customHeight="1" x14ac:dyDescent="0.2">
      <c r="A195" s="366"/>
      <c r="B195" s="193">
        <v>4</v>
      </c>
      <c r="C195" s="95" t="s">
        <v>46</v>
      </c>
      <c r="D195" s="96"/>
      <c r="E195" s="96"/>
      <c r="F195" s="97"/>
      <c r="G195" s="98"/>
      <c r="H195" s="99"/>
      <c r="I195" s="97"/>
      <c r="J195" s="98"/>
      <c r="K195" s="98"/>
      <c r="L195" s="97"/>
      <c r="M195" s="100"/>
      <c r="N195" s="100"/>
      <c r="O195" s="98"/>
      <c r="P195" s="340"/>
      <c r="Q195" s="98"/>
      <c r="R195" s="97"/>
      <c r="S195" s="101">
        <f>S196+S199</f>
        <v>0</v>
      </c>
      <c r="T195" s="101">
        <f t="shared" ref="T195:AF195" si="112">T196+T199</f>
        <v>0</v>
      </c>
      <c r="U195" s="101">
        <f t="shared" si="112"/>
        <v>0</v>
      </c>
      <c r="V195" s="101">
        <f t="shared" si="112"/>
        <v>0</v>
      </c>
      <c r="W195" s="101">
        <f t="shared" si="112"/>
        <v>0</v>
      </c>
      <c r="X195" s="101">
        <f t="shared" si="112"/>
        <v>0</v>
      </c>
      <c r="Y195" s="101">
        <f t="shared" si="112"/>
        <v>0</v>
      </c>
      <c r="Z195" s="101">
        <f t="shared" si="112"/>
        <v>0</v>
      </c>
      <c r="AA195" s="101">
        <f t="shared" si="112"/>
        <v>0</v>
      </c>
      <c r="AB195" s="101">
        <f t="shared" si="112"/>
        <v>0</v>
      </c>
      <c r="AC195" s="101">
        <f t="shared" si="112"/>
        <v>1291267429</v>
      </c>
      <c r="AD195" s="101">
        <f t="shared" si="112"/>
        <v>0</v>
      </c>
      <c r="AE195" s="101">
        <f t="shared" si="112"/>
        <v>0</v>
      </c>
      <c r="AF195" s="101">
        <f t="shared" si="112"/>
        <v>1291267429</v>
      </c>
    </row>
    <row r="196" spans="1:38" s="94" customFormat="1" ht="21.75" customHeight="1" x14ac:dyDescent="0.25">
      <c r="A196" s="377"/>
      <c r="B196" s="354"/>
      <c r="C196" s="131">
        <v>45</v>
      </c>
      <c r="D196" s="103" t="s">
        <v>47</v>
      </c>
      <c r="E196" s="463" t="s">
        <v>649</v>
      </c>
      <c r="F196" s="463"/>
      <c r="G196" s="463"/>
      <c r="H196" s="463"/>
      <c r="I196" s="463"/>
      <c r="J196" s="106"/>
      <c r="K196" s="106"/>
      <c r="L196" s="275"/>
      <c r="M196" s="105"/>
      <c r="N196" s="105"/>
      <c r="O196" s="106"/>
      <c r="P196" s="338"/>
      <c r="Q196" s="103"/>
      <c r="R196" s="102"/>
      <c r="S196" s="107">
        <f>SUM(S197:S198)</f>
        <v>0</v>
      </c>
      <c r="T196" s="107">
        <f t="shared" ref="T196:AF196" si="113">SUM(T197:T198)</f>
        <v>0</v>
      </c>
      <c r="U196" s="107">
        <f t="shared" si="113"/>
        <v>0</v>
      </c>
      <c r="V196" s="107">
        <f t="shared" si="113"/>
        <v>0</v>
      </c>
      <c r="W196" s="107">
        <f t="shared" si="113"/>
        <v>0</v>
      </c>
      <c r="X196" s="107">
        <f t="shared" si="113"/>
        <v>0</v>
      </c>
      <c r="Y196" s="107">
        <f t="shared" si="113"/>
        <v>0</v>
      </c>
      <c r="Z196" s="107">
        <f t="shared" si="113"/>
        <v>0</v>
      </c>
      <c r="AA196" s="107">
        <f t="shared" si="113"/>
        <v>0</v>
      </c>
      <c r="AB196" s="107">
        <f t="shared" si="113"/>
        <v>0</v>
      </c>
      <c r="AC196" s="107">
        <f t="shared" si="113"/>
        <v>1041267429</v>
      </c>
      <c r="AD196" s="107">
        <f t="shared" si="113"/>
        <v>0</v>
      </c>
      <c r="AE196" s="107">
        <f t="shared" si="113"/>
        <v>0</v>
      </c>
      <c r="AF196" s="107">
        <f t="shared" si="113"/>
        <v>1041267429</v>
      </c>
    </row>
    <row r="197" spans="1:38" ht="113.25" customHeight="1" x14ac:dyDescent="0.2">
      <c r="A197" s="352"/>
      <c r="B197" s="355"/>
      <c r="C197" s="289"/>
      <c r="D197" s="290"/>
      <c r="E197" s="272" t="s">
        <v>47</v>
      </c>
      <c r="F197" s="274" t="s">
        <v>49</v>
      </c>
      <c r="G197" s="220" t="s">
        <v>650</v>
      </c>
      <c r="H197" s="272" t="s">
        <v>47</v>
      </c>
      <c r="I197" s="273" t="s">
        <v>651</v>
      </c>
      <c r="J197" s="220" t="s">
        <v>652</v>
      </c>
      <c r="K197" s="218" t="s">
        <v>47</v>
      </c>
      <c r="L197" s="219" t="s">
        <v>1423</v>
      </c>
      <c r="M197" s="229" t="s">
        <v>53</v>
      </c>
      <c r="N197" s="218">
        <v>1</v>
      </c>
      <c r="O197" s="220">
        <v>1</v>
      </c>
      <c r="P197" s="335" t="s">
        <v>54</v>
      </c>
      <c r="Q197" s="272" t="s">
        <v>653</v>
      </c>
      <c r="R197" s="273" t="s">
        <v>654</v>
      </c>
      <c r="S197" s="3"/>
      <c r="T197" s="3"/>
      <c r="U197" s="3"/>
      <c r="V197" s="3"/>
      <c r="W197" s="3"/>
      <c r="X197" s="3"/>
      <c r="Y197" s="3"/>
      <c r="Z197" s="3"/>
      <c r="AA197" s="3"/>
      <c r="AB197" s="3"/>
      <c r="AC197" s="157">
        <v>255021326</v>
      </c>
      <c r="AD197" s="3"/>
      <c r="AE197" s="3"/>
      <c r="AF197" s="109">
        <f>+S197+T197+U197+V197+W197+X197+Y197+Z197+AA197+AB197+AC197+AD197+AE197</f>
        <v>255021326</v>
      </c>
    </row>
    <row r="198" spans="1:38" ht="71.25" customHeight="1" x14ac:dyDescent="0.2">
      <c r="A198" s="352"/>
      <c r="B198" s="355"/>
      <c r="C198" s="289"/>
      <c r="D198" s="290"/>
      <c r="E198" s="282" t="s">
        <v>47</v>
      </c>
      <c r="F198" s="274" t="s">
        <v>49</v>
      </c>
      <c r="G198" s="220" t="s">
        <v>655</v>
      </c>
      <c r="H198" s="272" t="s">
        <v>47</v>
      </c>
      <c r="I198" s="273" t="s">
        <v>656</v>
      </c>
      <c r="J198" s="220" t="s">
        <v>657</v>
      </c>
      <c r="K198" s="218" t="s">
        <v>47</v>
      </c>
      <c r="L198" s="219" t="s">
        <v>658</v>
      </c>
      <c r="M198" s="229" t="s">
        <v>53</v>
      </c>
      <c r="N198" s="218">
        <v>1</v>
      </c>
      <c r="O198" s="220">
        <v>1</v>
      </c>
      <c r="P198" s="335" t="s">
        <v>54</v>
      </c>
      <c r="Q198" s="272" t="s">
        <v>659</v>
      </c>
      <c r="R198" s="273" t="s">
        <v>660</v>
      </c>
      <c r="S198" s="3"/>
      <c r="T198" s="3"/>
      <c r="U198" s="3"/>
      <c r="V198" s="3"/>
      <c r="W198" s="3"/>
      <c r="X198" s="3"/>
      <c r="Y198" s="3"/>
      <c r="Z198" s="3"/>
      <c r="AA198" s="3"/>
      <c r="AB198" s="3"/>
      <c r="AC198" s="157">
        <f>486246103+300000000</f>
        <v>786246103</v>
      </c>
      <c r="AD198" s="3"/>
      <c r="AE198" s="3"/>
      <c r="AF198" s="109">
        <f>+S198+T198+U198+V198+W198+X198+Y198+Z198+AA198+AB198+AC198+AD198+AE198</f>
        <v>786246103</v>
      </c>
    </row>
    <row r="199" spans="1:38" ht="21" customHeight="1" x14ac:dyDescent="0.2">
      <c r="A199" s="352"/>
      <c r="B199" s="355"/>
      <c r="C199" s="131">
        <v>42</v>
      </c>
      <c r="D199" s="103">
        <v>4502</v>
      </c>
      <c r="E199" s="158" t="s">
        <v>63</v>
      </c>
      <c r="F199" s="102"/>
      <c r="G199" s="103"/>
      <c r="H199" s="104"/>
      <c r="I199" s="102"/>
      <c r="J199" s="103"/>
      <c r="K199" s="103"/>
      <c r="L199" s="102"/>
      <c r="M199" s="105"/>
      <c r="N199" s="105"/>
      <c r="O199" s="103"/>
      <c r="P199" s="338"/>
      <c r="Q199" s="103"/>
      <c r="R199" s="102"/>
      <c r="S199" s="107">
        <f t="shared" ref="S199:AE199" si="114">SUM(S200)</f>
        <v>0</v>
      </c>
      <c r="T199" s="107">
        <f t="shared" si="114"/>
        <v>0</v>
      </c>
      <c r="U199" s="107">
        <f t="shared" si="114"/>
        <v>0</v>
      </c>
      <c r="V199" s="107">
        <f t="shared" si="114"/>
        <v>0</v>
      </c>
      <c r="W199" s="107">
        <f t="shared" si="114"/>
        <v>0</v>
      </c>
      <c r="X199" s="107">
        <f t="shared" si="114"/>
        <v>0</v>
      </c>
      <c r="Y199" s="107">
        <f t="shared" si="114"/>
        <v>0</v>
      </c>
      <c r="Z199" s="107">
        <f t="shared" si="114"/>
        <v>0</v>
      </c>
      <c r="AA199" s="107">
        <f t="shared" si="114"/>
        <v>0</v>
      </c>
      <c r="AB199" s="107">
        <f t="shared" si="114"/>
        <v>0</v>
      </c>
      <c r="AC199" s="107">
        <f t="shared" si="114"/>
        <v>250000000</v>
      </c>
      <c r="AD199" s="107">
        <f t="shared" si="114"/>
        <v>0</v>
      </c>
      <c r="AE199" s="107">
        <f t="shared" si="114"/>
        <v>0</v>
      </c>
      <c r="AF199" s="107">
        <f>SUM(AF200)</f>
        <v>250000000</v>
      </c>
    </row>
    <row r="200" spans="1:38" s="89" customFormat="1" ht="125.25" customHeight="1" x14ac:dyDescent="0.2">
      <c r="A200" s="381"/>
      <c r="B200" s="382"/>
      <c r="C200" s="306"/>
      <c r="D200" s="302"/>
      <c r="E200" s="259">
        <v>4502</v>
      </c>
      <c r="F200" s="159" t="s">
        <v>64</v>
      </c>
      <c r="G200" s="218" t="s">
        <v>661</v>
      </c>
      <c r="H200" s="272" t="s">
        <v>47</v>
      </c>
      <c r="I200" s="274" t="s">
        <v>1397</v>
      </c>
      <c r="J200" s="218" t="s">
        <v>662</v>
      </c>
      <c r="K200" s="218" t="s">
        <v>1365</v>
      </c>
      <c r="L200" s="219" t="s">
        <v>663</v>
      </c>
      <c r="M200" s="230" t="s">
        <v>53</v>
      </c>
      <c r="N200" s="223">
        <v>30</v>
      </c>
      <c r="O200" s="223">
        <v>30</v>
      </c>
      <c r="P200" s="177" t="s">
        <v>69</v>
      </c>
      <c r="Q200" s="160" t="s">
        <v>664</v>
      </c>
      <c r="R200" s="274" t="s">
        <v>665</v>
      </c>
      <c r="S200" s="161"/>
      <c r="T200" s="161"/>
      <c r="U200" s="161"/>
      <c r="V200" s="161"/>
      <c r="W200" s="161"/>
      <c r="X200" s="161"/>
      <c r="Y200" s="161"/>
      <c r="Z200" s="161"/>
      <c r="AA200" s="161"/>
      <c r="AB200" s="161"/>
      <c r="AC200" s="162">
        <v>250000000</v>
      </c>
      <c r="AD200" s="161"/>
      <c r="AE200" s="114"/>
      <c r="AF200" s="109">
        <f>+S200+T200+U200+V200+W200+X200+Y200+Z200+AA200+AB200+AC200+AD200+AE200</f>
        <v>250000000</v>
      </c>
    </row>
    <row r="201" spans="1:38" s="176" customFormat="1" ht="15.75" x14ac:dyDescent="0.2">
      <c r="A201" s="357"/>
      <c r="B201" s="358"/>
      <c r="C201" s="358"/>
      <c r="D201" s="359"/>
      <c r="E201" s="360"/>
      <c r="F201" s="360"/>
      <c r="G201" s="361"/>
      <c r="H201" s="361"/>
      <c r="I201" s="362"/>
      <c r="J201" s="363"/>
      <c r="K201" s="363"/>
      <c r="L201" s="362"/>
      <c r="M201" s="361"/>
      <c r="N201" s="361"/>
      <c r="O201" s="363"/>
      <c r="P201" s="361"/>
      <c r="Q201" s="361"/>
      <c r="R201" s="362"/>
      <c r="S201" s="364"/>
      <c r="T201" s="364"/>
      <c r="U201" s="364"/>
      <c r="V201" s="364"/>
      <c r="W201" s="364"/>
      <c r="X201" s="364"/>
      <c r="Y201" s="364"/>
      <c r="Z201" s="364"/>
      <c r="AA201" s="364"/>
      <c r="AB201" s="364"/>
      <c r="AC201" s="365"/>
      <c r="AD201" s="364"/>
      <c r="AE201" s="364"/>
      <c r="AF201" s="434"/>
    </row>
    <row r="202" spans="1:38" ht="15.75" x14ac:dyDescent="0.2">
      <c r="A202" s="145" t="s">
        <v>666</v>
      </c>
      <c r="B202" s="145"/>
      <c r="C202" s="145"/>
      <c r="D202" s="146"/>
      <c r="E202" s="146"/>
      <c r="F202" s="147"/>
      <c r="G202" s="148"/>
      <c r="H202" s="92"/>
      <c r="I202" s="147"/>
      <c r="J202" s="148"/>
      <c r="K202" s="148"/>
      <c r="L202" s="147"/>
      <c r="M202" s="92"/>
      <c r="N202" s="92"/>
      <c r="O202" s="148"/>
      <c r="P202" s="146"/>
      <c r="Q202" s="148"/>
      <c r="R202" s="147"/>
      <c r="S202" s="124">
        <f t="shared" ref="S202:AE202" si="115">S203</f>
        <v>0</v>
      </c>
      <c r="T202" s="124">
        <f t="shared" si="115"/>
        <v>0</v>
      </c>
      <c r="U202" s="124">
        <f t="shared" si="115"/>
        <v>0</v>
      </c>
      <c r="V202" s="124">
        <f t="shared" si="115"/>
        <v>2849173512.6999998</v>
      </c>
      <c r="W202" s="124">
        <f t="shared" si="115"/>
        <v>0</v>
      </c>
      <c r="X202" s="124">
        <f t="shared" si="115"/>
        <v>0</v>
      </c>
      <c r="Y202" s="124">
        <f t="shared" si="115"/>
        <v>134989913515.46001</v>
      </c>
      <c r="Z202" s="124">
        <f t="shared" si="115"/>
        <v>23500000000</v>
      </c>
      <c r="AA202" s="124">
        <f t="shared" si="115"/>
        <v>13759826753.450001</v>
      </c>
      <c r="AB202" s="124">
        <f t="shared" si="115"/>
        <v>0</v>
      </c>
      <c r="AC202" s="124">
        <f t="shared" si="115"/>
        <v>3959547493.3100004</v>
      </c>
      <c r="AD202" s="124">
        <f t="shared" si="115"/>
        <v>83149.960000000006</v>
      </c>
      <c r="AE202" s="124">
        <f t="shared" si="115"/>
        <v>0</v>
      </c>
      <c r="AF202" s="124">
        <f t="shared" ref="AF202" si="116">AF203</f>
        <v>179058544424.88</v>
      </c>
      <c r="AG202" s="401"/>
      <c r="AH202" s="401"/>
      <c r="AI202" s="401"/>
      <c r="AJ202" s="401"/>
      <c r="AK202" s="401"/>
      <c r="AL202" s="401"/>
    </row>
    <row r="203" spans="1:38" ht="15.75" x14ac:dyDescent="0.2">
      <c r="A203" s="366"/>
      <c r="B203" s="193">
        <v>1</v>
      </c>
      <c r="C203" s="95" t="s">
        <v>1</v>
      </c>
      <c r="D203" s="96"/>
      <c r="E203" s="96"/>
      <c r="F203" s="97"/>
      <c r="G203" s="98"/>
      <c r="H203" s="99"/>
      <c r="I203" s="97"/>
      <c r="J203" s="98"/>
      <c r="K203" s="98"/>
      <c r="L203" s="97"/>
      <c r="M203" s="100"/>
      <c r="N203" s="100"/>
      <c r="O203" s="98"/>
      <c r="P203" s="96"/>
      <c r="Q203" s="98"/>
      <c r="R203" s="97"/>
      <c r="S203" s="101">
        <f t="shared" ref="S203:AE203" si="117">S204+S226</f>
        <v>0</v>
      </c>
      <c r="T203" s="101">
        <f t="shared" si="117"/>
        <v>0</v>
      </c>
      <c r="U203" s="101">
        <f t="shared" si="117"/>
        <v>0</v>
      </c>
      <c r="V203" s="101">
        <f t="shared" si="117"/>
        <v>2849173512.6999998</v>
      </c>
      <c r="W203" s="101">
        <f t="shared" si="117"/>
        <v>0</v>
      </c>
      <c r="X203" s="101">
        <f t="shared" si="117"/>
        <v>0</v>
      </c>
      <c r="Y203" s="101">
        <f t="shared" si="117"/>
        <v>134989913515.46001</v>
      </c>
      <c r="Z203" s="101">
        <f t="shared" si="117"/>
        <v>23500000000</v>
      </c>
      <c r="AA203" s="101">
        <f t="shared" si="117"/>
        <v>13759826753.450001</v>
      </c>
      <c r="AB203" s="101">
        <f t="shared" si="117"/>
        <v>0</v>
      </c>
      <c r="AC203" s="101">
        <f t="shared" si="117"/>
        <v>3959547493.3100004</v>
      </c>
      <c r="AD203" s="101">
        <f t="shared" si="117"/>
        <v>83149.960000000006</v>
      </c>
      <c r="AE203" s="101">
        <f t="shared" si="117"/>
        <v>0</v>
      </c>
      <c r="AF203" s="101">
        <f>AF204+AF226</f>
        <v>179058544424.88</v>
      </c>
    </row>
    <row r="204" spans="1:38" ht="15.75" x14ac:dyDescent="0.2">
      <c r="A204" s="352"/>
      <c r="B204" s="354"/>
      <c r="C204" s="275">
        <v>15</v>
      </c>
      <c r="D204" s="106">
        <v>2201</v>
      </c>
      <c r="E204" s="158" t="s">
        <v>155</v>
      </c>
      <c r="F204" s="102"/>
      <c r="G204" s="103"/>
      <c r="H204" s="104"/>
      <c r="I204" s="102"/>
      <c r="J204" s="103"/>
      <c r="K204" s="103"/>
      <c r="L204" s="102"/>
      <c r="M204" s="105"/>
      <c r="N204" s="105"/>
      <c r="O204" s="103"/>
      <c r="P204" s="106"/>
      <c r="Q204" s="103"/>
      <c r="R204" s="102"/>
      <c r="S204" s="107">
        <f t="shared" ref="S204:AE204" si="118">SUM(S205:S225)</f>
        <v>0</v>
      </c>
      <c r="T204" s="107">
        <f t="shared" si="118"/>
        <v>0</v>
      </c>
      <c r="U204" s="107">
        <f t="shared" si="118"/>
        <v>0</v>
      </c>
      <c r="V204" s="107">
        <f t="shared" si="118"/>
        <v>2759173512.6999998</v>
      </c>
      <c r="W204" s="107">
        <f t="shared" si="118"/>
        <v>0</v>
      </c>
      <c r="X204" s="107">
        <f t="shared" si="118"/>
        <v>0</v>
      </c>
      <c r="Y204" s="107">
        <f t="shared" si="118"/>
        <v>134989913515.46001</v>
      </c>
      <c r="Z204" s="107">
        <f t="shared" si="118"/>
        <v>23500000000</v>
      </c>
      <c r="AA204" s="107">
        <f t="shared" si="118"/>
        <v>13759826753.450001</v>
      </c>
      <c r="AB204" s="107">
        <f t="shared" si="118"/>
        <v>0</v>
      </c>
      <c r="AC204" s="107">
        <f t="shared" si="118"/>
        <v>3805708993.3100004</v>
      </c>
      <c r="AD204" s="107">
        <f t="shared" si="118"/>
        <v>83149.960000000006</v>
      </c>
      <c r="AE204" s="107">
        <f t="shared" si="118"/>
        <v>0</v>
      </c>
      <c r="AF204" s="107">
        <f>SUM(AF205:AF225)</f>
        <v>178814705924.88</v>
      </c>
    </row>
    <row r="205" spans="1:38" ht="80.25" customHeight="1" x14ac:dyDescent="0.2">
      <c r="A205" s="352"/>
      <c r="B205" s="355"/>
      <c r="C205" s="289"/>
      <c r="D205" s="290"/>
      <c r="E205" s="272">
        <v>2201</v>
      </c>
      <c r="F205" s="273" t="s">
        <v>667</v>
      </c>
      <c r="G205" s="277" t="s">
        <v>668</v>
      </c>
      <c r="H205" s="272">
        <v>2201033</v>
      </c>
      <c r="I205" s="273" t="s">
        <v>669</v>
      </c>
      <c r="J205" s="277" t="s">
        <v>670</v>
      </c>
      <c r="K205" s="231">
        <v>220103300</v>
      </c>
      <c r="L205" s="224" t="s">
        <v>671</v>
      </c>
      <c r="M205" s="218" t="s">
        <v>143</v>
      </c>
      <c r="N205" s="218">
        <v>36000</v>
      </c>
      <c r="O205" s="218">
        <v>9000</v>
      </c>
      <c r="P205" s="460" t="s">
        <v>162</v>
      </c>
      <c r="Q205" s="441" t="s">
        <v>672</v>
      </c>
      <c r="R205" s="442" t="s">
        <v>673</v>
      </c>
      <c r="S205" s="3"/>
      <c r="T205" s="3"/>
      <c r="U205" s="3"/>
      <c r="V205" s="3">
        <f>2349543380-59954338+259954557.96</f>
        <v>2549543599.96</v>
      </c>
      <c r="W205" s="3"/>
      <c r="X205" s="3"/>
      <c r="Y205" s="3"/>
      <c r="Z205" s="3"/>
      <c r="AA205" s="3"/>
      <c r="AB205" s="3"/>
      <c r="AC205" s="309">
        <f>1140000000+130863000+400000000+182906493.22+1283000000</f>
        <v>3136769493.2200003</v>
      </c>
      <c r="AD205" s="3"/>
      <c r="AE205" s="3"/>
      <c r="AF205" s="109">
        <f t="shared" ref="AF205:AF220" si="119">+S205+T205+U205+V205+W205+X205+Y205+Z205+AA205+AB205+AC205+AD205+AE205</f>
        <v>5686313093.1800003</v>
      </c>
    </row>
    <row r="206" spans="1:38" s="138" customFormat="1" ht="97.5" customHeight="1" x14ac:dyDescent="0.2">
      <c r="A206" s="370"/>
      <c r="B206" s="412"/>
      <c r="C206" s="413"/>
      <c r="D206" s="271"/>
      <c r="E206" s="415">
        <v>2201</v>
      </c>
      <c r="F206" s="414" t="s">
        <v>674</v>
      </c>
      <c r="G206" s="415" t="s">
        <v>675</v>
      </c>
      <c r="H206" s="415">
        <v>2201028</v>
      </c>
      <c r="I206" s="414" t="s">
        <v>676</v>
      </c>
      <c r="J206" s="415" t="s">
        <v>677</v>
      </c>
      <c r="K206" s="231">
        <v>220102801</v>
      </c>
      <c r="L206" s="414" t="s">
        <v>678</v>
      </c>
      <c r="M206" s="223" t="s">
        <v>53</v>
      </c>
      <c r="N206" s="223">
        <v>36000</v>
      </c>
      <c r="O206" s="223">
        <v>36000</v>
      </c>
      <c r="P206" s="460"/>
      <c r="Q206" s="441"/>
      <c r="R206" s="442"/>
      <c r="S206" s="3"/>
      <c r="T206" s="3"/>
      <c r="U206" s="3"/>
      <c r="V206" s="294">
        <f>0+35173966.04</f>
        <v>35173966.039999999</v>
      </c>
      <c r="W206" s="3"/>
      <c r="X206" s="3"/>
      <c r="Y206" s="3">
        <v>394351422</v>
      </c>
      <c r="Z206" s="430"/>
      <c r="AA206" s="20">
        <f>12150000000-50000000+73030541.87+9572546.01+1577223665.57</f>
        <v>13759826753.450001</v>
      </c>
      <c r="AB206" s="3"/>
      <c r="AC206" s="20">
        <v>286000000</v>
      </c>
      <c r="AD206" s="20">
        <v>83149.960000000006</v>
      </c>
      <c r="AE206" s="3"/>
      <c r="AF206" s="137">
        <f t="shared" si="119"/>
        <v>14475435291.450001</v>
      </c>
    </row>
    <row r="207" spans="1:38" ht="133.5" customHeight="1" x14ac:dyDescent="0.2">
      <c r="A207" s="352"/>
      <c r="B207" s="355"/>
      <c r="C207" s="289"/>
      <c r="D207" s="290"/>
      <c r="E207" s="272">
        <v>2201</v>
      </c>
      <c r="F207" s="273" t="s">
        <v>679</v>
      </c>
      <c r="G207" s="277" t="s">
        <v>680</v>
      </c>
      <c r="H207" s="272">
        <v>2201055</v>
      </c>
      <c r="I207" s="273" t="s">
        <v>681</v>
      </c>
      <c r="J207" s="277" t="s">
        <v>682</v>
      </c>
      <c r="K207" s="231">
        <v>220105500</v>
      </c>
      <c r="L207" s="224" t="s">
        <v>683</v>
      </c>
      <c r="M207" s="218" t="s">
        <v>53</v>
      </c>
      <c r="N207" s="218">
        <v>1</v>
      </c>
      <c r="O207" s="218">
        <v>1</v>
      </c>
      <c r="P207" s="460" t="s">
        <v>162</v>
      </c>
      <c r="Q207" s="441" t="s">
        <v>684</v>
      </c>
      <c r="R207" s="442" t="s">
        <v>685</v>
      </c>
      <c r="S207" s="3"/>
      <c r="T207" s="3"/>
      <c r="U207" s="3"/>
      <c r="V207" s="3"/>
      <c r="W207" s="3"/>
      <c r="X207" s="3"/>
      <c r="Y207" s="3">
        <v>52000000</v>
      </c>
      <c r="Z207" s="3"/>
      <c r="AA207" s="3"/>
      <c r="AB207" s="3"/>
      <c r="AC207" s="9">
        <v>0</v>
      </c>
      <c r="AD207" s="3"/>
      <c r="AE207" s="3"/>
      <c r="AF207" s="109">
        <f t="shared" si="119"/>
        <v>52000000</v>
      </c>
    </row>
    <row r="208" spans="1:38" s="89" customFormat="1" ht="95.25" customHeight="1" x14ac:dyDescent="0.2">
      <c r="A208" s="376"/>
      <c r="B208" s="378"/>
      <c r="C208" s="306"/>
      <c r="D208" s="302"/>
      <c r="E208" s="160">
        <v>2201</v>
      </c>
      <c r="F208" s="159" t="s">
        <v>686</v>
      </c>
      <c r="G208" s="266" t="s">
        <v>687</v>
      </c>
      <c r="H208" s="160">
        <v>2201030</v>
      </c>
      <c r="I208" s="159" t="s">
        <v>688</v>
      </c>
      <c r="J208" s="266" t="s">
        <v>689</v>
      </c>
      <c r="K208" s="287">
        <v>220103000</v>
      </c>
      <c r="L208" s="261" t="s">
        <v>690</v>
      </c>
      <c r="M208" s="251" t="s">
        <v>53</v>
      </c>
      <c r="N208" s="251">
        <v>2500</v>
      </c>
      <c r="O208" s="251">
        <v>2500</v>
      </c>
      <c r="P208" s="460"/>
      <c r="Q208" s="441"/>
      <c r="R208" s="442"/>
      <c r="S208" s="263"/>
      <c r="T208" s="263"/>
      <c r="U208" s="263"/>
      <c r="V208" s="263"/>
      <c r="W208" s="263"/>
      <c r="X208" s="263"/>
      <c r="Y208" s="288">
        <v>1580000000</v>
      </c>
      <c r="Z208" s="263"/>
      <c r="AA208" s="263"/>
      <c r="AB208" s="263"/>
      <c r="AC208" s="283"/>
      <c r="AD208" s="263"/>
      <c r="AE208" s="263"/>
      <c r="AF208" s="216">
        <f t="shared" si="119"/>
        <v>1580000000</v>
      </c>
    </row>
    <row r="209" spans="1:32" ht="74.25" customHeight="1" x14ac:dyDescent="0.2">
      <c r="A209" s="352"/>
      <c r="B209" s="355"/>
      <c r="C209" s="289"/>
      <c r="D209" s="290"/>
      <c r="E209" s="272">
        <v>2201</v>
      </c>
      <c r="F209" s="274" t="s">
        <v>1425</v>
      </c>
      <c r="G209" s="272" t="s">
        <v>692</v>
      </c>
      <c r="H209" s="272">
        <v>2201071</v>
      </c>
      <c r="I209" s="273" t="s">
        <v>693</v>
      </c>
      <c r="J209" s="272" t="s">
        <v>694</v>
      </c>
      <c r="K209" s="231">
        <v>220107100</v>
      </c>
      <c r="L209" s="273" t="s">
        <v>695</v>
      </c>
      <c r="M209" s="218" t="s">
        <v>53</v>
      </c>
      <c r="N209" s="218">
        <v>54</v>
      </c>
      <c r="O209" s="218">
        <v>54</v>
      </c>
      <c r="P209" s="323" t="s">
        <v>162</v>
      </c>
      <c r="Q209" s="272" t="s">
        <v>696</v>
      </c>
      <c r="R209" s="273" t="s">
        <v>8</v>
      </c>
      <c r="S209" s="3"/>
      <c r="T209" s="3"/>
      <c r="U209" s="3"/>
      <c r="V209" s="3"/>
      <c r="W209" s="3"/>
      <c r="X209" s="3"/>
      <c r="Y209" s="3">
        <f>128238000000+30000000+50000000+103135464.94</f>
        <v>128421135464.94</v>
      </c>
      <c r="Z209" s="20">
        <f>16500000000+7000000000</f>
        <v>23500000000</v>
      </c>
      <c r="AA209" s="3"/>
      <c r="AB209" s="3"/>
      <c r="AC209" s="9"/>
      <c r="AD209" s="3"/>
      <c r="AE209" s="3"/>
      <c r="AF209" s="109">
        <f t="shared" si="119"/>
        <v>151921135464.94</v>
      </c>
    </row>
    <row r="210" spans="1:32" ht="80.25" customHeight="1" x14ac:dyDescent="0.2">
      <c r="A210" s="352"/>
      <c r="B210" s="355"/>
      <c r="C210" s="289"/>
      <c r="D210" s="290"/>
      <c r="E210" s="272">
        <v>2201</v>
      </c>
      <c r="F210" s="274" t="s">
        <v>691</v>
      </c>
      <c r="G210" s="272" t="s">
        <v>692</v>
      </c>
      <c r="H210" s="272">
        <v>2201071</v>
      </c>
      <c r="I210" s="17" t="s">
        <v>693</v>
      </c>
      <c r="J210" s="272" t="s">
        <v>694</v>
      </c>
      <c r="K210" s="231">
        <v>220107100</v>
      </c>
      <c r="L210" s="273" t="s">
        <v>695</v>
      </c>
      <c r="M210" s="218" t="s">
        <v>53</v>
      </c>
      <c r="N210" s="218">
        <v>54</v>
      </c>
      <c r="O210" s="218">
        <v>54</v>
      </c>
      <c r="P210" s="323" t="s">
        <v>162</v>
      </c>
      <c r="Q210" s="272" t="s">
        <v>697</v>
      </c>
      <c r="R210" s="273" t="s">
        <v>698</v>
      </c>
      <c r="S210" s="163"/>
      <c r="T210" s="163"/>
      <c r="U210" s="163"/>
      <c r="V210" s="163"/>
      <c r="W210" s="163"/>
      <c r="X210" s="163"/>
      <c r="Y210" s="18">
        <v>3762000000</v>
      </c>
      <c r="Z210" s="164"/>
      <c r="AA210" s="163"/>
      <c r="AB210" s="163"/>
      <c r="AC210" s="9"/>
      <c r="AD210" s="163"/>
      <c r="AE210" s="163"/>
      <c r="AF210" s="109">
        <f t="shared" si="119"/>
        <v>3762000000</v>
      </c>
    </row>
    <row r="211" spans="1:32" ht="101.25" customHeight="1" x14ac:dyDescent="0.2">
      <c r="A211" s="352"/>
      <c r="B211" s="355"/>
      <c r="C211" s="289"/>
      <c r="D211" s="290"/>
      <c r="E211" s="272">
        <v>2201</v>
      </c>
      <c r="F211" s="274" t="s">
        <v>699</v>
      </c>
      <c r="G211" s="218" t="s">
        <v>700</v>
      </c>
      <c r="H211" s="272">
        <v>2201006</v>
      </c>
      <c r="I211" s="273" t="s">
        <v>701</v>
      </c>
      <c r="J211" s="218" t="s">
        <v>702</v>
      </c>
      <c r="K211" s="231">
        <v>220100600</v>
      </c>
      <c r="L211" s="224" t="s">
        <v>703</v>
      </c>
      <c r="M211" s="218" t="s">
        <v>53</v>
      </c>
      <c r="N211" s="218">
        <v>54</v>
      </c>
      <c r="O211" s="218">
        <v>54</v>
      </c>
      <c r="P211" s="462" t="s">
        <v>162</v>
      </c>
      <c r="Q211" s="441" t="s">
        <v>704</v>
      </c>
      <c r="R211" s="442" t="s">
        <v>705</v>
      </c>
      <c r="S211" s="3"/>
      <c r="T211" s="3"/>
      <c r="U211" s="3"/>
      <c r="V211" s="3"/>
      <c r="W211" s="3"/>
      <c r="X211" s="3"/>
      <c r="Y211" s="3"/>
      <c r="Z211" s="3"/>
      <c r="AA211" s="3"/>
      <c r="AB211" s="3"/>
      <c r="AC211" s="283">
        <v>88560000</v>
      </c>
      <c r="AD211" s="3"/>
      <c r="AE211" s="3"/>
      <c r="AF211" s="216">
        <f t="shared" si="119"/>
        <v>88560000</v>
      </c>
    </row>
    <row r="212" spans="1:32" ht="64.5" customHeight="1" x14ac:dyDescent="0.2">
      <c r="A212" s="352"/>
      <c r="B212" s="355"/>
      <c r="C212" s="289"/>
      <c r="D212" s="290"/>
      <c r="E212" s="272">
        <v>2201</v>
      </c>
      <c r="F212" s="274" t="s">
        <v>667</v>
      </c>
      <c r="G212" s="160" t="s">
        <v>668</v>
      </c>
      <c r="H212" s="272">
        <v>2201033</v>
      </c>
      <c r="I212" s="273" t="s">
        <v>669</v>
      </c>
      <c r="J212" s="272" t="s">
        <v>670</v>
      </c>
      <c r="K212" s="272">
        <v>220103300</v>
      </c>
      <c r="L212" s="273" t="s">
        <v>671</v>
      </c>
      <c r="M212" s="218" t="s">
        <v>143</v>
      </c>
      <c r="N212" s="218">
        <v>36000</v>
      </c>
      <c r="O212" s="218">
        <v>9000</v>
      </c>
      <c r="P212" s="462"/>
      <c r="Q212" s="441"/>
      <c r="R212" s="442"/>
      <c r="S212" s="3"/>
      <c r="T212" s="3"/>
      <c r="U212" s="3"/>
      <c r="V212" s="3"/>
      <c r="W212" s="3"/>
      <c r="X212" s="3"/>
      <c r="Y212" s="3">
        <v>25000000</v>
      </c>
      <c r="Z212" s="3"/>
      <c r="AA212" s="3"/>
      <c r="AB212" s="3"/>
      <c r="AC212" s="9"/>
      <c r="AD212" s="3"/>
      <c r="AE212" s="3"/>
      <c r="AF212" s="109">
        <f t="shared" si="119"/>
        <v>25000000</v>
      </c>
    </row>
    <row r="213" spans="1:32" s="89" customFormat="1" ht="139.5" customHeight="1" x14ac:dyDescent="0.2">
      <c r="A213" s="376"/>
      <c r="B213" s="378"/>
      <c r="C213" s="306"/>
      <c r="D213" s="302"/>
      <c r="E213" s="160">
        <v>2201</v>
      </c>
      <c r="F213" s="254" t="s">
        <v>1364</v>
      </c>
      <c r="G213" s="266" t="s">
        <v>271</v>
      </c>
      <c r="H213" s="160">
        <v>2201068</v>
      </c>
      <c r="I213" s="159" t="s">
        <v>272</v>
      </c>
      <c r="J213" s="266" t="s">
        <v>273</v>
      </c>
      <c r="K213" s="287">
        <v>220106800</v>
      </c>
      <c r="L213" s="261" t="s">
        <v>274</v>
      </c>
      <c r="M213" s="160" t="s">
        <v>143</v>
      </c>
      <c r="N213" s="160">
        <v>266</v>
      </c>
      <c r="O213" s="160">
        <v>48</v>
      </c>
      <c r="P213" s="462"/>
      <c r="Q213" s="441"/>
      <c r="R213" s="442"/>
      <c r="S213" s="263"/>
      <c r="T213" s="263"/>
      <c r="U213" s="263"/>
      <c r="V213" s="263"/>
      <c r="W213" s="263"/>
      <c r="X213" s="263"/>
      <c r="Y213" s="263"/>
      <c r="Z213" s="263"/>
      <c r="AA213" s="263"/>
      <c r="AB213" s="263"/>
      <c r="AC213" s="283">
        <f>35000000-8222000+8000000</f>
        <v>34778000</v>
      </c>
      <c r="AD213" s="263"/>
      <c r="AE213" s="263"/>
      <c r="AF213" s="216">
        <f t="shared" si="119"/>
        <v>34778000</v>
      </c>
    </row>
    <row r="214" spans="1:32" ht="102" customHeight="1" x14ac:dyDescent="0.2">
      <c r="A214" s="352"/>
      <c r="B214" s="355"/>
      <c r="C214" s="289"/>
      <c r="D214" s="290"/>
      <c r="E214" s="272">
        <v>2201</v>
      </c>
      <c r="F214" s="274" t="s">
        <v>674</v>
      </c>
      <c r="G214" s="272" t="s">
        <v>706</v>
      </c>
      <c r="H214" s="272">
        <v>2201046</v>
      </c>
      <c r="I214" s="273" t="s">
        <v>707</v>
      </c>
      <c r="J214" s="272" t="s">
        <v>708</v>
      </c>
      <c r="K214" s="231">
        <v>220104602</v>
      </c>
      <c r="L214" s="273" t="s">
        <v>709</v>
      </c>
      <c r="M214" s="218" t="s">
        <v>143</v>
      </c>
      <c r="N214" s="218">
        <v>54</v>
      </c>
      <c r="O214" s="218">
        <v>5</v>
      </c>
      <c r="P214" s="462"/>
      <c r="Q214" s="441"/>
      <c r="R214" s="442"/>
      <c r="S214" s="3"/>
      <c r="T214" s="3"/>
      <c r="U214" s="3"/>
      <c r="V214" s="165"/>
      <c r="W214" s="3"/>
      <c r="X214" s="3"/>
      <c r="Y214" s="3"/>
      <c r="Z214" s="3"/>
      <c r="AA214" s="3"/>
      <c r="AB214" s="3"/>
      <c r="AC214" s="9">
        <f>10000000+5000000-9600000</f>
        <v>5400000</v>
      </c>
      <c r="AD214" s="3"/>
      <c r="AE214" s="3"/>
      <c r="AF214" s="109">
        <f t="shared" si="119"/>
        <v>5400000</v>
      </c>
    </row>
    <row r="215" spans="1:32" ht="92.25" customHeight="1" x14ac:dyDescent="0.2">
      <c r="A215" s="352"/>
      <c r="B215" s="355"/>
      <c r="C215" s="289"/>
      <c r="D215" s="290"/>
      <c r="E215" s="272">
        <v>2201</v>
      </c>
      <c r="F215" s="273" t="s">
        <v>157</v>
      </c>
      <c r="G215" s="272" t="s">
        <v>158</v>
      </c>
      <c r="H215" s="272" t="s">
        <v>47</v>
      </c>
      <c r="I215" s="273" t="s">
        <v>159</v>
      </c>
      <c r="J215" s="272" t="s">
        <v>160</v>
      </c>
      <c r="K215" s="272" t="s">
        <v>1365</v>
      </c>
      <c r="L215" s="273" t="s">
        <v>161</v>
      </c>
      <c r="M215" s="272" t="s">
        <v>143</v>
      </c>
      <c r="N215" s="272">
        <v>54</v>
      </c>
      <c r="O215" s="272">
        <v>9</v>
      </c>
      <c r="P215" s="462"/>
      <c r="Q215" s="441"/>
      <c r="R215" s="442"/>
      <c r="S215" s="3"/>
      <c r="T215" s="3"/>
      <c r="U215" s="3"/>
      <c r="V215" s="19"/>
      <c r="W215" s="3"/>
      <c r="X215" s="3"/>
      <c r="Y215" s="3">
        <v>12426628.52</v>
      </c>
      <c r="Z215" s="3"/>
      <c r="AA215" s="3"/>
      <c r="AB215" s="3"/>
      <c r="AC215" s="9">
        <f>20000000+5000000</f>
        <v>25000000</v>
      </c>
      <c r="AD215" s="3"/>
      <c r="AE215" s="3"/>
      <c r="AF215" s="109">
        <f t="shared" si="119"/>
        <v>37426628.519999996</v>
      </c>
    </row>
    <row r="216" spans="1:32" ht="112.5" customHeight="1" x14ac:dyDescent="0.2">
      <c r="A216" s="352"/>
      <c r="B216" s="355"/>
      <c r="C216" s="289"/>
      <c r="D216" s="290"/>
      <c r="E216" s="272">
        <v>2201</v>
      </c>
      <c r="F216" s="274" t="s">
        <v>710</v>
      </c>
      <c r="G216" s="272">
        <v>15.8</v>
      </c>
      <c r="H216" s="272">
        <v>2201026</v>
      </c>
      <c r="I216" s="273" t="s">
        <v>711</v>
      </c>
      <c r="J216" s="272" t="s">
        <v>712</v>
      </c>
      <c r="K216" s="231">
        <v>220102600</v>
      </c>
      <c r="L216" s="273" t="s">
        <v>713</v>
      </c>
      <c r="M216" s="218" t="s">
        <v>143</v>
      </c>
      <c r="N216" s="218">
        <v>54</v>
      </c>
      <c r="O216" s="218">
        <v>5</v>
      </c>
      <c r="P216" s="462"/>
      <c r="Q216" s="441"/>
      <c r="R216" s="442"/>
      <c r="S216" s="3"/>
      <c r="T216" s="3"/>
      <c r="U216" s="3"/>
      <c r="V216" s="3">
        <v>174455946.69999999</v>
      </c>
      <c r="W216" s="3"/>
      <c r="X216" s="3"/>
      <c r="Y216" s="3">
        <v>43000000</v>
      </c>
      <c r="Z216" s="3"/>
      <c r="AA216" s="3"/>
      <c r="AB216" s="3"/>
      <c r="AC216" s="9">
        <v>63201500.090000004</v>
      </c>
      <c r="AD216" s="3"/>
      <c r="AE216" s="3"/>
      <c r="AF216" s="216">
        <f t="shared" si="119"/>
        <v>280657446.78999996</v>
      </c>
    </row>
    <row r="217" spans="1:32" ht="100.5" customHeight="1" x14ac:dyDescent="0.2">
      <c r="A217" s="352"/>
      <c r="B217" s="355"/>
      <c r="C217" s="289"/>
      <c r="D217" s="290"/>
      <c r="E217" s="272">
        <v>2201</v>
      </c>
      <c r="F217" s="274" t="s">
        <v>699</v>
      </c>
      <c r="G217" s="251" t="s">
        <v>700</v>
      </c>
      <c r="H217" s="272">
        <v>2201006</v>
      </c>
      <c r="I217" s="273" t="s">
        <v>701</v>
      </c>
      <c r="J217" s="218" t="s">
        <v>702</v>
      </c>
      <c r="K217" s="231">
        <v>220100600</v>
      </c>
      <c r="L217" s="224" t="s">
        <v>703</v>
      </c>
      <c r="M217" s="218" t="s">
        <v>53</v>
      </c>
      <c r="N217" s="218">
        <v>54</v>
      </c>
      <c r="O217" s="218">
        <v>54</v>
      </c>
      <c r="P217" s="323" t="s">
        <v>162</v>
      </c>
      <c r="Q217" s="272" t="s">
        <v>714</v>
      </c>
      <c r="R217" s="273" t="s">
        <v>715</v>
      </c>
      <c r="S217" s="3"/>
      <c r="T217" s="3"/>
      <c r="U217" s="3"/>
      <c r="V217" s="3"/>
      <c r="W217" s="3"/>
      <c r="X217" s="3"/>
      <c r="Y217" s="18"/>
      <c r="Z217" s="3"/>
      <c r="AA217" s="3"/>
      <c r="AB217" s="3"/>
      <c r="AC217" s="9">
        <v>20000000</v>
      </c>
      <c r="AD217" s="3"/>
      <c r="AE217" s="3"/>
      <c r="AF217" s="109">
        <f t="shared" si="119"/>
        <v>20000000</v>
      </c>
    </row>
    <row r="218" spans="1:32" s="116" customFormat="1" ht="108" customHeight="1" x14ac:dyDescent="0.25">
      <c r="A218" s="374"/>
      <c r="B218" s="355"/>
      <c r="C218" s="289"/>
      <c r="D218" s="290"/>
      <c r="E218" s="272">
        <v>2201</v>
      </c>
      <c r="F218" s="274" t="s">
        <v>674</v>
      </c>
      <c r="G218" s="160" t="s">
        <v>706</v>
      </c>
      <c r="H218" s="272">
        <v>2201046</v>
      </c>
      <c r="I218" s="273" t="s">
        <v>707</v>
      </c>
      <c r="J218" s="272" t="s">
        <v>708</v>
      </c>
      <c r="K218" s="231">
        <v>220104602</v>
      </c>
      <c r="L218" s="273" t="s">
        <v>709</v>
      </c>
      <c r="M218" s="218" t="s">
        <v>143</v>
      </c>
      <c r="N218" s="218">
        <v>54</v>
      </c>
      <c r="O218" s="218">
        <v>5</v>
      </c>
      <c r="P218" s="323" t="s">
        <v>162</v>
      </c>
      <c r="Q218" s="272" t="s">
        <v>716</v>
      </c>
      <c r="R218" s="273" t="s">
        <v>717</v>
      </c>
      <c r="S218" s="3"/>
      <c r="T218" s="3"/>
      <c r="U218" s="3"/>
      <c r="V218" s="3"/>
      <c r="W218" s="3"/>
      <c r="X218" s="3"/>
      <c r="Y218" s="21"/>
      <c r="Z218" s="21"/>
      <c r="AA218" s="3"/>
      <c r="AB218" s="3"/>
      <c r="AC218" s="9">
        <v>76000000</v>
      </c>
      <c r="AD218" s="3"/>
      <c r="AE218" s="3"/>
      <c r="AF218" s="109">
        <f t="shared" si="119"/>
        <v>76000000</v>
      </c>
    </row>
    <row r="219" spans="1:32" ht="85.5" customHeight="1" x14ac:dyDescent="0.2">
      <c r="A219" s="352"/>
      <c r="B219" s="355"/>
      <c r="C219" s="289"/>
      <c r="D219" s="290"/>
      <c r="E219" s="272">
        <v>2201</v>
      </c>
      <c r="F219" s="274" t="s">
        <v>718</v>
      </c>
      <c r="G219" s="277" t="s">
        <v>719</v>
      </c>
      <c r="H219" s="272">
        <v>2201037</v>
      </c>
      <c r="I219" s="273" t="s">
        <v>720</v>
      </c>
      <c r="J219" s="277" t="s">
        <v>721</v>
      </c>
      <c r="K219" s="231">
        <v>220103700</v>
      </c>
      <c r="L219" s="224" t="s">
        <v>722</v>
      </c>
      <c r="M219" s="218" t="s">
        <v>53</v>
      </c>
      <c r="N219" s="218">
        <v>54</v>
      </c>
      <c r="O219" s="218">
        <v>54</v>
      </c>
      <c r="P219" s="323" t="s">
        <v>162</v>
      </c>
      <c r="Q219" s="272" t="s">
        <v>723</v>
      </c>
      <c r="R219" s="273" t="s">
        <v>724</v>
      </c>
      <c r="S219" s="3"/>
      <c r="T219" s="3"/>
      <c r="U219" s="3"/>
      <c r="V219" s="3"/>
      <c r="W219" s="3"/>
      <c r="X219" s="3"/>
      <c r="Y219" s="3"/>
      <c r="Z219" s="3"/>
      <c r="AA219" s="3"/>
      <c r="AB219" s="3"/>
      <c r="AC219" s="20">
        <f>25000000-5000000+20000000</f>
        <v>40000000</v>
      </c>
      <c r="AD219" s="3"/>
      <c r="AE219" s="3"/>
      <c r="AF219" s="109">
        <f t="shared" si="119"/>
        <v>40000000</v>
      </c>
    </row>
    <row r="220" spans="1:32" ht="63" customHeight="1" x14ac:dyDescent="0.2">
      <c r="A220" s="352"/>
      <c r="B220" s="355"/>
      <c r="C220" s="289"/>
      <c r="D220" s="290"/>
      <c r="E220" s="272">
        <v>2201</v>
      </c>
      <c r="F220" s="448" t="s">
        <v>674</v>
      </c>
      <c r="G220" s="467" t="s">
        <v>725</v>
      </c>
      <c r="H220" s="441">
        <v>2201050</v>
      </c>
      <c r="I220" s="448" t="s">
        <v>726</v>
      </c>
      <c r="J220" s="277" t="s">
        <v>727</v>
      </c>
      <c r="K220" s="231">
        <v>220105001</v>
      </c>
      <c r="L220" s="224" t="s">
        <v>728</v>
      </c>
      <c r="M220" s="218" t="s">
        <v>53</v>
      </c>
      <c r="N220" s="218">
        <v>150</v>
      </c>
      <c r="O220" s="218">
        <v>150</v>
      </c>
      <c r="P220" s="323" t="s">
        <v>162</v>
      </c>
      <c r="Q220" s="468" t="s">
        <v>729</v>
      </c>
      <c r="R220" s="442" t="s">
        <v>730</v>
      </c>
      <c r="S220" s="3"/>
      <c r="T220" s="3"/>
      <c r="U220" s="3"/>
      <c r="V220" s="3"/>
      <c r="W220" s="3"/>
      <c r="X220" s="3"/>
      <c r="Y220" s="310">
        <v>700000000</v>
      </c>
      <c r="Z220" s="3"/>
      <c r="AA220" s="3"/>
      <c r="AB220" s="3"/>
      <c r="AC220" s="20"/>
      <c r="AD220" s="3"/>
      <c r="AE220" s="3"/>
      <c r="AF220" s="109">
        <f t="shared" si="119"/>
        <v>700000000</v>
      </c>
    </row>
    <row r="221" spans="1:32" s="138" customFormat="1" ht="90.75" customHeight="1" x14ac:dyDescent="0.2">
      <c r="A221" s="370"/>
      <c r="B221" s="412"/>
      <c r="C221" s="413"/>
      <c r="D221" s="271"/>
      <c r="E221" s="415">
        <v>2201</v>
      </c>
      <c r="F221" s="448"/>
      <c r="G221" s="467"/>
      <c r="H221" s="441"/>
      <c r="I221" s="448"/>
      <c r="J221" s="431" t="s">
        <v>731</v>
      </c>
      <c r="K221" s="231">
        <v>220105000</v>
      </c>
      <c r="L221" s="228" t="s">
        <v>732</v>
      </c>
      <c r="M221" s="223" t="s">
        <v>143</v>
      </c>
      <c r="N221" s="223">
        <v>33000</v>
      </c>
      <c r="O221" s="223">
        <v>10000</v>
      </c>
      <c r="P221" s="228" t="s">
        <v>162</v>
      </c>
      <c r="Q221" s="468"/>
      <c r="R221" s="442"/>
      <c r="S221" s="3"/>
      <c r="T221" s="3"/>
      <c r="U221" s="3"/>
      <c r="V221" s="3"/>
      <c r="W221" s="3"/>
      <c r="X221" s="3"/>
      <c r="Y221" s="432"/>
      <c r="Z221" s="3"/>
      <c r="AA221" s="3"/>
      <c r="AB221" s="3"/>
      <c r="AC221" s="20"/>
      <c r="AD221" s="3"/>
      <c r="AE221" s="3"/>
      <c r="AF221" s="137"/>
    </row>
    <row r="222" spans="1:32" ht="63.75" customHeight="1" x14ac:dyDescent="0.2">
      <c r="A222" s="352"/>
      <c r="B222" s="355"/>
      <c r="C222" s="289"/>
      <c r="D222" s="290"/>
      <c r="E222" s="272">
        <v>2201</v>
      </c>
      <c r="F222" s="274" t="s">
        <v>733</v>
      </c>
      <c r="G222" s="277" t="s">
        <v>734</v>
      </c>
      <c r="H222" s="272">
        <v>2201034</v>
      </c>
      <c r="I222" s="273" t="s">
        <v>1426</v>
      </c>
      <c r="J222" s="277" t="s">
        <v>735</v>
      </c>
      <c r="K222" s="231">
        <v>220103400</v>
      </c>
      <c r="L222" s="224" t="s">
        <v>736</v>
      </c>
      <c r="M222" s="218" t="s">
        <v>143</v>
      </c>
      <c r="N222" s="218">
        <v>15000</v>
      </c>
      <c r="O222" s="218">
        <v>100</v>
      </c>
      <c r="P222" s="460" t="s">
        <v>162</v>
      </c>
      <c r="Q222" s="441" t="s">
        <v>737</v>
      </c>
      <c r="R222" s="442" t="s">
        <v>738</v>
      </c>
      <c r="S222" s="3"/>
      <c r="T222" s="3"/>
      <c r="U222" s="3"/>
      <c r="V222" s="3"/>
      <c r="W222" s="3"/>
      <c r="X222" s="3"/>
      <c r="Y222" s="3"/>
      <c r="Z222" s="3"/>
      <c r="AA222" s="3"/>
      <c r="AB222" s="3"/>
      <c r="AC222" s="311">
        <f>15000000-10000000</f>
        <v>5000000</v>
      </c>
      <c r="AD222" s="3"/>
      <c r="AE222" s="3"/>
      <c r="AF222" s="109">
        <f>+S222+T222+U222+V222+W222+X222+Y222+Z222+AA222+AB222+AC222+AD222+AE222</f>
        <v>5000000</v>
      </c>
    </row>
    <row r="223" spans="1:32" ht="88.5" customHeight="1" x14ac:dyDescent="0.2">
      <c r="A223" s="352"/>
      <c r="B223" s="355"/>
      <c r="C223" s="289"/>
      <c r="D223" s="290"/>
      <c r="E223" s="272">
        <v>2201</v>
      </c>
      <c r="F223" s="274" t="s">
        <v>733</v>
      </c>
      <c r="G223" s="277" t="s">
        <v>734</v>
      </c>
      <c r="H223" s="272">
        <v>2201034</v>
      </c>
      <c r="I223" s="273" t="s">
        <v>1426</v>
      </c>
      <c r="J223" s="277" t="s">
        <v>739</v>
      </c>
      <c r="K223" s="231">
        <v>220103401</v>
      </c>
      <c r="L223" s="228" t="s">
        <v>740</v>
      </c>
      <c r="M223" s="223" t="s">
        <v>53</v>
      </c>
      <c r="N223" s="223">
        <v>54</v>
      </c>
      <c r="O223" s="223">
        <v>54</v>
      </c>
      <c r="P223" s="460"/>
      <c r="Q223" s="441"/>
      <c r="R223" s="442"/>
      <c r="S223" s="3"/>
      <c r="T223" s="3"/>
      <c r="U223" s="3"/>
      <c r="V223" s="3"/>
      <c r="W223" s="3"/>
      <c r="X223" s="3"/>
      <c r="Y223" s="3"/>
      <c r="Z223" s="3"/>
      <c r="AA223" s="3"/>
      <c r="AB223" s="3"/>
      <c r="AC223" s="311">
        <v>10000000</v>
      </c>
      <c r="AD223" s="263"/>
      <c r="AE223" s="3"/>
      <c r="AF223" s="109">
        <f>+S223+T223+U223+V223+W223+X223+Y223+Z223+AA223+AB223+AC223+AD223+AE223</f>
        <v>10000000</v>
      </c>
    </row>
    <row r="224" spans="1:32" ht="61.5" customHeight="1" x14ac:dyDescent="0.2">
      <c r="A224" s="352"/>
      <c r="B224" s="355"/>
      <c r="C224" s="289"/>
      <c r="D224" s="290"/>
      <c r="E224" s="272">
        <v>2201</v>
      </c>
      <c r="F224" s="274" t="s">
        <v>733</v>
      </c>
      <c r="G224" s="272" t="s">
        <v>741</v>
      </c>
      <c r="H224" s="272">
        <v>2201060</v>
      </c>
      <c r="I224" s="273" t="s">
        <v>742</v>
      </c>
      <c r="J224" s="272" t="s">
        <v>743</v>
      </c>
      <c r="K224" s="231">
        <v>220106000</v>
      </c>
      <c r="L224" s="273" t="s">
        <v>744</v>
      </c>
      <c r="M224" s="218" t="s">
        <v>143</v>
      </c>
      <c r="N224" s="218">
        <v>500</v>
      </c>
      <c r="O224" s="218">
        <v>50</v>
      </c>
      <c r="P224" s="460"/>
      <c r="Q224" s="441"/>
      <c r="R224" s="442"/>
      <c r="S224" s="3"/>
      <c r="T224" s="3"/>
      <c r="U224" s="3"/>
      <c r="V224" s="3"/>
      <c r="W224" s="3"/>
      <c r="X224" s="3"/>
      <c r="Y224" s="3"/>
      <c r="Z224" s="3"/>
      <c r="AA224" s="3"/>
      <c r="AB224" s="3"/>
      <c r="AC224" s="20">
        <v>5000000</v>
      </c>
      <c r="AD224" s="3"/>
      <c r="AE224" s="3"/>
      <c r="AF224" s="109">
        <f>+S224+T224+U224+V224+W224+X224+Y224+Z224+AA224+AB224+AC224+AD224+AE224</f>
        <v>5000000</v>
      </c>
    </row>
    <row r="225" spans="1:38" ht="118.5" customHeight="1" x14ac:dyDescent="0.2">
      <c r="A225" s="352"/>
      <c r="B225" s="355"/>
      <c r="C225" s="289"/>
      <c r="D225" s="290"/>
      <c r="E225" s="272">
        <v>2201</v>
      </c>
      <c r="F225" s="274" t="s">
        <v>699</v>
      </c>
      <c r="G225" s="272" t="s">
        <v>745</v>
      </c>
      <c r="H225" s="272">
        <v>2201015</v>
      </c>
      <c r="I225" s="273" t="s">
        <v>746</v>
      </c>
      <c r="J225" s="272" t="s">
        <v>747</v>
      </c>
      <c r="K225" s="135">
        <v>220101500</v>
      </c>
      <c r="L225" s="273" t="s">
        <v>748</v>
      </c>
      <c r="M225" s="218" t="s">
        <v>53</v>
      </c>
      <c r="N225" s="218">
        <v>11</v>
      </c>
      <c r="O225" s="218">
        <v>11</v>
      </c>
      <c r="P225" s="323" t="s">
        <v>162</v>
      </c>
      <c r="Q225" s="272" t="s">
        <v>749</v>
      </c>
      <c r="R225" s="273" t="s">
        <v>1398</v>
      </c>
      <c r="S225" s="3"/>
      <c r="T225" s="3"/>
      <c r="U225" s="3"/>
      <c r="V225" s="3"/>
      <c r="W225" s="3"/>
      <c r="X225" s="3"/>
      <c r="Y225" s="3"/>
      <c r="Z225" s="3"/>
      <c r="AA225" s="3"/>
      <c r="AB225" s="3"/>
      <c r="AC225" s="20">
        <v>10000000</v>
      </c>
      <c r="AD225" s="3"/>
      <c r="AE225" s="3"/>
      <c r="AF225" s="109">
        <f>+S225+T225+U225+V225+W225+X225+Y225+Z225+AA225+AB225+AC225+AD225+AE225</f>
        <v>10000000</v>
      </c>
    </row>
    <row r="226" spans="1:38" ht="27" customHeight="1" x14ac:dyDescent="0.2">
      <c r="A226" s="352"/>
      <c r="B226" s="355"/>
      <c r="C226" s="131">
        <v>44</v>
      </c>
      <c r="D226" s="103" t="s">
        <v>47</v>
      </c>
      <c r="E226" s="275" t="s">
        <v>750</v>
      </c>
      <c r="F226" s="102"/>
      <c r="G226" s="103"/>
      <c r="H226" s="104"/>
      <c r="I226" s="102"/>
      <c r="J226" s="103"/>
      <c r="K226" s="103"/>
      <c r="L226" s="102"/>
      <c r="M226" s="105"/>
      <c r="N226" s="105"/>
      <c r="O226" s="103"/>
      <c r="P226" s="338"/>
      <c r="Q226" s="103"/>
      <c r="R226" s="102"/>
      <c r="S226" s="107">
        <f t="shared" ref="S226:AF226" si="120">SUM(S227:S228)</f>
        <v>0</v>
      </c>
      <c r="T226" s="107">
        <f t="shared" si="120"/>
        <v>0</v>
      </c>
      <c r="U226" s="107">
        <f t="shared" si="120"/>
        <v>0</v>
      </c>
      <c r="V226" s="107">
        <f t="shared" si="120"/>
        <v>90000000</v>
      </c>
      <c r="W226" s="107">
        <f t="shared" si="120"/>
        <v>0</v>
      </c>
      <c r="X226" s="107">
        <f t="shared" si="120"/>
        <v>0</v>
      </c>
      <c r="Y226" s="107">
        <f t="shared" si="120"/>
        <v>0</v>
      </c>
      <c r="Z226" s="107">
        <f t="shared" si="120"/>
        <v>0</v>
      </c>
      <c r="AA226" s="107">
        <f t="shared" si="120"/>
        <v>0</v>
      </c>
      <c r="AB226" s="107">
        <f t="shared" si="120"/>
        <v>0</v>
      </c>
      <c r="AC226" s="107">
        <f t="shared" si="120"/>
        <v>153838500</v>
      </c>
      <c r="AD226" s="107">
        <f t="shared" si="120"/>
        <v>0</v>
      </c>
      <c r="AE226" s="107">
        <f t="shared" si="120"/>
        <v>0</v>
      </c>
      <c r="AF226" s="107">
        <f t="shared" si="120"/>
        <v>243838500</v>
      </c>
    </row>
    <row r="227" spans="1:38" s="116" customFormat="1" ht="99.75" customHeight="1" x14ac:dyDescent="0.25">
      <c r="A227" s="374"/>
      <c r="B227" s="355"/>
      <c r="C227" s="289"/>
      <c r="D227" s="290"/>
      <c r="E227" s="272" t="s">
        <v>47</v>
      </c>
      <c r="F227" s="274" t="s">
        <v>751</v>
      </c>
      <c r="G227" s="272" t="s">
        <v>752</v>
      </c>
      <c r="H227" s="272" t="s">
        <v>47</v>
      </c>
      <c r="I227" s="273" t="s">
        <v>753</v>
      </c>
      <c r="J227" s="272" t="s">
        <v>754</v>
      </c>
      <c r="K227" s="272" t="s">
        <v>47</v>
      </c>
      <c r="L227" s="273" t="s">
        <v>755</v>
      </c>
      <c r="M227" s="218" t="s">
        <v>53</v>
      </c>
      <c r="N227" s="218">
        <v>1</v>
      </c>
      <c r="O227" s="218">
        <v>1</v>
      </c>
      <c r="P227" s="323" t="s">
        <v>162</v>
      </c>
      <c r="Q227" s="272" t="s">
        <v>716</v>
      </c>
      <c r="R227" s="273" t="s">
        <v>756</v>
      </c>
      <c r="S227" s="3"/>
      <c r="T227" s="3"/>
      <c r="U227" s="3"/>
      <c r="V227" s="3">
        <v>40000000</v>
      </c>
      <c r="W227" s="3"/>
      <c r="X227" s="3"/>
      <c r="Y227" s="21"/>
      <c r="Z227" s="21"/>
      <c r="AA227" s="3"/>
      <c r="AB227" s="3"/>
      <c r="AC227" s="9">
        <f>126778000-76778000-46161500</f>
        <v>3838500</v>
      </c>
      <c r="AD227" s="3"/>
      <c r="AE227" s="3"/>
      <c r="AF227" s="109">
        <f>+S227+T227+U227+V227+W227+X227+Y227+Z227+AA227+AB227+AC227+AD227+AE227</f>
        <v>43838500</v>
      </c>
    </row>
    <row r="228" spans="1:38" s="116" customFormat="1" ht="111" customHeight="1" x14ac:dyDescent="0.25">
      <c r="A228" s="372"/>
      <c r="B228" s="356"/>
      <c r="C228" s="289"/>
      <c r="D228" s="290"/>
      <c r="E228" s="272" t="s">
        <v>47</v>
      </c>
      <c r="F228" s="274" t="s">
        <v>751</v>
      </c>
      <c r="G228" s="218" t="s">
        <v>752</v>
      </c>
      <c r="H228" s="272" t="s">
        <v>47</v>
      </c>
      <c r="I228" s="273" t="s">
        <v>753</v>
      </c>
      <c r="J228" s="218" t="s">
        <v>754</v>
      </c>
      <c r="K228" s="225" t="s">
        <v>47</v>
      </c>
      <c r="L228" s="224" t="s">
        <v>755</v>
      </c>
      <c r="M228" s="272" t="s">
        <v>53</v>
      </c>
      <c r="N228" s="272">
        <v>1</v>
      </c>
      <c r="O228" s="135">
        <v>1</v>
      </c>
      <c r="P228" s="323" t="s">
        <v>162</v>
      </c>
      <c r="Q228" s="167" t="s">
        <v>757</v>
      </c>
      <c r="R228" s="273" t="s">
        <v>1399</v>
      </c>
      <c r="S228" s="3"/>
      <c r="T228" s="3"/>
      <c r="U228" s="3"/>
      <c r="V228" s="3">
        <v>50000000</v>
      </c>
      <c r="W228" s="3"/>
      <c r="X228" s="3"/>
      <c r="Y228" s="21"/>
      <c r="Z228" s="21"/>
      <c r="AA228" s="3"/>
      <c r="AB228" s="3"/>
      <c r="AC228" s="9">
        <f>145000000+5000000</f>
        <v>150000000</v>
      </c>
      <c r="AD228" s="3"/>
      <c r="AE228" s="3"/>
      <c r="AF228" s="109">
        <f>+S228+T228+U228+V228+W228+X228+Y228+Z228+AA228+AB228+AC228+AD228+AE228</f>
        <v>200000000</v>
      </c>
    </row>
    <row r="229" spans="1:38" s="176" customFormat="1" ht="15.75" x14ac:dyDescent="0.2">
      <c r="A229" s="357"/>
      <c r="B229" s="358"/>
      <c r="C229" s="358"/>
      <c r="D229" s="359"/>
      <c r="E229" s="360"/>
      <c r="F229" s="360"/>
      <c r="G229" s="361"/>
      <c r="H229" s="361"/>
      <c r="I229" s="362"/>
      <c r="J229" s="363"/>
      <c r="K229" s="363"/>
      <c r="L229" s="362"/>
      <c r="M229" s="361"/>
      <c r="N229" s="361"/>
      <c r="O229" s="363"/>
      <c r="P229" s="361"/>
      <c r="Q229" s="361"/>
      <c r="R229" s="362"/>
      <c r="S229" s="364"/>
      <c r="T229" s="364"/>
      <c r="U229" s="364"/>
      <c r="V229" s="364"/>
      <c r="W229" s="364"/>
      <c r="X229" s="364"/>
      <c r="Y229" s="364"/>
      <c r="Z229" s="364"/>
      <c r="AA229" s="364"/>
      <c r="AB229" s="364"/>
      <c r="AC229" s="365"/>
      <c r="AD229" s="364"/>
      <c r="AE229" s="364"/>
      <c r="AF229" s="434"/>
    </row>
    <row r="230" spans="1:38" s="115" customFormat="1" ht="15.75" x14ac:dyDescent="0.2">
      <c r="A230" s="145" t="s">
        <v>759</v>
      </c>
      <c r="B230" s="145"/>
      <c r="C230" s="145"/>
      <c r="D230" s="146"/>
      <c r="E230" s="146"/>
      <c r="F230" s="147"/>
      <c r="G230" s="148"/>
      <c r="H230" s="92"/>
      <c r="I230" s="147"/>
      <c r="J230" s="148"/>
      <c r="K230" s="148"/>
      <c r="L230" s="147"/>
      <c r="M230" s="92"/>
      <c r="N230" s="92"/>
      <c r="O230" s="148"/>
      <c r="P230" s="339"/>
      <c r="Q230" s="148"/>
      <c r="R230" s="147"/>
      <c r="S230" s="124">
        <f t="shared" ref="S230:AF230" si="121">S231+S267+S270</f>
        <v>4262727592.3899999</v>
      </c>
      <c r="T230" s="124">
        <f t="shared" si="121"/>
        <v>0</v>
      </c>
      <c r="U230" s="124">
        <f t="shared" si="121"/>
        <v>0</v>
      </c>
      <c r="V230" s="124">
        <f t="shared" si="121"/>
        <v>0</v>
      </c>
      <c r="W230" s="124">
        <f t="shared" si="121"/>
        <v>0</v>
      </c>
      <c r="X230" s="124">
        <f t="shared" si="121"/>
        <v>0</v>
      </c>
      <c r="Y230" s="124">
        <f t="shared" si="121"/>
        <v>0</v>
      </c>
      <c r="Z230" s="124">
        <f t="shared" si="121"/>
        <v>0</v>
      </c>
      <c r="AA230" s="124">
        <f t="shared" si="121"/>
        <v>0</v>
      </c>
      <c r="AB230" s="124">
        <f t="shared" si="121"/>
        <v>0</v>
      </c>
      <c r="AC230" s="124">
        <f t="shared" si="121"/>
        <v>1481047309</v>
      </c>
      <c r="AD230" s="124">
        <f t="shared" si="121"/>
        <v>0</v>
      </c>
      <c r="AE230" s="124">
        <f t="shared" si="121"/>
        <v>0</v>
      </c>
      <c r="AF230" s="124">
        <f t="shared" si="121"/>
        <v>5743774901.3899994</v>
      </c>
      <c r="AG230" s="401"/>
      <c r="AH230" s="401"/>
      <c r="AI230" s="401"/>
      <c r="AJ230" s="401"/>
      <c r="AK230" s="401"/>
      <c r="AL230" s="401"/>
    </row>
    <row r="231" spans="1:38" s="115" customFormat="1" ht="19.5" customHeight="1" x14ac:dyDescent="0.2">
      <c r="A231" s="383"/>
      <c r="B231" s="193">
        <v>1</v>
      </c>
      <c r="C231" s="95" t="s">
        <v>760</v>
      </c>
      <c r="D231" s="96"/>
      <c r="E231" s="96"/>
      <c r="F231" s="97"/>
      <c r="G231" s="98"/>
      <c r="H231" s="99"/>
      <c r="I231" s="97"/>
      <c r="J231" s="98"/>
      <c r="K231" s="98"/>
      <c r="L231" s="97"/>
      <c r="M231" s="100"/>
      <c r="N231" s="100"/>
      <c r="O231" s="98"/>
      <c r="P231" s="340"/>
      <c r="Q231" s="98"/>
      <c r="R231" s="97"/>
      <c r="S231" s="101">
        <f t="shared" ref="S231:AF231" si="122">+S232+S235+S237+S246+S254+S264</f>
        <v>4262727592.3899999</v>
      </c>
      <c r="T231" s="101">
        <f t="shared" si="122"/>
        <v>0</v>
      </c>
      <c r="U231" s="101">
        <f t="shared" si="122"/>
        <v>0</v>
      </c>
      <c r="V231" s="101">
        <f t="shared" si="122"/>
        <v>0</v>
      </c>
      <c r="W231" s="101">
        <f t="shared" si="122"/>
        <v>0</v>
      </c>
      <c r="X231" s="101">
        <f t="shared" si="122"/>
        <v>0</v>
      </c>
      <c r="Y231" s="101">
        <f t="shared" si="122"/>
        <v>0</v>
      </c>
      <c r="Z231" s="101">
        <f t="shared" si="122"/>
        <v>0</v>
      </c>
      <c r="AA231" s="101">
        <f t="shared" si="122"/>
        <v>0</v>
      </c>
      <c r="AB231" s="101">
        <f t="shared" si="122"/>
        <v>0</v>
      </c>
      <c r="AC231" s="101">
        <f t="shared" si="122"/>
        <v>1441047309</v>
      </c>
      <c r="AD231" s="101">
        <f t="shared" si="122"/>
        <v>0</v>
      </c>
      <c r="AE231" s="101">
        <f t="shared" si="122"/>
        <v>0</v>
      </c>
      <c r="AF231" s="101">
        <f t="shared" si="122"/>
        <v>5703774901.3899994</v>
      </c>
    </row>
    <row r="232" spans="1:38" s="115" customFormat="1" ht="23.25" customHeight="1" x14ac:dyDescent="0.2">
      <c r="A232" s="367"/>
      <c r="B232" s="354"/>
      <c r="C232" s="131">
        <v>12</v>
      </c>
      <c r="D232" s="103">
        <v>1905</v>
      </c>
      <c r="E232" s="312" t="s">
        <v>761</v>
      </c>
      <c r="F232" s="102"/>
      <c r="G232" s="103"/>
      <c r="H232" s="104"/>
      <c r="I232" s="102"/>
      <c r="J232" s="103"/>
      <c r="K232" s="103"/>
      <c r="L232" s="102"/>
      <c r="M232" s="105"/>
      <c r="N232" s="105"/>
      <c r="O232" s="103"/>
      <c r="P232" s="338"/>
      <c r="Q232" s="103"/>
      <c r="R232" s="102"/>
      <c r="S232" s="23">
        <f t="shared" ref="S232:AE232" si="123">SUM(S233:S234)</f>
        <v>0</v>
      </c>
      <c r="T232" s="23">
        <f t="shared" si="123"/>
        <v>0</v>
      </c>
      <c r="U232" s="23">
        <f t="shared" si="123"/>
        <v>0</v>
      </c>
      <c r="V232" s="23">
        <f t="shared" si="123"/>
        <v>0</v>
      </c>
      <c r="W232" s="23">
        <f t="shared" si="123"/>
        <v>0</v>
      </c>
      <c r="X232" s="23">
        <f t="shared" si="123"/>
        <v>0</v>
      </c>
      <c r="Y232" s="23">
        <f t="shared" si="123"/>
        <v>0</v>
      </c>
      <c r="Z232" s="23">
        <f t="shared" si="123"/>
        <v>0</v>
      </c>
      <c r="AA232" s="23">
        <f t="shared" si="123"/>
        <v>0</v>
      </c>
      <c r="AB232" s="23">
        <f t="shared" si="123"/>
        <v>0</v>
      </c>
      <c r="AC232" s="23">
        <f t="shared" si="123"/>
        <v>54477635</v>
      </c>
      <c r="AD232" s="23">
        <f t="shared" si="123"/>
        <v>0</v>
      </c>
      <c r="AE232" s="23">
        <f t="shared" si="123"/>
        <v>0</v>
      </c>
      <c r="AF232" s="23">
        <f>SUM(AF233:AF234)</f>
        <v>54477635</v>
      </c>
    </row>
    <row r="233" spans="1:38" s="115" customFormat="1" ht="237.75" customHeight="1" x14ac:dyDescent="0.2">
      <c r="A233" s="367"/>
      <c r="B233" s="355"/>
      <c r="C233" s="291"/>
      <c r="D233" s="272"/>
      <c r="E233" s="282">
        <v>1905</v>
      </c>
      <c r="F233" s="273" t="s">
        <v>762</v>
      </c>
      <c r="G233" s="160" t="s">
        <v>763</v>
      </c>
      <c r="H233" s="135">
        <v>1905021</v>
      </c>
      <c r="I233" s="273" t="s">
        <v>764</v>
      </c>
      <c r="J233" s="272" t="s">
        <v>765</v>
      </c>
      <c r="K233" s="135">
        <v>190502100</v>
      </c>
      <c r="L233" s="273" t="s">
        <v>766</v>
      </c>
      <c r="M233" s="218" t="s">
        <v>53</v>
      </c>
      <c r="N233" s="218">
        <v>12</v>
      </c>
      <c r="O233" s="218">
        <v>12</v>
      </c>
      <c r="P233" s="442" t="s">
        <v>152</v>
      </c>
      <c r="Q233" s="441" t="s">
        <v>767</v>
      </c>
      <c r="R233" s="461" t="s">
        <v>768</v>
      </c>
      <c r="S233" s="3"/>
      <c r="T233" s="3"/>
      <c r="U233" s="3"/>
      <c r="V233" s="3"/>
      <c r="W233" s="3"/>
      <c r="X233" s="3"/>
      <c r="Y233" s="3"/>
      <c r="Z233" s="3"/>
      <c r="AA233" s="3"/>
      <c r="AB233" s="3"/>
      <c r="AC233" s="9">
        <f>25000000+10000000</f>
        <v>35000000</v>
      </c>
      <c r="AD233" s="3"/>
      <c r="AE233" s="3"/>
      <c r="AF233" s="109">
        <f>+S233+T233+U233+V233+W233+X233+Y233+Z233+AA233+AB233+AC233+AD233+AE233</f>
        <v>35000000</v>
      </c>
    </row>
    <row r="234" spans="1:38" s="115" customFormat="1" ht="177" customHeight="1" x14ac:dyDescent="0.2">
      <c r="A234" s="367"/>
      <c r="B234" s="355"/>
      <c r="C234" s="291"/>
      <c r="D234" s="272"/>
      <c r="E234" s="282">
        <v>1905</v>
      </c>
      <c r="F234" s="273" t="s">
        <v>1432</v>
      </c>
      <c r="G234" s="251" t="s">
        <v>769</v>
      </c>
      <c r="H234" s="171">
        <v>1905022</v>
      </c>
      <c r="I234" s="172" t="s">
        <v>770</v>
      </c>
      <c r="J234" s="218" t="s">
        <v>771</v>
      </c>
      <c r="K234" s="218">
        <v>190502200</v>
      </c>
      <c r="L234" s="224" t="s">
        <v>772</v>
      </c>
      <c r="M234" s="218" t="s">
        <v>53</v>
      </c>
      <c r="N234" s="218">
        <v>12</v>
      </c>
      <c r="O234" s="218">
        <v>12</v>
      </c>
      <c r="P234" s="442"/>
      <c r="Q234" s="441"/>
      <c r="R234" s="461"/>
      <c r="S234" s="3"/>
      <c r="T234" s="3"/>
      <c r="U234" s="3"/>
      <c r="V234" s="3"/>
      <c r="W234" s="3"/>
      <c r="X234" s="3"/>
      <c r="Y234" s="3"/>
      <c r="Z234" s="3"/>
      <c r="AA234" s="3"/>
      <c r="AB234" s="3"/>
      <c r="AC234" s="283">
        <f>29477635-10000000</f>
        <v>19477635</v>
      </c>
      <c r="AD234" s="3"/>
      <c r="AE234" s="3"/>
      <c r="AF234" s="109">
        <f>+S234+T234+U234+V234+W234+X234+Y234+Z234+AA234+AB234+AC234+AD234+AE234</f>
        <v>19477635</v>
      </c>
    </row>
    <row r="235" spans="1:38" s="115" customFormat="1" ht="15.75" customHeight="1" x14ac:dyDescent="0.2">
      <c r="A235" s="367"/>
      <c r="B235" s="355"/>
      <c r="C235" s="131">
        <v>25</v>
      </c>
      <c r="D235" s="103">
        <v>3301</v>
      </c>
      <c r="E235" s="275" t="s">
        <v>165</v>
      </c>
      <c r="F235" s="102"/>
      <c r="G235" s="103"/>
      <c r="H235" s="104"/>
      <c r="I235" s="102"/>
      <c r="J235" s="103"/>
      <c r="K235" s="103"/>
      <c r="L235" s="102"/>
      <c r="M235" s="313"/>
      <c r="N235" s="313"/>
      <c r="O235" s="103"/>
      <c r="P235" s="338"/>
      <c r="Q235" s="103"/>
      <c r="R235" s="102"/>
      <c r="S235" s="23">
        <f t="shared" ref="S235:AF235" si="124">SUM(S236)</f>
        <v>0</v>
      </c>
      <c r="T235" s="23">
        <f t="shared" si="124"/>
        <v>0</v>
      </c>
      <c r="U235" s="23">
        <f t="shared" si="124"/>
        <v>0</v>
      </c>
      <c r="V235" s="23">
        <f t="shared" si="124"/>
        <v>0</v>
      </c>
      <c r="W235" s="23">
        <f t="shared" si="124"/>
        <v>0</v>
      </c>
      <c r="X235" s="23">
        <f t="shared" si="124"/>
        <v>0</v>
      </c>
      <c r="Y235" s="23">
        <f t="shared" si="124"/>
        <v>0</v>
      </c>
      <c r="Z235" s="23">
        <f t="shared" si="124"/>
        <v>0</v>
      </c>
      <c r="AA235" s="23">
        <f t="shared" si="124"/>
        <v>0</v>
      </c>
      <c r="AB235" s="23">
        <f t="shared" si="124"/>
        <v>0</v>
      </c>
      <c r="AC235" s="23">
        <f t="shared" si="124"/>
        <v>47000000</v>
      </c>
      <c r="AD235" s="23">
        <f t="shared" si="124"/>
        <v>0</v>
      </c>
      <c r="AE235" s="23">
        <f t="shared" si="124"/>
        <v>0</v>
      </c>
      <c r="AF235" s="23">
        <f t="shared" si="124"/>
        <v>47000000</v>
      </c>
    </row>
    <row r="236" spans="1:38" s="115" customFormat="1" ht="65.25" customHeight="1" x14ac:dyDescent="0.2">
      <c r="A236" s="367"/>
      <c r="B236" s="355"/>
      <c r="C236" s="291"/>
      <c r="D236" s="272"/>
      <c r="E236" s="282">
        <v>3301</v>
      </c>
      <c r="F236" s="273" t="s">
        <v>1431</v>
      </c>
      <c r="G236" s="160" t="s">
        <v>773</v>
      </c>
      <c r="H236" s="135">
        <v>3301051</v>
      </c>
      <c r="I236" s="273" t="s">
        <v>774</v>
      </c>
      <c r="J236" s="272" t="s">
        <v>775</v>
      </c>
      <c r="K236" s="135">
        <v>330105110</v>
      </c>
      <c r="L236" s="273" t="s">
        <v>776</v>
      </c>
      <c r="M236" s="218" t="s">
        <v>143</v>
      </c>
      <c r="N236" s="218">
        <v>1000</v>
      </c>
      <c r="O236" s="218">
        <v>50</v>
      </c>
      <c r="P236" s="335" t="s">
        <v>172</v>
      </c>
      <c r="Q236" s="272" t="s">
        <v>777</v>
      </c>
      <c r="R236" s="273" t="s">
        <v>778</v>
      </c>
      <c r="S236" s="3"/>
      <c r="T236" s="3"/>
      <c r="U236" s="3"/>
      <c r="V236" s="3"/>
      <c r="W236" s="3"/>
      <c r="X236" s="3"/>
      <c r="Y236" s="3"/>
      <c r="Z236" s="3"/>
      <c r="AA236" s="3"/>
      <c r="AB236" s="3"/>
      <c r="AC236" s="9">
        <f>20000000+27000000</f>
        <v>47000000</v>
      </c>
      <c r="AD236" s="3"/>
      <c r="AE236" s="3"/>
      <c r="AF236" s="109">
        <f>+S236+T236+U236+V236+W236+X236+Y236+Z236+AA236+AB236+AC236+AD236+AE236</f>
        <v>47000000</v>
      </c>
    </row>
    <row r="237" spans="1:38" s="115" customFormat="1" ht="15.75" x14ac:dyDescent="0.2">
      <c r="A237" s="367"/>
      <c r="B237" s="355"/>
      <c r="C237" s="131">
        <v>36</v>
      </c>
      <c r="D237" s="103">
        <v>4102</v>
      </c>
      <c r="E237" s="275" t="s">
        <v>779</v>
      </c>
      <c r="F237" s="102"/>
      <c r="G237" s="103"/>
      <c r="H237" s="104"/>
      <c r="I237" s="102"/>
      <c r="J237" s="103"/>
      <c r="K237" s="103"/>
      <c r="L237" s="102"/>
      <c r="M237" s="105"/>
      <c r="N237" s="105"/>
      <c r="O237" s="103"/>
      <c r="P237" s="106"/>
      <c r="Q237" s="103"/>
      <c r="R237" s="102"/>
      <c r="S237" s="23">
        <f t="shared" ref="S237:AF237" si="125">SUM(S238:S245)</f>
        <v>0</v>
      </c>
      <c r="T237" s="23">
        <f t="shared" si="125"/>
        <v>0</v>
      </c>
      <c r="U237" s="23">
        <f t="shared" si="125"/>
        <v>0</v>
      </c>
      <c r="V237" s="23">
        <f t="shared" si="125"/>
        <v>0</v>
      </c>
      <c r="W237" s="23">
        <f t="shared" si="125"/>
        <v>0</v>
      </c>
      <c r="X237" s="23">
        <f t="shared" si="125"/>
        <v>0</v>
      </c>
      <c r="Y237" s="23">
        <f t="shared" si="125"/>
        <v>0</v>
      </c>
      <c r="Z237" s="23">
        <f t="shared" si="125"/>
        <v>0</v>
      </c>
      <c r="AA237" s="23">
        <f t="shared" si="125"/>
        <v>0</v>
      </c>
      <c r="AB237" s="23">
        <f t="shared" si="125"/>
        <v>0</v>
      </c>
      <c r="AC237" s="23">
        <f t="shared" si="125"/>
        <v>497297832</v>
      </c>
      <c r="AD237" s="23">
        <f t="shared" si="125"/>
        <v>0</v>
      </c>
      <c r="AE237" s="23">
        <f t="shared" si="125"/>
        <v>0</v>
      </c>
      <c r="AF237" s="23">
        <f t="shared" si="125"/>
        <v>497297832</v>
      </c>
    </row>
    <row r="238" spans="1:38" s="115" customFormat="1" ht="78" customHeight="1" x14ac:dyDescent="0.2">
      <c r="A238" s="367"/>
      <c r="B238" s="355"/>
      <c r="C238" s="289"/>
      <c r="D238" s="290"/>
      <c r="E238" s="282">
        <v>4102</v>
      </c>
      <c r="F238" s="273" t="s">
        <v>1430</v>
      </c>
      <c r="G238" s="251" t="s">
        <v>780</v>
      </c>
      <c r="H238" s="135" t="s">
        <v>47</v>
      </c>
      <c r="I238" s="273" t="s">
        <v>781</v>
      </c>
      <c r="J238" s="218" t="s">
        <v>782</v>
      </c>
      <c r="K238" s="221" t="s">
        <v>47</v>
      </c>
      <c r="L238" s="226" t="s">
        <v>783</v>
      </c>
      <c r="M238" s="221" t="s">
        <v>53</v>
      </c>
      <c r="N238" s="221">
        <v>1</v>
      </c>
      <c r="O238" s="221">
        <v>1</v>
      </c>
      <c r="P238" s="442" t="s">
        <v>283</v>
      </c>
      <c r="Q238" s="441" t="s">
        <v>784</v>
      </c>
      <c r="R238" s="442" t="s">
        <v>1400</v>
      </c>
      <c r="S238" s="3"/>
      <c r="T238" s="3"/>
      <c r="U238" s="3"/>
      <c r="V238" s="3"/>
      <c r="W238" s="3"/>
      <c r="X238" s="3"/>
      <c r="Y238" s="3"/>
      <c r="Z238" s="3"/>
      <c r="AA238" s="3"/>
      <c r="AB238" s="3"/>
      <c r="AC238" s="9">
        <v>30000000</v>
      </c>
      <c r="AD238" s="3"/>
      <c r="AE238" s="3"/>
      <c r="AF238" s="137">
        <f t="shared" ref="AF238:AF245" si="126">+S238+T238+U238+V238+W238+X238+Y238+Z238+AA238+AB238+AC238+AD238+AE238</f>
        <v>30000000</v>
      </c>
    </row>
    <row r="239" spans="1:38" s="115" customFormat="1" ht="72.75" customHeight="1" x14ac:dyDescent="0.2">
      <c r="A239" s="367"/>
      <c r="B239" s="355"/>
      <c r="C239" s="289"/>
      <c r="D239" s="290"/>
      <c r="E239" s="282">
        <v>4102</v>
      </c>
      <c r="F239" s="273" t="s">
        <v>786</v>
      </c>
      <c r="G239" s="251" t="s">
        <v>787</v>
      </c>
      <c r="H239" s="135" t="s">
        <v>47</v>
      </c>
      <c r="I239" s="273" t="s">
        <v>788</v>
      </c>
      <c r="J239" s="218" t="s">
        <v>789</v>
      </c>
      <c r="K239" s="221" t="s">
        <v>47</v>
      </c>
      <c r="L239" s="226" t="s">
        <v>790</v>
      </c>
      <c r="M239" s="221" t="s">
        <v>53</v>
      </c>
      <c r="N239" s="221">
        <v>12</v>
      </c>
      <c r="O239" s="221">
        <v>12</v>
      </c>
      <c r="P239" s="442"/>
      <c r="Q239" s="441"/>
      <c r="R239" s="442"/>
      <c r="S239" s="3"/>
      <c r="T239" s="3"/>
      <c r="U239" s="3"/>
      <c r="V239" s="3"/>
      <c r="W239" s="3"/>
      <c r="X239" s="3"/>
      <c r="Y239" s="3"/>
      <c r="Z239" s="3"/>
      <c r="AA239" s="3"/>
      <c r="AB239" s="3"/>
      <c r="AC239" s="9">
        <v>25000000</v>
      </c>
      <c r="AD239" s="3"/>
      <c r="AE239" s="3"/>
      <c r="AF239" s="137">
        <f t="shared" si="126"/>
        <v>25000000</v>
      </c>
    </row>
    <row r="240" spans="1:38" s="115" customFormat="1" ht="162.75" customHeight="1" x14ac:dyDescent="0.2">
      <c r="A240" s="367"/>
      <c r="B240" s="355"/>
      <c r="C240" s="291"/>
      <c r="D240" s="272"/>
      <c r="E240" s="282">
        <v>4102</v>
      </c>
      <c r="F240" s="273" t="s">
        <v>791</v>
      </c>
      <c r="G240" s="251" t="s">
        <v>792</v>
      </c>
      <c r="H240" s="135" t="s">
        <v>47</v>
      </c>
      <c r="I240" s="273" t="s">
        <v>793</v>
      </c>
      <c r="J240" s="218" t="s">
        <v>794</v>
      </c>
      <c r="K240" s="221" t="s">
        <v>47</v>
      </c>
      <c r="L240" s="226" t="s">
        <v>795</v>
      </c>
      <c r="M240" s="221" t="s">
        <v>53</v>
      </c>
      <c r="N240" s="221">
        <v>1</v>
      </c>
      <c r="O240" s="221">
        <v>1</v>
      </c>
      <c r="P240" s="337" t="s">
        <v>69</v>
      </c>
      <c r="Q240" s="272" t="s">
        <v>796</v>
      </c>
      <c r="R240" s="273" t="s">
        <v>1401</v>
      </c>
      <c r="S240" s="3"/>
      <c r="T240" s="3"/>
      <c r="U240" s="3"/>
      <c r="V240" s="3"/>
      <c r="W240" s="3"/>
      <c r="X240" s="3"/>
      <c r="Y240" s="3"/>
      <c r="Z240" s="3"/>
      <c r="AA240" s="3"/>
      <c r="AB240" s="3"/>
      <c r="AC240" s="9">
        <f>180000000-100103834</f>
        <v>79896166</v>
      </c>
      <c r="AD240" s="3"/>
      <c r="AE240" s="3"/>
      <c r="AF240" s="137">
        <f t="shared" si="126"/>
        <v>79896166</v>
      </c>
    </row>
    <row r="241" spans="1:32" s="115" customFormat="1" ht="183.75" customHeight="1" x14ac:dyDescent="0.2">
      <c r="A241" s="367"/>
      <c r="B241" s="355"/>
      <c r="C241" s="291"/>
      <c r="D241" s="272"/>
      <c r="E241" s="282">
        <v>4102</v>
      </c>
      <c r="F241" s="274" t="s">
        <v>798</v>
      </c>
      <c r="G241" s="160" t="s">
        <v>799</v>
      </c>
      <c r="H241" s="135" t="s">
        <v>47</v>
      </c>
      <c r="I241" s="273" t="s">
        <v>800</v>
      </c>
      <c r="J241" s="272" t="s">
        <v>801</v>
      </c>
      <c r="K241" s="221" t="s">
        <v>47</v>
      </c>
      <c r="L241" s="273" t="s">
        <v>802</v>
      </c>
      <c r="M241" s="221" t="s">
        <v>53</v>
      </c>
      <c r="N241" s="221">
        <v>1</v>
      </c>
      <c r="O241" s="221">
        <v>1</v>
      </c>
      <c r="P241" s="337" t="s">
        <v>283</v>
      </c>
      <c r="Q241" s="272" t="s">
        <v>803</v>
      </c>
      <c r="R241" s="403" t="s">
        <v>804</v>
      </c>
      <c r="S241" s="404"/>
      <c r="T241" s="404"/>
      <c r="U241" s="404"/>
      <c r="V241" s="404"/>
      <c r="W241" s="404"/>
      <c r="X241" s="404"/>
      <c r="Y241" s="404"/>
      <c r="Z241" s="404"/>
      <c r="AA241" s="404"/>
      <c r="AB241" s="404"/>
      <c r="AC241" s="405">
        <f>240000000</f>
        <v>240000000</v>
      </c>
      <c r="AD241" s="404"/>
      <c r="AE241" s="404"/>
      <c r="AF241" s="137">
        <f t="shared" si="126"/>
        <v>240000000</v>
      </c>
    </row>
    <row r="242" spans="1:32" s="115" customFormat="1" ht="117" customHeight="1" x14ac:dyDescent="0.2">
      <c r="A242" s="367"/>
      <c r="B242" s="355"/>
      <c r="C242" s="291"/>
      <c r="D242" s="272"/>
      <c r="E242" s="282">
        <v>4102</v>
      </c>
      <c r="F242" s="273" t="s">
        <v>805</v>
      </c>
      <c r="G242" s="251" t="s">
        <v>806</v>
      </c>
      <c r="H242" s="135" t="s">
        <v>47</v>
      </c>
      <c r="I242" s="274" t="s">
        <v>807</v>
      </c>
      <c r="J242" s="218" t="s">
        <v>808</v>
      </c>
      <c r="K242" s="221" t="s">
        <v>47</v>
      </c>
      <c r="L242" s="273" t="s">
        <v>809</v>
      </c>
      <c r="M242" s="221" t="s">
        <v>53</v>
      </c>
      <c r="N242" s="221">
        <v>1</v>
      </c>
      <c r="O242" s="221">
        <v>1</v>
      </c>
      <c r="P242" s="337" t="s">
        <v>283</v>
      </c>
      <c r="Q242" s="272" t="s">
        <v>777</v>
      </c>
      <c r="R242" s="273" t="s">
        <v>778</v>
      </c>
      <c r="S242" s="3"/>
      <c r="T242" s="3"/>
      <c r="U242" s="3"/>
      <c r="V242" s="3"/>
      <c r="W242" s="3"/>
      <c r="X242" s="3"/>
      <c r="Y242" s="3"/>
      <c r="Z242" s="3"/>
      <c r="AA242" s="3"/>
      <c r="AB242" s="3"/>
      <c r="AC242" s="9">
        <f>180000000-139598334</f>
        <v>40401666</v>
      </c>
      <c r="AD242" s="3"/>
      <c r="AE242" s="3"/>
      <c r="AF242" s="137">
        <f t="shared" si="126"/>
        <v>40401666</v>
      </c>
    </row>
    <row r="243" spans="1:32" s="115" customFormat="1" ht="153.75" customHeight="1" x14ac:dyDescent="0.2">
      <c r="A243" s="367"/>
      <c r="B243" s="355"/>
      <c r="C243" s="291"/>
      <c r="D243" s="272"/>
      <c r="E243" s="282">
        <v>4102</v>
      </c>
      <c r="F243" s="273" t="s">
        <v>810</v>
      </c>
      <c r="G243" s="160" t="s">
        <v>811</v>
      </c>
      <c r="H243" s="135" t="s">
        <v>47</v>
      </c>
      <c r="I243" s="273" t="s">
        <v>812</v>
      </c>
      <c r="J243" s="272" t="s">
        <v>813</v>
      </c>
      <c r="K243" s="221" t="s">
        <v>47</v>
      </c>
      <c r="L243" s="273" t="s">
        <v>814</v>
      </c>
      <c r="M243" s="221" t="s">
        <v>53</v>
      </c>
      <c r="N243" s="221">
        <v>12</v>
      </c>
      <c r="O243" s="221">
        <v>12</v>
      </c>
      <c r="P243" s="337" t="s">
        <v>256</v>
      </c>
      <c r="Q243" s="272" t="s">
        <v>815</v>
      </c>
      <c r="R243" s="172" t="s">
        <v>816</v>
      </c>
      <c r="S243" s="3"/>
      <c r="T243" s="3"/>
      <c r="U243" s="3"/>
      <c r="V243" s="3"/>
      <c r="W243" s="3"/>
      <c r="X243" s="3"/>
      <c r="Y243" s="3"/>
      <c r="Z243" s="3"/>
      <c r="AA243" s="3"/>
      <c r="AB243" s="3"/>
      <c r="AC243" s="9">
        <v>13000000</v>
      </c>
      <c r="AD243" s="3"/>
      <c r="AE243" s="3"/>
      <c r="AF243" s="137">
        <f t="shared" si="126"/>
        <v>13000000</v>
      </c>
    </row>
    <row r="244" spans="1:32" s="170" customFormat="1" ht="216.75" customHeight="1" x14ac:dyDescent="0.2">
      <c r="A244" s="384"/>
      <c r="B244" s="371"/>
      <c r="C244" s="314"/>
      <c r="D244" s="279"/>
      <c r="E244" s="282">
        <v>4102</v>
      </c>
      <c r="F244" s="280" t="s">
        <v>1433</v>
      </c>
      <c r="G244" s="285" t="s">
        <v>817</v>
      </c>
      <c r="H244" s="168">
        <v>4102022</v>
      </c>
      <c r="I244" s="169" t="s">
        <v>818</v>
      </c>
      <c r="J244" s="168" t="s">
        <v>819</v>
      </c>
      <c r="K244" s="168" t="s">
        <v>820</v>
      </c>
      <c r="L244" s="169" t="s">
        <v>821</v>
      </c>
      <c r="M244" s="221" t="s">
        <v>143</v>
      </c>
      <c r="N244" s="221">
        <v>64</v>
      </c>
      <c r="O244" s="221">
        <v>6</v>
      </c>
      <c r="P244" s="177" t="s">
        <v>283</v>
      </c>
      <c r="Q244" s="160" t="s">
        <v>822</v>
      </c>
      <c r="R244" s="286" t="s">
        <v>823</v>
      </c>
      <c r="S244" s="3"/>
      <c r="T244" s="3"/>
      <c r="U244" s="3"/>
      <c r="V244" s="3"/>
      <c r="W244" s="3"/>
      <c r="X244" s="3"/>
      <c r="Y244" s="3"/>
      <c r="Z244" s="3"/>
      <c r="AA244" s="3"/>
      <c r="AB244" s="3"/>
      <c r="AC244" s="9">
        <v>55000000</v>
      </c>
      <c r="AD244" s="3"/>
      <c r="AE244" s="3"/>
      <c r="AF244" s="137">
        <f t="shared" si="126"/>
        <v>55000000</v>
      </c>
    </row>
    <row r="245" spans="1:32" s="115" customFormat="1" ht="111" customHeight="1" x14ac:dyDescent="0.2">
      <c r="A245" s="367"/>
      <c r="B245" s="355"/>
      <c r="C245" s="291"/>
      <c r="D245" s="272"/>
      <c r="E245" s="282">
        <v>4102</v>
      </c>
      <c r="F245" s="273" t="s">
        <v>824</v>
      </c>
      <c r="G245" s="251" t="s">
        <v>825</v>
      </c>
      <c r="H245" s="272">
        <v>4102038</v>
      </c>
      <c r="I245" s="273" t="s">
        <v>826</v>
      </c>
      <c r="J245" s="218" t="s">
        <v>827</v>
      </c>
      <c r="K245" s="218">
        <v>410203800</v>
      </c>
      <c r="L245" s="224" t="s">
        <v>828</v>
      </c>
      <c r="M245" s="221" t="s">
        <v>143</v>
      </c>
      <c r="N245" s="221">
        <v>40</v>
      </c>
      <c r="O245" s="221">
        <v>10</v>
      </c>
      <c r="P245" s="337" t="s">
        <v>256</v>
      </c>
      <c r="Q245" s="272" t="s">
        <v>829</v>
      </c>
      <c r="R245" s="172" t="s">
        <v>830</v>
      </c>
      <c r="S245" s="3"/>
      <c r="T245" s="3"/>
      <c r="U245" s="3"/>
      <c r="V245" s="3"/>
      <c r="W245" s="3"/>
      <c r="X245" s="3"/>
      <c r="Y245" s="3"/>
      <c r="Z245" s="3"/>
      <c r="AA245" s="3"/>
      <c r="AB245" s="3"/>
      <c r="AC245" s="9">
        <v>14000000</v>
      </c>
      <c r="AD245" s="3"/>
      <c r="AE245" s="3"/>
      <c r="AF245" s="137">
        <f t="shared" si="126"/>
        <v>14000000</v>
      </c>
    </row>
    <row r="246" spans="1:32" s="115" customFormat="1" ht="15.75" x14ac:dyDescent="0.2">
      <c r="A246" s="367"/>
      <c r="B246" s="355"/>
      <c r="C246" s="131">
        <v>37</v>
      </c>
      <c r="D246" s="103">
        <v>4103</v>
      </c>
      <c r="E246" s="275" t="s">
        <v>304</v>
      </c>
      <c r="F246" s="102"/>
      <c r="G246" s="103"/>
      <c r="H246" s="104"/>
      <c r="I246" s="102"/>
      <c r="J246" s="103"/>
      <c r="K246" s="103"/>
      <c r="L246" s="102"/>
      <c r="M246" s="105"/>
      <c r="N246" s="105"/>
      <c r="O246" s="103"/>
      <c r="P246" s="338"/>
      <c r="Q246" s="103"/>
      <c r="R246" s="102"/>
      <c r="S246" s="23">
        <f t="shared" ref="S246:AE246" si="127">SUM(S247:S253)</f>
        <v>0</v>
      </c>
      <c r="T246" s="23">
        <f t="shared" si="127"/>
        <v>0</v>
      </c>
      <c r="U246" s="23">
        <f t="shared" si="127"/>
        <v>0</v>
      </c>
      <c r="V246" s="23">
        <f t="shared" si="127"/>
        <v>0</v>
      </c>
      <c r="W246" s="23">
        <f t="shared" si="127"/>
        <v>0</v>
      </c>
      <c r="X246" s="23">
        <f t="shared" si="127"/>
        <v>0</v>
      </c>
      <c r="Y246" s="23">
        <f t="shared" si="127"/>
        <v>0</v>
      </c>
      <c r="Z246" s="23">
        <f t="shared" si="127"/>
        <v>0</v>
      </c>
      <c r="AA246" s="23">
        <f t="shared" si="127"/>
        <v>0</v>
      </c>
      <c r="AB246" s="23">
        <f t="shared" si="127"/>
        <v>0</v>
      </c>
      <c r="AC246" s="23">
        <f t="shared" si="127"/>
        <v>233020000</v>
      </c>
      <c r="AD246" s="23">
        <f t="shared" si="127"/>
        <v>0</v>
      </c>
      <c r="AE246" s="23">
        <f t="shared" si="127"/>
        <v>0</v>
      </c>
      <c r="AF246" s="23">
        <f>SUM(AF247:AF253)</f>
        <v>233020000</v>
      </c>
    </row>
    <row r="247" spans="1:32" s="115" customFormat="1" ht="76.5" customHeight="1" x14ac:dyDescent="0.2">
      <c r="A247" s="367"/>
      <c r="B247" s="355"/>
      <c r="C247" s="291"/>
      <c r="D247" s="272"/>
      <c r="E247" s="282">
        <v>4103</v>
      </c>
      <c r="F247" s="273" t="s">
        <v>1402</v>
      </c>
      <c r="G247" s="251" t="s">
        <v>1450</v>
      </c>
      <c r="H247" s="135">
        <v>4103059</v>
      </c>
      <c r="I247" s="273" t="s">
        <v>831</v>
      </c>
      <c r="J247" s="218" t="s">
        <v>832</v>
      </c>
      <c r="K247" s="221">
        <v>410305900</v>
      </c>
      <c r="L247" s="224" t="s">
        <v>833</v>
      </c>
      <c r="M247" s="218" t="s">
        <v>143</v>
      </c>
      <c r="N247" s="218">
        <v>50</v>
      </c>
      <c r="O247" s="218">
        <v>8</v>
      </c>
      <c r="P247" s="337" t="s">
        <v>283</v>
      </c>
      <c r="Q247" s="272" t="s">
        <v>777</v>
      </c>
      <c r="R247" s="273" t="s">
        <v>778</v>
      </c>
      <c r="S247" s="3"/>
      <c r="T247" s="3"/>
      <c r="U247" s="3"/>
      <c r="V247" s="3"/>
      <c r="W247" s="3"/>
      <c r="X247" s="3"/>
      <c r="Y247" s="3"/>
      <c r="Z247" s="3"/>
      <c r="AA247" s="3"/>
      <c r="AB247" s="3"/>
      <c r="AC247" s="9">
        <v>27000000</v>
      </c>
      <c r="AD247" s="3"/>
      <c r="AE247" s="3"/>
      <c r="AF247" s="137">
        <f t="shared" ref="AF247:AF253" si="128">+S247+T247+U247+V247+W247+X247+Y247+Z247+AA247+AB247+AC247+AD247+AE247</f>
        <v>27000000</v>
      </c>
    </row>
    <row r="248" spans="1:32" s="115" customFormat="1" ht="112.5" customHeight="1" x14ac:dyDescent="0.2">
      <c r="A248" s="367"/>
      <c r="B248" s="355"/>
      <c r="C248" s="291"/>
      <c r="D248" s="272"/>
      <c r="E248" s="282">
        <v>4103</v>
      </c>
      <c r="F248" s="274" t="s">
        <v>834</v>
      </c>
      <c r="G248" s="251" t="s">
        <v>835</v>
      </c>
      <c r="H248" s="281">
        <v>4103052</v>
      </c>
      <c r="I248" s="274" t="s">
        <v>836</v>
      </c>
      <c r="J248" s="218" t="s">
        <v>837</v>
      </c>
      <c r="K248" s="225">
        <v>410305202</v>
      </c>
      <c r="L248" s="226" t="s">
        <v>1353</v>
      </c>
      <c r="M248" s="218" t="s">
        <v>53</v>
      </c>
      <c r="N248" s="218">
        <v>1</v>
      </c>
      <c r="O248" s="218">
        <v>1</v>
      </c>
      <c r="P248" s="337" t="s">
        <v>283</v>
      </c>
      <c r="Q248" s="272" t="s">
        <v>838</v>
      </c>
      <c r="R248" s="273" t="s">
        <v>839</v>
      </c>
      <c r="S248" s="3"/>
      <c r="T248" s="3"/>
      <c r="U248" s="3"/>
      <c r="V248" s="3"/>
      <c r="W248" s="3"/>
      <c r="X248" s="3"/>
      <c r="Y248" s="3"/>
      <c r="Z248" s="3"/>
      <c r="AA248" s="3"/>
      <c r="AB248" s="3"/>
      <c r="AC248" s="9">
        <v>44520000</v>
      </c>
      <c r="AD248" s="3"/>
      <c r="AE248" s="3"/>
      <c r="AF248" s="137">
        <f t="shared" si="128"/>
        <v>44520000</v>
      </c>
    </row>
    <row r="249" spans="1:32" s="115" customFormat="1" ht="116.25" customHeight="1" x14ac:dyDescent="0.2">
      <c r="A249" s="367"/>
      <c r="B249" s="355"/>
      <c r="C249" s="291"/>
      <c r="D249" s="272"/>
      <c r="E249" s="282">
        <v>4103</v>
      </c>
      <c r="F249" s="273" t="s">
        <v>1434</v>
      </c>
      <c r="G249" s="251" t="s">
        <v>840</v>
      </c>
      <c r="H249" s="272">
        <v>4103050</v>
      </c>
      <c r="I249" s="273" t="s">
        <v>841</v>
      </c>
      <c r="J249" s="218" t="s">
        <v>842</v>
      </c>
      <c r="K249" s="218">
        <v>410305001</v>
      </c>
      <c r="L249" s="224" t="s">
        <v>843</v>
      </c>
      <c r="M249" s="218" t="s">
        <v>53</v>
      </c>
      <c r="N249" s="218">
        <v>12</v>
      </c>
      <c r="O249" s="218">
        <v>12</v>
      </c>
      <c r="P249" s="337" t="s">
        <v>256</v>
      </c>
      <c r="Q249" s="272" t="s">
        <v>815</v>
      </c>
      <c r="R249" s="172" t="s">
        <v>816</v>
      </c>
      <c r="S249" s="3"/>
      <c r="T249" s="3"/>
      <c r="U249" s="3"/>
      <c r="V249" s="3"/>
      <c r="W249" s="3"/>
      <c r="X249" s="3"/>
      <c r="Y249" s="3"/>
      <c r="Z249" s="3"/>
      <c r="AA249" s="3"/>
      <c r="AB249" s="3"/>
      <c r="AC249" s="9">
        <v>25000000</v>
      </c>
      <c r="AD249" s="3"/>
      <c r="AE249" s="3"/>
      <c r="AF249" s="137">
        <f t="shared" si="128"/>
        <v>25000000</v>
      </c>
    </row>
    <row r="250" spans="1:32" s="115" customFormat="1" ht="116.25" customHeight="1" x14ac:dyDescent="0.2">
      <c r="A250" s="367"/>
      <c r="B250" s="355"/>
      <c r="C250" s="291"/>
      <c r="D250" s="272"/>
      <c r="E250" s="282">
        <v>4103</v>
      </c>
      <c r="F250" s="273" t="s">
        <v>844</v>
      </c>
      <c r="G250" s="251" t="s">
        <v>845</v>
      </c>
      <c r="H250" s="135">
        <v>4103058</v>
      </c>
      <c r="I250" s="273" t="s">
        <v>846</v>
      </c>
      <c r="J250" s="218" t="s">
        <v>847</v>
      </c>
      <c r="K250" s="221">
        <v>410305800</v>
      </c>
      <c r="L250" s="224" t="s">
        <v>848</v>
      </c>
      <c r="M250" s="218" t="s">
        <v>143</v>
      </c>
      <c r="N250" s="218">
        <v>12</v>
      </c>
      <c r="O250" s="218">
        <v>1</v>
      </c>
      <c r="P250" s="337" t="s">
        <v>283</v>
      </c>
      <c r="Q250" s="272" t="s">
        <v>849</v>
      </c>
      <c r="R250" s="273" t="s">
        <v>850</v>
      </c>
      <c r="S250" s="3"/>
      <c r="T250" s="3"/>
      <c r="U250" s="3"/>
      <c r="V250" s="3"/>
      <c r="W250" s="3"/>
      <c r="X250" s="3"/>
      <c r="Y250" s="3"/>
      <c r="Z250" s="3"/>
      <c r="AA250" s="3"/>
      <c r="AB250" s="3"/>
      <c r="AC250" s="9">
        <v>27000000</v>
      </c>
      <c r="AD250" s="3"/>
      <c r="AE250" s="3"/>
      <c r="AF250" s="137">
        <f t="shared" si="128"/>
        <v>27000000</v>
      </c>
    </row>
    <row r="251" spans="1:32" s="115" customFormat="1" ht="98.25" customHeight="1" x14ac:dyDescent="0.2">
      <c r="A251" s="367"/>
      <c r="B251" s="355"/>
      <c r="C251" s="291"/>
      <c r="D251" s="272"/>
      <c r="E251" s="282">
        <v>4103</v>
      </c>
      <c r="F251" s="7" t="s">
        <v>851</v>
      </c>
      <c r="G251" s="251" t="s">
        <v>852</v>
      </c>
      <c r="H251" s="135" t="s">
        <v>47</v>
      </c>
      <c r="I251" s="273" t="s">
        <v>853</v>
      </c>
      <c r="J251" s="218" t="s">
        <v>854</v>
      </c>
      <c r="K251" s="221" t="s">
        <v>47</v>
      </c>
      <c r="L251" s="224" t="s">
        <v>855</v>
      </c>
      <c r="M251" s="218" t="s">
        <v>143</v>
      </c>
      <c r="N251" s="218">
        <v>17</v>
      </c>
      <c r="O251" s="218">
        <v>2</v>
      </c>
      <c r="P251" s="448" t="s">
        <v>283</v>
      </c>
      <c r="Q251" s="441" t="s">
        <v>856</v>
      </c>
      <c r="R251" s="442" t="s">
        <v>857</v>
      </c>
      <c r="S251" s="3"/>
      <c r="T251" s="3"/>
      <c r="U251" s="3"/>
      <c r="V251" s="3"/>
      <c r="W251" s="3"/>
      <c r="X251" s="3"/>
      <c r="Y251" s="3"/>
      <c r="Z251" s="3"/>
      <c r="AA251" s="3"/>
      <c r="AB251" s="3"/>
      <c r="AC251" s="9">
        <v>30000000</v>
      </c>
      <c r="AD251" s="3"/>
      <c r="AE251" s="3"/>
      <c r="AF251" s="137">
        <f t="shared" si="128"/>
        <v>30000000</v>
      </c>
    </row>
    <row r="252" spans="1:32" s="115" customFormat="1" ht="96" customHeight="1" x14ac:dyDescent="0.2">
      <c r="A252" s="367"/>
      <c r="B252" s="355"/>
      <c r="C252" s="291"/>
      <c r="D252" s="272"/>
      <c r="E252" s="282">
        <v>4103</v>
      </c>
      <c r="F252" s="7" t="s">
        <v>858</v>
      </c>
      <c r="G252" s="160" t="s">
        <v>859</v>
      </c>
      <c r="H252" s="135" t="s">
        <v>47</v>
      </c>
      <c r="I252" s="273" t="s">
        <v>860</v>
      </c>
      <c r="J252" s="272" t="s">
        <v>861</v>
      </c>
      <c r="K252" s="221" t="s">
        <v>47</v>
      </c>
      <c r="L252" s="273" t="s">
        <v>862</v>
      </c>
      <c r="M252" s="218" t="s">
        <v>53</v>
      </c>
      <c r="N252" s="218">
        <v>2</v>
      </c>
      <c r="O252" s="218">
        <v>2</v>
      </c>
      <c r="P252" s="448"/>
      <c r="Q252" s="441"/>
      <c r="R252" s="442"/>
      <c r="S252" s="3"/>
      <c r="T252" s="3"/>
      <c r="U252" s="3"/>
      <c r="V252" s="3"/>
      <c r="W252" s="3"/>
      <c r="X252" s="3"/>
      <c r="Y252" s="3"/>
      <c r="Z252" s="3"/>
      <c r="AA252" s="3"/>
      <c r="AB252" s="3"/>
      <c r="AC252" s="9">
        <v>49500000</v>
      </c>
      <c r="AD252" s="3"/>
      <c r="AE252" s="3"/>
      <c r="AF252" s="137">
        <f t="shared" si="128"/>
        <v>49500000</v>
      </c>
    </row>
    <row r="253" spans="1:32" s="115" customFormat="1" ht="102.75" customHeight="1" x14ac:dyDescent="0.2">
      <c r="A253" s="367"/>
      <c r="B253" s="355"/>
      <c r="C253" s="291"/>
      <c r="D253" s="272"/>
      <c r="E253" s="282">
        <v>4103</v>
      </c>
      <c r="F253" s="274" t="s">
        <v>1435</v>
      </c>
      <c r="G253" s="251" t="s">
        <v>863</v>
      </c>
      <c r="H253" s="135" t="s">
        <v>47</v>
      </c>
      <c r="I253" s="273" t="s">
        <v>1436</v>
      </c>
      <c r="J253" s="218" t="s">
        <v>864</v>
      </c>
      <c r="K253" s="221" t="s">
        <v>47</v>
      </c>
      <c r="L253" s="224" t="s">
        <v>865</v>
      </c>
      <c r="M253" s="218" t="s">
        <v>53</v>
      </c>
      <c r="N253" s="218">
        <v>1</v>
      </c>
      <c r="O253" s="218">
        <v>1</v>
      </c>
      <c r="P253" s="337" t="s">
        <v>283</v>
      </c>
      <c r="Q253" s="272" t="s">
        <v>866</v>
      </c>
      <c r="R253" s="273" t="s">
        <v>867</v>
      </c>
      <c r="S253" s="3"/>
      <c r="T253" s="3"/>
      <c r="U253" s="3"/>
      <c r="V253" s="3"/>
      <c r="W253" s="3"/>
      <c r="X253" s="3"/>
      <c r="Y253" s="3"/>
      <c r="Z253" s="3"/>
      <c r="AA253" s="3"/>
      <c r="AB253" s="3"/>
      <c r="AC253" s="9">
        <f>70000000-40000000</f>
        <v>30000000</v>
      </c>
      <c r="AD253" s="3"/>
      <c r="AE253" s="3"/>
      <c r="AF253" s="137">
        <f t="shared" si="128"/>
        <v>30000000</v>
      </c>
    </row>
    <row r="254" spans="1:32" s="115" customFormat="1" ht="15.75" x14ac:dyDescent="0.2">
      <c r="A254" s="367"/>
      <c r="B254" s="355"/>
      <c r="C254" s="131">
        <v>38</v>
      </c>
      <c r="D254" s="103">
        <v>4104</v>
      </c>
      <c r="E254" s="275" t="s">
        <v>868</v>
      </c>
      <c r="F254" s="102"/>
      <c r="G254" s="103"/>
      <c r="H254" s="104"/>
      <c r="I254" s="102"/>
      <c r="J254" s="103"/>
      <c r="K254" s="103"/>
      <c r="L254" s="102"/>
      <c r="M254" s="315"/>
      <c r="N254" s="316"/>
      <c r="O254" s="103"/>
      <c r="P254" s="338"/>
      <c r="Q254" s="103"/>
      <c r="R254" s="102"/>
      <c r="S254" s="23">
        <f t="shared" ref="S254:AE254" si="129">SUM(S255:S263)</f>
        <v>4262727592.3899999</v>
      </c>
      <c r="T254" s="23">
        <f t="shared" si="129"/>
        <v>0</v>
      </c>
      <c r="U254" s="23">
        <f t="shared" si="129"/>
        <v>0</v>
      </c>
      <c r="V254" s="23">
        <f t="shared" si="129"/>
        <v>0</v>
      </c>
      <c r="W254" s="23">
        <f t="shared" si="129"/>
        <v>0</v>
      </c>
      <c r="X254" s="23">
        <f t="shared" si="129"/>
        <v>0</v>
      </c>
      <c r="Y254" s="23">
        <f t="shared" si="129"/>
        <v>0</v>
      </c>
      <c r="Z254" s="23">
        <f t="shared" si="129"/>
        <v>0</v>
      </c>
      <c r="AA254" s="23">
        <f t="shared" si="129"/>
        <v>0</v>
      </c>
      <c r="AB254" s="23">
        <f t="shared" si="129"/>
        <v>0</v>
      </c>
      <c r="AC254" s="23">
        <f t="shared" si="129"/>
        <v>529251842</v>
      </c>
      <c r="AD254" s="23">
        <f t="shared" si="129"/>
        <v>0</v>
      </c>
      <c r="AE254" s="23">
        <f t="shared" si="129"/>
        <v>0</v>
      </c>
      <c r="AF254" s="23">
        <f>SUM(AF255:AF263)</f>
        <v>4791979434.3899994</v>
      </c>
    </row>
    <row r="255" spans="1:32" s="115" customFormat="1" ht="138.75" customHeight="1" x14ac:dyDescent="0.2">
      <c r="A255" s="367"/>
      <c r="B255" s="355"/>
      <c r="C255" s="291"/>
      <c r="D255" s="272"/>
      <c r="E255" s="282">
        <v>4104</v>
      </c>
      <c r="F255" s="273" t="s">
        <v>1437</v>
      </c>
      <c r="G255" s="285" t="s">
        <v>869</v>
      </c>
      <c r="H255" s="135" t="s">
        <v>870</v>
      </c>
      <c r="I255" s="273" t="s">
        <v>871</v>
      </c>
      <c r="J255" s="272" t="s">
        <v>872</v>
      </c>
      <c r="K255" s="135">
        <v>410403500</v>
      </c>
      <c r="L255" s="273" t="s">
        <v>873</v>
      </c>
      <c r="M255" s="218" t="s">
        <v>143</v>
      </c>
      <c r="N255" s="218">
        <v>500</v>
      </c>
      <c r="O255" s="218">
        <v>20</v>
      </c>
      <c r="P255" s="448" t="s">
        <v>283</v>
      </c>
      <c r="Q255" s="441" t="s">
        <v>849</v>
      </c>
      <c r="R255" s="442" t="s">
        <v>850</v>
      </c>
      <c r="S255" s="3"/>
      <c r="T255" s="3"/>
      <c r="U255" s="3"/>
      <c r="V255" s="3"/>
      <c r="W255" s="3"/>
      <c r="X255" s="3"/>
      <c r="Y255" s="3"/>
      <c r="Z255" s="3"/>
      <c r="AA255" s="3"/>
      <c r="AB255" s="3"/>
      <c r="AC255" s="9">
        <v>14000000</v>
      </c>
      <c r="AD255" s="3"/>
      <c r="AE255" s="3"/>
      <c r="AF255" s="137">
        <f t="shared" ref="AF255:AF263" si="130">+S255+T255+U255+V255+W255+X255+Y255+Z255+AA255+AB255+AC255+AD255+AE255</f>
        <v>14000000</v>
      </c>
    </row>
    <row r="256" spans="1:32" s="115" customFormat="1" ht="81.75" customHeight="1" x14ac:dyDescent="0.2">
      <c r="A256" s="367"/>
      <c r="B256" s="355"/>
      <c r="C256" s="291"/>
      <c r="D256" s="272"/>
      <c r="E256" s="282">
        <v>4104</v>
      </c>
      <c r="F256" s="273" t="s">
        <v>1438</v>
      </c>
      <c r="G256" s="160" t="s">
        <v>869</v>
      </c>
      <c r="H256" s="135" t="s">
        <v>870</v>
      </c>
      <c r="I256" s="273" t="s">
        <v>871</v>
      </c>
      <c r="J256" s="218" t="s">
        <v>874</v>
      </c>
      <c r="K256" s="221" t="s">
        <v>47</v>
      </c>
      <c r="L256" s="232" t="s">
        <v>875</v>
      </c>
      <c r="M256" s="276" t="s">
        <v>53</v>
      </c>
      <c r="N256" s="272">
        <v>12</v>
      </c>
      <c r="O256" s="171">
        <v>12</v>
      </c>
      <c r="P256" s="448"/>
      <c r="Q256" s="441"/>
      <c r="R256" s="442"/>
      <c r="S256" s="3"/>
      <c r="T256" s="3"/>
      <c r="U256" s="3"/>
      <c r="V256" s="3"/>
      <c r="W256" s="3"/>
      <c r="X256" s="3"/>
      <c r="Y256" s="3"/>
      <c r="Z256" s="3"/>
      <c r="AA256" s="3"/>
      <c r="AB256" s="3"/>
      <c r="AC256" s="9">
        <v>25000000</v>
      </c>
      <c r="AD256" s="3"/>
      <c r="AE256" s="3"/>
      <c r="AF256" s="137">
        <f t="shared" si="130"/>
        <v>25000000</v>
      </c>
    </row>
    <row r="257" spans="1:32" s="115" customFormat="1" ht="88.5" customHeight="1" x14ac:dyDescent="0.2">
      <c r="A257" s="367"/>
      <c r="B257" s="355"/>
      <c r="C257" s="291"/>
      <c r="D257" s="272"/>
      <c r="E257" s="282">
        <v>4104</v>
      </c>
      <c r="F257" s="273" t="s">
        <v>876</v>
      </c>
      <c r="G257" s="251" t="s">
        <v>877</v>
      </c>
      <c r="H257" s="135" t="s">
        <v>878</v>
      </c>
      <c r="I257" s="273" t="s">
        <v>879</v>
      </c>
      <c r="J257" s="272" t="s">
        <v>880</v>
      </c>
      <c r="K257" s="221" t="s">
        <v>47</v>
      </c>
      <c r="L257" s="273" t="s">
        <v>881</v>
      </c>
      <c r="M257" s="218" t="s">
        <v>53</v>
      </c>
      <c r="N257" s="218">
        <v>12</v>
      </c>
      <c r="O257" s="218">
        <v>12</v>
      </c>
      <c r="P257" s="337" t="s">
        <v>283</v>
      </c>
      <c r="Q257" s="272" t="s">
        <v>882</v>
      </c>
      <c r="R257" s="273" t="s">
        <v>883</v>
      </c>
      <c r="S257" s="3"/>
      <c r="T257" s="3"/>
      <c r="U257" s="3"/>
      <c r="V257" s="3"/>
      <c r="W257" s="3"/>
      <c r="X257" s="3"/>
      <c r="Y257" s="3"/>
      <c r="Z257" s="3"/>
      <c r="AA257" s="3"/>
      <c r="AB257" s="3"/>
      <c r="AC257" s="9">
        <v>18000000</v>
      </c>
      <c r="AD257" s="3"/>
      <c r="AE257" s="3"/>
      <c r="AF257" s="137">
        <f t="shared" si="130"/>
        <v>18000000</v>
      </c>
    </row>
    <row r="258" spans="1:32" s="115" customFormat="1" ht="126.75" customHeight="1" x14ac:dyDescent="0.2">
      <c r="A258" s="367"/>
      <c r="B258" s="355"/>
      <c r="C258" s="291"/>
      <c r="D258" s="272"/>
      <c r="E258" s="282">
        <v>4104</v>
      </c>
      <c r="F258" s="273" t="s">
        <v>884</v>
      </c>
      <c r="G258" s="160" t="s">
        <v>885</v>
      </c>
      <c r="H258" s="171" t="s">
        <v>47</v>
      </c>
      <c r="I258" s="274" t="s">
        <v>886</v>
      </c>
      <c r="J258" s="221" t="s">
        <v>887</v>
      </c>
      <c r="K258" s="221" t="s">
        <v>47</v>
      </c>
      <c r="L258" s="226" t="s">
        <v>888</v>
      </c>
      <c r="M258" s="218" t="s">
        <v>53</v>
      </c>
      <c r="N258" s="218">
        <v>1</v>
      </c>
      <c r="O258" s="218">
        <v>1</v>
      </c>
      <c r="P258" s="337" t="s">
        <v>283</v>
      </c>
      <c r="Q258" s="272" t="s">
        <v>889</v>
      </c>
      <c r="R258" s="273" t="s">
        <v>1403</v>
      </c>
      <c r="S258" s="3"/>
      <c r="T258" s="3"/>
      <c r="U258" s="3"/>
      <c r="V258" s="3"/>
      <c r="W258" s="3"/>
      <c r="X258" s="3"/>
      <c r="Y258" s="3"/>
      <c r="Z258" s="3"/>
      <c r="AA258" s="3"/>
      <c r="AB258" s="3"/>
      <c r="AC258" s="9">
        <f>170000000-86020000</f>
        <v>83980000</v>
      </c>
      <c r="AD258" s="3"/>
      <c r="AE258" s="3"/>
      <c r="AF258" s="109">
        <f t="shared" si="130"/>
        <v>83980000</v>
      </c>
    </row>
    <row r="259" spans="1:32" s="115" customFormat="1" ht="179.25" customHeight="1" x14ac:dyDescent="0.2">
      <c r="A259" s="367"/>
      <c r="B259" s="355"/>
      <c r="C259" s="291"/>
      <c r="D259" s="272"/>
      <c r="E259" s="282">
        <v>4104</v>
      </c>
      <c r="F259" s="273" t="s">
        <v>891</v>
      </c>
      <c r="G259" s="260" t="s">
        <v>892</v>
      </c>
      <c r="H259" s="171" t="s">
        <v>47</v>
      </c>
      <c r="I259" s="274" t="s">
        <v>893</v>
      </c>
      <c r="J259" s="221" t="s">
        <v>894</v>
      </c>
      <c r="K259" s="221" t="s">
        <v>47</v>
      </c>
      <c r="L259" s="226" t="s">
        <v>895</v>
      </c>
      <c r="M259" s="218" t="s">
        <v>53</v>
      </c>
      <c r="N259" s="218">
        <v>1</v>
      </c>
      <c r="O259" s="218">
        <v>1</v>
      </c>
      <c r="P259" s="337" t="s">
        <v>69</v>
      </c>
      <c r="Q259" s="272" t="s">
        <v>896</v>
      </c>
      <c r="R259" s="273" t="s">
        <v>1404</v>
      </c>
      <c r="S259" s="3"/>
      <c r="T259" s="3"/>
      <c r="U259" s="3"/>
      <c r="V259" s="3"/>
      <c r="W259" s="3"/>
      <c r="X259" s="3"/>
      <c r="Y259" s="3"/>
      <c r="Z259" s="3"/>
      <c r="AA259" s="3"/>
      <c r="AB259" s="3"/>
      <c r="AC259" s="9">
        <f>140000000-60275000</f>
        <v>79725000</v>
      </c>
      <c r="AD259" s="3"/>
      <c r="AE259" s="3"/>
      <c r="AF259" s="109">
        <f t="shared" si="130"/>
        <v>79725000</v>
      </c>
    </row>
    <row r="260" spans="1:32" s="115" customFormat="1" ht="243" customHeight="1" x14ac:dyDescent="0.2">
      <c r="A260" s="367"/>
      <c r="B260" s="355"/>
      <c r="C260" s="291"/>
      <c r="D260" s="272"/>
      <c r="E260" s="282">
        <v>4104</v>
      </c>
      <c r="F260" s="273" t="s">
        <v>1439</v>
      </c>
      <c r="G260" s="260" t="s">
        <v>898</v>
      </c>
      <c r="H260" s="171" t="s">
        <v>47</v>
      </c>
      <c r="I260" s="172" t="s">
        <v>899</v>
      </c>
      <c r="J260" s="218" t="s">
        <v>900</v>
      </c>
      <c r="K260" s="221" t="s">
        <v>47</v>
      </c>
      <c r="L260" s="232" t="s">
        <v>901</v>
      </c>
      <c r="M260" s="218" t="s">
        <v>53</v>
      </c>
      <c r="N260" s="218">
        <v>1</v>
      </c>
      <c r="O260" s="218">
        <v>1</v>
      </c>
      <c r="P260" s="442" t="s">
        <v>283</v>
      </c>
      <c r="Q260" s="441" t="s">
        <v>902</v>
      </c>
      <c r="R260" s="442" t="s">
        <v>903</v>
      </c>
      <c r="S260" s="3"/>
      <c r="T260" s="3"/>
      <c r="U260" s="3"/>
      <c r="V260" s="3"/>
      <c r="W260" s="3"/>
      <c r="X260" s="3"/>
      <c r="Y260" s="3"/>
      <c r="Z260" s="3"/>
      <c r="AA260" s="3"/>
      <c r="AB260" s="3"/>
      <c r="AC260" s="283">
        <v>95000000</v>
      </c>
      <c r="AD260" s="3"/>
      <c r="AE260" s="3"/>
      <c r="AF260" s="109">
        <f t="shared" si="130"/>
        <v>95000000</v>
      </c>
    </row>
    <row r="261" spans="1:32" s="115" customFormat="1" ht="90" customHeight="1" x14ac:dyDescent="0.2">
      <c r="A261" s="367"/>
      <c r="B261" s="355"/>
      <c r="C261" s="291"/>
      <c r="D261" s="272"/>
      <c r="E261" s="282">
        <v>4104</v>
      </c>
      <c r="F261" s="273" t="s">
        <v>904</v>
      </c>
      <c r="G261" s="251" t="s">
        <v>905</v>
      </c>
      <c r="H261" s="135">
        <v>4104015</v>
      </c>
      <c r="I261" s="172" t="s">
        <v>906</v>
      </c>
      <c r="J261" s="218" t="s">
        <v>907</v>
      </c>
      <c r="K261" s="221">
        <v>410401500</v>
      </c>
      <c r="L261" s="224" t="s">
        <v>908</v>
      </c>
      <c r="M261" s="223" t="s">
        <v>53</v>
      </c>
      <c r="N261" s="223">
        <v>7500</v>
      </c>
      <c r="O261" s="223">
        <v>7500</v>
      </c>
      <c r="P261" s="442"/>
      <c r="Q261" s="441"/>
      <c r="R261" s="442"/>
      <c r="S261" s="3"/>
      <c r="T261" s="3"/>
      <c r="U261" s="3"/>
      <c r="V261" s="3"/>
      <c r="W261" s="3"/>
      <c r="X261" s="3"/>
      <c r="Y261" s="3"/>
      <c r="Z261" s="3"/>
      <c r="AA261" s="3"/>
      <c r="AB261" s="3"/>
      <c r="AC261" s="9">
        <v>25000000</v>
      </c>
      <c r="AD261" s="3"/>
      <c r="AE261" s="3"/>
      <c r="AF261" s="137">
        <f t="shared" si="130"/>
        <v>25000000</v>
      </c>
    </row>
    <row r="262" spans="1:32" s="115" customFormat="1" ht="78.75" customHeight="1" x14ac:dyDescent="0.2">
      <c r="A262" s="367"/>
      <c r="B262" s="355"/>
      <c r="C262" s="291"/>
      <c r="D262" s="272"/>
      <c r="E262" s="282">
        <v>4104</v>
      </c>
      <c r="F262" s="273" t="s">
        <v>1440</v>
      </c>
      <c r="G262" s="251" t="s">
        <v>909</v>
      </c>
      <c r="H262" s="281" t="s">
        <v>47</v>
      </c>
      <c r="I262" s="172" t="s">
        <v>910</v>
      </c>
      <c r="J262" s="218" t="s">
        <v>911</v>
      </c>
      <c r="K262" s="221" t="s">
        <v>47</v>
      </c>
      <c r="L262" s="232" t="s">
        <v>912</v>
      </c>
      <c r="M262" s="272" t="s">
        <v>53</v>
      </c>
      <c r="N262" s="272">
        <v>12</v>
      </c>
      <c r="O262" s="218">
        <v>12</v>
      </c>
      <c r="P262" s="442"/>
      <c r="Q262" s="441"/>
      <c r="R262" s="442"/>
      <c r="S262" s="21">
        <v>4262727592.3899999</v>
      </c>
      <c r="T262" s="173"/>
      <c r="U262" s="3"/>
      <c r="V262" s="3"/>
      <c r="W262" s="3"/>
      <c r="X262" s="3"/>
      <c r="Y262" s="3"/>
      <c r="Z262" s="3"/>
      <c r="AA262" s="3"/>
      <c r="AB262" s="3"/>
      <c r="AC262" s="9"/>
      <c r="AD262" s="3"/>
      <c r="AE262" s="3"/>
      <c r="AF262" s="109">
        <f t="shared" si="130"/>
        <v>4262727592.3899999</v>
      </c>
    </row>
    <row r="263" spans="1:32" s="115" customFormat="1" ht="141.75" customHeight="1" x14ac:dyDescent="0.2">
      <c r="A263" s="367"/>
      <c r="B263" s="355"/>
      <c r="C263" s="291"/>
      <c r="D263" s="272"/>
      <c r="E263" s="282">
        <v>4104</v>
      </c>
      <c r="F263" s="273" t="s">
        <v>913</v>
      </c>
      <c r="G263" s="251" t="s">
        <v>914</v>
      </c>
      <c r="H263" s="281" t="s">
        <v>47</v>
      </c>
      <c r="I263" s="172" t="s">
        <v>915</v>
      </c>
      <c r="J263" s="218" t="s">
        <v>916</v>
      </c>
      <c r="K263" s="225" t="s">
        <v>47</v>
      </c>
      <c r="L263" s="226" t="s">
        <v>1441</v>
      </c>
      <c r="M263" s="272" t="s">
        <v>53</v>
      </c>
      <c r="N263" s="272">
        <v>1</v>
      </c>
      <c r="O263" s="218">
        <v>1</v>
      </c>
      <c r="P263" s="337" t="s">
        <v>283</v>
      </c>
      <c r="Q263" s="272" t="s">
        <v>917</v>
      </c>
      <c r="R263" s="273" t="s">
        <v>918</v>
      </c>
      <c r="S263" s="3"/>
      <c r="T263" s="3"/>
      <c r="U263" s="3"/>
      <c r="V263" s="3"/>
      <c r="W263" s="3"/>
      <c r="X263" s="3"/>
      <c r="Y263" s="3"/>
      <c r="Z263" s="3"/>
      <c r="AA263" s="3"/>
      <c r="AB263" s="3"/>
      <c r="AC263" s="9">
        <v>188546842</v>
      </c>
      <c r="AD263" s="3"/>
      <c r="AE263" s="3"/>
      <c r="AF263" s="109">
        <f t="shared" si="130"/>
        <v>188546842</v>
      </c>
    </row>
    <row r="264" spans="1:32" s="115" customFormat="1" ht="15.75" customHeight="1" x14ac:dyDescent="0.2">
      <c r="A264" s="367"/>
      <c r="B264" s="355"/>
      <c r="C264" s="131">
        <v>41</v>
      </c>
      <c r="D264" s="103">
        <v>4501</v>
      </c>
      <c r="E264" s="275" t="s">
        <v>312</v>
      </c>
      <c r="F264" s="102"/>
      <c r="G264" s="104"/>
      <c r="H264" s="104"/>
      <c r="I264" s="102"/>
      <c r="J264" s="103"/>
      <c r="K264" s="103"/>
      <c r="L264" s="102"/>
      <c r="M264" s="317"/>
      <c r="N264" s="317"/>
      <c r="O264" s="103"/>
      <c r="P264" s="338"/>
      <c r="Q264" s="103"/>
      <c r="R264" s="102"/>
      <c r="S264" s="23">
        <f t="shared" ref="S264:AE264" si="131">SUM(S265:S266)</f>
        <v>0</v>
      </c>
      <c r="T264" s="23">
        <f t="shared" si="131"/>
        <v>0</v>
      </c>
      <c r="U264" s="23">
        <f t="shared" si="131"/>
        <v>0</v>
      </c>
      <c r="V264" s="23">
        <f t="shared" si="131"/>
        <v>0</v>
      </c>
      <c r="W264" s="23">
        <f t="shared" si="131"/>
        <v>0</v>
      </c>
      <c r="X264" s="23">
        <f t="shared" si="131"/>
        <v>0</v>
      </c>
      <c r="Y264" s="23">
        <f t="shared" si="131"/>
        <v>0</v>
      </c>
      <c r="Z264" s="23">
        <f t="shared" si="131"/>
        <v>0</v>
      </c>
      <c r="AA264" s="23">
        <f t="shared" si="131"/>
        <v>0</v>
      </c>
      <c r="AB264" s="23">
        <f t="shared" si="131"/>
        <v>0</v>
      </c>
      <c r="AC264" s="23">
        <f t="shared" si="131"/>
        <v>80000000</v>
      </c>
      <c r="AD264" s="23">
        <f t="shared" si="131"/>
        <v>0</v>
      </c>
      <c r="AE264" s="23">
        <f t="shared" si="131"/>
        <v>0</v>
      </c>
      <c r="AF264" s="23">
        <f>SUM(AF265:AF266)</f>
        <v>80000000</v>
      </c>
    </row>
    <row r="265" spans="1:32" s="115" customFormat="1" ht="90" customHeight="1" x14ac:dyDescent="0.2">
      <c r="A265" s="367"/>
      <c r="B265" s="355"/>
      <c r="C265" s="291"/>
      <c r="D265" s="272"/>
      <c r="E265" s="282">
        <v>4501</v>
      </c>
      <c r="F265" s="273" t="s">
        <v>919</v>
      </c>
      <c r="G265" s="160" t="s">
        <v>317</v>
      </c>
      <c r="H265" s="135">
        <v>4501024</v>
      </c>
      <c r="I265" s="273" t="s">
        <v>318</v>
      </c>
      <c r="J265" s="272" t="s">
        <v>920</v>
      </c>
      <c r="K265" s="272" t="s">
        <v>47</v>
      </c>
      <c r="L265" s="273" t="s">
        <v>921</v>
      </c>
      <c r="M265" s="218" t="s">
        <v>53</v>
      </c>
      <c r="N265" s="218">
        <v>1</v>
      </c>
      <c r="O265" s="218">
        <v>1</v>
      </c>
      <c r="P265" s="337" t="s">
        <v>69</v>
      </c>
      <c r="Q265" s="272" t="s">
        <v>922</v>
      </c>
      <c r="R265" s="273" t="s">
        <v>923</v>
      </c>
      <c r="S265" s="3"/>
      <c r="T265" s="3"/>
      <c r="U265" s="3"/>
      <c r="V265" s="3"/>
      <c r="W265" s="3"/>
      <c r="X265" s="3"/>
      <c r="Y265" s="3"/>
      <c r="Z265" s="3"/>
      <c r="AA265" s="3"/>
      <c r="AB265" s="3"/>
      <c r="AC265" s="9">
        <f>40000000</f>
        <v>40000000</v>
      </c>
      <c r="AD265" s="3"/>
      <c r="AE265" s="3"/>
      <c r="AF265" s="109">
        <f>+S265+T265+U265+V265+W265+X265+Y265+Z265+AA265+AB265+AC265+AD265+AE265</f>
        <v>40000000</v>
      </c>
    </row>
    <row r="266" spans="1:32" s="115" customFormat="1" ht="111" customHeight="1" x14ac:dyDescent="0.2">
      <c r="A266" s="367"/>
      <c r="B266" s="356"/>
      <c r="C266" s="291"/>
      <c r="D266" s="272"/>
      <c r="E266" s="282">
        <v>4501</v>
      </c>
      <c r="F266" s="273" t="s">
        <v>919</v>
      </c>
      <c r="G266" s="160" t="s">
        <v>317</v>
      </c>
      <c r="H266" s="135">
        <v>4501024</v>
      </c>
      <c r="I266" s="273" t="s">
        <v>318</v>
      </c>
      <c r="J266" s="272" t="s">
        <v>924</v>
      </c>
      <c r="K266" s="272" t="s">
        <v>47</v>
      </c>
      <c r="L266" s="273" t="s">
        <v>925</v>
      </c>
      <c r="M266" s="218" t="s">
        <v>53</v>
      </c>
      <c r="N266" s="218">
        <v>1</v>
      </c>
      <c r="O266" s="218">
        <v>1</v>
      </c>
      <c r="P266" s="337" t="s">
        <v>69</v>
      </c>
      <c r="Q266" s="272" t="s">
        <v>926</v>
      </c>
      <c r="R266" s="273" t="s">
        <v>927</v>
      </c>
      <c r="S266" s="3"/>
      <c r="T266" s="3"/>
      <c r="U266" s="3"/>
      <c r="V266" s="3"/>
      <c r="W266" s="3"/>
      <c r="X266" s="3"/>
      <c r="Y266" s="3"/>
      <c r="Z266" s="3"/>
      <c r="AA266" s="3"/>
      <c r="AB266" s="3"/>
      <c r="AC266" s="9">
        <v>40000000</v>
      </c>
      <c r="AD266" s="3"/>
      <c r="AE266" s="3"/>
      <c r="AF266" s="109">
        <f>+S266+T266+U266+V266+W266+X266+Y266+Z266+AA266+AB266+AC266+AD266+AE266</f>
        <v>40000000</v>
      </c>
    </row>
    <row r="267" spans="1:32" s="115" customFormat="1" ht="15.75" customHeight="1" x14ac:dyDescent="0.2">
      <c r="A267" s="367"/>
      <c r="B267" s="193">
        <v>2</v>
      </c>
      <c r="C267" s="95" t="s">
        <v>2</v>
      </c>
      <c r="D267" s="96"/>
      <c r="E267" s="96"/>
      <c r="F267" s="97"/>
      <c r="G267" s="98"/>
      <c r="H267" s="99"/>
      <c r="I267" s="97"/>
      <c r="J267" s="98"/>
      <c r="K267" s="98"/>
      <c r="L267" s="97"/>
      <c r="M267" s="100"/>
      <c r="N267" s="100"/>
      <c r="O267" s="98"/>
      <c r="P267" s="340"/>
      <c r="Q267" s="98"/>
      <c r="R267" s="97"/>
      <c r="S267" s="101">
        <f t="shared" ref="S267:AC267" si="132">+S268</f>
        <v>0</v>
      </c>
      <c r="T267" s="101">
        <f t="shared" si="132"/>
        <v>0</v>
      </c>
      <c r="U267" s="101">
        <f t="shared" si="132"/>
        <v>0</v>
      </c>
      <c r="V267" s="101">
        <f t="shared" si="132"/>
        <v>0</v>
      </c>
      <c r="W267" s="101">
        <f t="shared" si="132"/>
        <v>0</v>
      </c>
      <c r="X267" s="101">
        <f t="shared" si="132"/>
        <v>0</v>
      </c>
      <c r="Y267" s="101">
        <f t="shared" si="132"/>
        <v>0</v>
      </c>
      <c r="Z267" s="101">
        <f t="shared" si="132"/>
        <v>0</v>
      </c>
      <c r="AA267" s="101">
        <f t="shared" si="132"/>
        <v>0</v>
      </c>
      <c r="AB267" s="101">
        <f t="shared" si="132"/>
        <v>0</v>
      </c>
      <c r="AC267" s="101">
        <f t="shared" si="132"/>
        <v>25000000</v>
      </c>
      <c r="AD267" s="101">
        <f t="shared" ref="AD267:AE267" si="133">+AD268</f>
        <v>0</v>
      </c>
      <c r="AE267" s="101">
        <f t="shared" si="133"/>
        <v>0</v>
      </c>
      <c r="AF267" s="101">
        <f>+AF268</f>
        <v>25000000</v>
      </c>
    </row>
    <row r="268" spans="1:32" s="115" customFormat="1" ht="15.75" x14ac:dyDescent="0.2">
      <c r="A268" s="367"/>
      <c r="B268" s="354"/>
      <c r="C268" s="131">
        <v>29</v>
      </c>
      <c r="D268" s="103">
        <v>3604</v>
      </c>
      <c r="E268" s="275" t="s">
        <v>928</v>
      </c>
      <c r="F268" s="102"/>
      <c r="G268" s="103"/>
      <c r="H268" s="104"/>
      <c r="I268" s="102"/>
      <c r="J268" s="103"/>
      <c r="K268" s="103"/>
      <c r="L268" s="102"/>
      <c r="M268" s="105"/>
      <c r="N268" s="105"/>
      <c r="O268" s="103"/>
      <c r="P268" s="338"/>
      <c r="Q268" s="103"/>
      <c r="R268" s="102"/>
      <c r="S268" s="23">
        <f t="shared" ref="S268:AE268" si="134">+S269</f>
        <v>0</v>
      </c>
      <c r="T268" s="23">
        <f t="shared" si="134"/>
        <v>0</v>
      </c>
      <c r="U268" s="23">
        <f t="shared" si="134"/>
        <v>0</v>
      </c>
      <c r="V268" s="23">
        <f t="shared" si="134"/>
        <v>0</v>
      </c>
      <c r="W268" s="23">
        <f t="shared" si="134"/>
        <v>0</v>
      </c>
      <c r="X268" s="23">
        <f t="shared" si="134"/>
        <v>0</v>
      </c>
      <c r="Y268" s="23">
        <f t="shared" si="134"/>
        <v>0</v>
      </c>
      <c r="Z268" s="23">
        <f t="shared" si="134"/>
        <v>0</v>
      </c>
      <c r="AA268" s="23">
        <f t="shared" si="134"/>
        <v>0</v>
      </c>
      <c r="AB268" s="23">
        <f t="shared" si="134"/>
        <v>0</v>
      </c>
      <c r="AC268" s="23">
        <f t="shared" si="134"/>
        <v>25000000</v>
      </c>
      <c r="AD268" s="23">
        <f t="shared" si="134"/>
        <v>0</v>
      </c>
      <c r="AE268" s="23">
        <f t="shared" si="134"/>
        <v>0</v>
      </c>
      <c r="AF268" s="23">
        <f>+AF269</f>
        <v>25000000</v>
      </c>
    </row>
    <row r="269" spans="1:32" s="115" customFormat="1" ht="118.5" customHeight="1" x14ac:dyDescent="0.2">
      <c r="A269" s="367"/>
      <c r="B269" s="356"/>
      <c r="C269" s="291"/>
      <c r="D269" s="272"/>
      <c r="E269" s="282">
        <v>3604</v>
      </c>
      <c r="F269" s="274" t="s">
        <v>929</v>
      </c>
      <c r="G269" s="251" t="s">
        <v>930</v>
      </c>
      <c r="H269" s="281">
        <v>3604006</v>
      </c>
      <c r="I269" s="274" t="s">
        <v>931</v>
      </c>
      <c r="J269" s="218" t="s">
        <v>932</v>
      </c>
      <c r="K269" s="221" t="s">
        <v>933</v>
      </c>
      <c r="L269" s="219" t="s">
        <v>337</v>
      </c>
      <c r="M269" s="229" t="s">
        <v>143</v>
      </c>
      <c r="N269" s="229">
        <v>800</v>
      </c>
      <c r="O269" s="229">
        <v>50</v>
      </c>
      <c r="P269" s="337" t="s">
        <v>283</v>
      </c>
      <c r="Q269" s="272" t="s">
        <v>822</v>
      </c>
      <c r="R269" s="172" t="s">
        <v>934</v>
      </c>
      <c r="S269" s="3"/>
      <c r="T269" s="3"/>
      <c r="U269" s="3"/>
      <c r="V269" s="3"/>
      <c r="W269" s="3"/>
      <c r="X269" s="3"/>
      <c r="Y269" s="3"/>
      <c r="Z269" s="3"/>
      <c r="AA269" s="3"/>
      <c r="AB269" s="3"/>
      <c r="AC269" s="9">
        <v>25000000</v>
      </c>
      <c r="AD269" s="3"/>
      <c r="AE269" s="3"/>
      <c r="AF269" s="109">
        <f>+S269+T269+U269+V269+W269+X269+Y269+Z269+AA269+AB269+AC269+AD269+AE269</f>
        <v>25000000</v>
      </c>
    </row>
    <row r="270" spans="1:32" s="115" customFormat="1" ht="15.75" x14ac:dyDescent="0.2">
      <c r="A270" s="367"/>
      <c r="B270" s="193">
        <v>4</v>
      </c>
      <c r="C270" s="95" t="s">
        <v>72</v>
      </c>
      <c r="D270" s="96"/>
      <c r="E270" s="96"/>
      <c r="F270" s="97"/>
      <c r="G270" s="98"/>
      <c r="H270" s="99"/>
      <c r="I270" s="97"/>
      <c r="J270" s="98"/>
      <c r="K270" s="98"/>
      <c r="L270" s="97"/>
      <c r="M270" s="100"/>
      <c r="N270" s="100"/>
      <c r="O270" s="98"/>
      <c r="P270" s="340"/>
      <c r="Q270" s="98"/>
      <c r="R270" s="97"/>
      <c r="S270" s="113">
        <f t="shared" ref="S270:AB270" si="135">S271</f>
        <v>0</v>
      </c>
      <c r="T270" s="113">
        <f t="shared" si="135"/>
        <v>0</v>
      </c>
      <c r="U270" s="113">
        <f t="shared" si="135"/>
        <v>0</v>
      </c>
      <c r="V270" s="113">
        <f t="shared" si="135"/>
        <v>0</v>
      </c>
      <c r="W270" s="113">
        <f t="shared" si="135"/>
        <v>0</v>
      </c>
      <c r="X270" s="113">
        <f t="shared" si="135"/>
        <v>0</v>
      </c>
      <c r="Y270" s="113">
        <f t="shared" si="135"/>
        <v>0</v>
      </c>
      <c r="Z270" s="113">
        <f t="shared" si="135"/>
        <v>0</v>
      </c>
      <c r="AA270" s="113">
        <f t="shared" si="135"/>
        <v>0</v>
      </c>
      <c r="AB270" s="113">
        <f t="shared" si="135"/>
        <v>0</v>
      </c>
      <c r="AC270" s="113">
        <f>AC271</f>
        <v>15000000</v>
      </c>
      <c r="AD270" s="113">
        <f>AD271</f>
        <v>0</v>
      </c>
      <c r="AE270" s="113">
        <f>AE271</f>
        <v>0</v>
      </c>
      <c r="AF270" s="113">
        <f>AF271</f>
        <v>15000000</v>
      </c>
    </row>
    <row r="271" spans="1:32" s="115" customFormat="1" ht="15.75" x14ac:dyDescent="0.2">
      <c r="A271" s="367"/>
      <c r="B271" s="354"/>
      <c r="C271" s="131">
        <v>42</v>
      </c>
      <c r="D271" s="103">
        <v>4502</v>
      </c>
      <c r="E271" s="275" t="s">
        <v>63</v>
      </c>
      <c r="F271" s="102"/>
      <c r="G271" s="103"/>
      <c r="H271" s="104"/>
      <c r="I271" s="102"/>
      <c r="J271" s="103"/>
      <c r="K271" s="103"/>
      <c r="L271" s="102"/>
      <c r="M271" s="105"/>
      <c r="N271" s="105"/>
      <c r="O271" s="103"/>
      <c r="P271" s="338"/>
      <c r="Q271" s="103"/>
      <c r="R271" s="102"/>
      <c r="S271" s="23">
        <f t="shared" ref="S271:AE271" si="136">+S272</f>
        <v>0</v>
      </c>
      <c r="T271" s="23">
        <f t="shared" si="136"/>
        <v>0</v>
      </c>
      <c r="U271" s="23">
        <f t="shared" si="136"/>
        <v>0</v>
      </c>
      <c r="V271" s="23">
        <f t="shared" si="136"/>
        <v>0</v>
      </c>
      <c r="W271" s="23">
        <f t="shared" si="136"/>
        <v>0</v>
      </c>
      <c r="X271" s="23">
        <f t="shared" si="136"/>
        <v>0</v>
      </c>
      <c r="Y271" s="23">
        <f t="shared" si="136"/>
        <v>0</v>
      </c>
      <c r="Z271" s="23">
        <f t="shared" si="136"/>
        <v>0</v>
      </c>
      <c r="AA271" s="23">
        <f t="shared" si="136"/>
        <v>0</v>
      </c>
      <c r="AB271" s="23">
        <f t="shared" si="136"/>
        <v>0</v>
      </c>
      <c r="AC271" s="23">
        <f t="shared" si="136"/>
        <v>15000000</v>
      </c>
      <c r="AD271" s="23">
        <f t="shared" si="136"/>
        <v>0</v>
      </c>
      <c r="AE271" s="23">
        <f t="shared" si="136"/>
        <v>0</v>
      </c>
      <c r="AF271" s="23">
        <f>+AF272</f>
        <v>15000000</v>
      </c>
    </row>
    <row r="272" spans="1:32" s="115" customFormat="1" ht="98.25" customHeight="1" x14ac:dyDescent="0.2">
      <c r="A272" s="385"/>
      <c r="B272" s="356"/>
      <c r="C272" s="291"/>
      <c r="D272" s="272"/>
      <c r="E272" s="282">
        <v>4502</v>
      </c>
      <c r="F272" s="273" t="s">
        <v>935</v>
      </c>
      <c r="G272" s="249" t="s">
        <v>348</v>
      </c>
      <c r="H272" s="135">
        <v>4502001</v>
      </c>
      <c r="I272" s="274" t="s">
        <v>349</v>
      </c>
      <c r="J272" s="220" t="s">
        <v>936</v>
      </c>
      <c r="K272" s="218" t="s">
        <v>47</v>
      </c>
      <c r="L272" s="224" t="s">
        <v>937</v>
      </c>
      <c r="M272" s="218" t="s">
        <v>143</v>
      </c>
      <c r="N272" s="233">
        <v>4</v>
      </c>
      <c r="O272" s="218">
        <v>1</v>
      </c>
      <c r="P272" s="337" t="s">
        <v>69</v>
      </c>
      <c r="Q272" s="272" t="s">
        <v>922</v>
      </c>
      <c r="R272" s="273" t="s">
        <v>923</v>
      </c>
      <c r="S272" s="3"/>
      <c r="T272" s="3"/>
      <c r="U272" s="3"/>
      <c r="V272" s="3"/>
      <c r="W272" s="3"/>
      <c r="X272" s="3"/>
      <c r="Y272" s="3"/>
      <c r="Z272" s="3"/>
      <c r="AA272" s="3"/>
      <c r="AB272" s="3"/>
      <c r="AC272" s="9">
        <v>15000000</v>
      </c>
      <c r="AD272" s="3"/>
      <c r="AE272" s="3"/>
      <c r="AF272" s="109">
        <f>+S272+T272+U272+V272+W272+X272+Y272+Z272+AA272+AB272+AC272+AD272+AE272</f>
        <v>15000000</v>
      </c>
    </row>
    <row r="273" spans="1:38" s="176" customFormat="1" ht="15.75" x14ac:dyDescent="0.2">
      <c r="A273" s="357"/>
      <c r="B273" s="358"/>
      <c r="C273" s="358"/>
      <c r="D273" s="359"/>
      <c r="E273" s="360"/>
      <c r="F273" s="360"/>
      <c r="G273" s="361"/>
      <c r="H273" s="361"/>
      <c r="I273" s="362"/>
      <c r="J273" s="363"/>
      <c r="K273" s="363"/>
      <c r="L273" s="362"/>
      <c r="M273" s="361"/>
      <c r="N273" s="361"/>
      <c r="O273" s="363"/>
      <c r="P273" s="361"/>
      <c r="Q273" s="361"/>
      <c r="R273" s="362"/>
      <c r="S273" s="364"/>
      <c r="T273" s="364"/>
      <c r="U273" s="364"/>
      <c r="V273" s="364"/>
      <c r="W273" s="364"/>
      <c r="X273" s="364"/>
      <c r="Y273" s="364"/>
      <c r="Z273" s="364"/>
      <c r="AA273" s="364"/>
      <c r="AB273" s="364"/>
      <c r="AC273" s="365"/>
      <c r="AD273" s="364"/>
      <c r="AE273" s="364"/>
      <c r="AF273" s="434"/>
    </row>
    <row r="274" spans="1:38" ht="15.75" x14ac:dyDescent="0.2">
      <c r="A274" s="145" t="s">
        <v>938</v>
      </c>
      <c r="B274" s="145"/>
      <c r="C274" s="145"/>
      <c r="D274" s="146"/>
      <c r="E274" s="146"/>
      <c r="F274" s="147"/>
      <c r="G274" s="148"/>
      <c r="H274" s="92"/>
      <c r="I274" s="147"/>
      <c r="J274" s="148"/>
      <c r="K274" s="148"/>
      <c r="L274" s="147"/>
      <c r="M274" s="92"/>
      <c r="N274" s="92"/>
      <c r="O274" s="148"/>
      <c r="P274" s="146"/>
      <c r="Q274" s="148"/>
      <c r="R274" s="147"/>
      <c r="S274" s="124">
        <f>+S275</f>
        <v>0</v>
      </c>
      <c r="T274" s="124">
        <f t="shared" ref="T274:AF274" si="137">+T275</f>
        <v>0</v>
      </c>
      <c r="U274" s="124">
        <f t="shared" si="137"/>
        <v>0</v>
      </c>
      <c r="V274" s="124">
        <f t="shared" si="137"/>
        <v>0</v>
      </c>
      <c r="W274" s="124">
        <f t="shared" si="137"/>
        <v>6648246009.5</v>
      </c>
      <c r="X274" s="124">
        <f t="shared" si="137"/>
        <v>27454768746.280003</v>
      </c>
      <c r="Y274" s="124">
        <f t="shared" si="137"/>
        <v>0</v>
      </c>
      <c r="Z274" s="124">
        <f t="shared" si="137"/>
        <v>0</v>
      </c>
      <c r="AA274" s="124">
        <f t="shared" si="137"/>
        <v>0</v>
      </c>
      <c r="AB274" s="124">
        <f t="shared" si="137"/>
        <v>0</v>
      </c>
      <c r="AC274" s="124">
        <f t="shared" si="137"/>
        <v>4628050740</v>
      </c>
      <c r="AD274" s="124">
        <f t="shared" si="137"/>
        <v>0</v>
      </c>
      <c r="AE274" s="124">
        <f t="shared" si="137"/>
        <v>2147768825.3000002</v>
      </c>
      <c r="AF274" s="124">
        <f t="shared" si="137"/>
        <v>40878834321.080002</v>
      </c>
      <c r="AG274" s="401"/>
      <c r="AH274" s="401"/>
      <c r="AI274" s="401"/>
      <c r="AJ274" s="401"/>
      <c r="AK274" s="401"/>
      <c r="AL274" s="401"/>
    </row>
    <row r="275" spans="1:38" ht="15.75" x14ac:dyDescent="0.2">
      <c r="A275" s="366"/>
      <c r="B275" s="193">
        <v>1</v>
      </c>
      <c r="C275" s="95" t="s">
        <v>939</v>
      </c>
      <c r="D275" s="96"/>
      <c r="E275" s="96"/>
      <c r="F275" s="97"/>
      <c r="G275" s="98"/>
      <c r="H275" s="99"/>
      <c r="I275" s="97"/>
      <c r="J275" s="98"/>
      <c r="K275" s="98"/>
      <c r="L275" s="97"/>
      <c r="M275" s="100"/>
      <c r="N275" s="100"/>
      <c r="O275" s="98"/>
      <c r="P275" s="96"/>
      <c r="Q275" s="98"/>
      <c r="R275" s="97"/>
      <c r="S275" s="101">
        <f t="shared" ref="S275" si="138">+S276+S300+S331</f>
        <v>0</v>
      </c>
      <c r="T275" s="101">
        <f t="shared" ref="T275:AF275" si="139">+T276+T300+T331</f>
        <v>0</v>
      </c>
      <c r="U275" s="101">
        <f t="shared" si="139"/>
        <v>0</v>
      </c>
      <c r="V275" s="101">
        <f t="shared" si="139"/>
        <v>0</v>
      </c>
      <c r="W275" s="101">
        <f t="shared" si="139"/>
        <v>6648246009.5</v>
      </c>
      <c r="X275" s="101">
        <f t="shared" si="139"/>
        <v>27454768746.280003</v>
      </c>
      <c r="Y275" s="101">
        <f t="shared" si="139"/>
        <v>0</v>
      </c>
      <c r="Z275" s="101">
        <f t="shared" si="139"/>
        <v>0</v>
      </c>
      <c r="AA275" s="101">
        <f t="shared" si="139"/>
        <v>0</v>
      </c>
      <c r="AB275" s="101">
        <f t="shared" si="139"/>
        <v>0</v>
      </c>
      <c r="AC275" s="101">
        <f t="shared" si="139"/>
        <v>4628050740</v>
      </c>
      <c r="AD275" s="101">
        <f t="shared" si="139"/>
        <v>0</v>
      </c>
      <c r="AE275" s="101">
        <f t="shared" si="139"/>
        <v>2147768825.3000002</v>
      </c>
      <c r="AF275" s="101">
        <f t="shared" si="139"/>
        <v>40878834321.080002</v>
      </c>
    </row>
    <row r="276" spans="1:38" ht="15.75" x14ac:dyDescent="0.2">
      <c r="A276" s="352"/>
      <c r="B276" s="354"/>
      <c r="C276" s="131">
        <v>11</v>
      </c>
      <c r="D276" s="103">
        <v>1903</v>
      </c>
      <c r="E276" s="275" t="s">
        <v>940</v>
      </c>
      <c r="F276" s="102"/>
      <c r="G276" s="103"/>
      <c r="H276" s="104"/>
      <c r="I276" s="102"/>
      <c r="J276" s="103"/>
      <c r="K276" s="103"/>
      <c r="L276" s="102"/>
      <c r="M276" s="105"/>
      <c r="N276" s="105"/>
      <c r="O276" s="103"/>
      <c r="P276" s="106"/>
      <c r="Q276" s="103"/>
      <c r="R276" s="102"/>
      <c r="S276" s="107">
        <f t="shared" ref="S276" si="140">SUM(S277:S299)</f>
        <v>0</v>
      </c>
      <c r="T276" s="107">
        <f t="shared" ref="T276:AF276" si="141">SUM(T277:T299)</f>
        <v>0</v>
      </c>
      <c r="U276" s="107">
        <f t="shared" si="141"/>
        <v>0</v>
      </c>
      <c r="V276" s="107">
        <f t="shared" si="141"/>
        <v>0</v>
      </c>
      <c r="W276" s="107">
        <f t="shared" si="141"/>
        <v>1887781718</v>
      </c>
      <c r="X276" s="107">
        <f t="shared" si="141"/>
        <v>1306328216.8600001</v>
      </c>
      <c r="Y276" s="107">
        <f t="shared" si="141"/>
        <v>0</v>
      </c>
      <c r="Z276" s="107">
        <f t="shared" si="141"/>
        <v>0</v>
      </c>
      <c r="AA276" s="107">
        <f t="shared" si="141"/>
        <v>0</v>
      </c>
      <c r="AB276" s="107">
        <f t="shared" si="141"/>
        <v>0</v>
      </c>
      <c r="AC276" s="107">
        <f t="shared" si="141"/>
        <v>161590000</v>
      </c>
      <c r="AD276" s="107">
        <f t="shared" si="141"/>
        <v>0</v>
      </c>
      <c r="AE276" s="107">
        <f t="shared" si="141"/>
        <v>351200000</v>
      </c>
      <c r="AF276" s="107">
        <f t="shared" si="141"/>
        <v>3706899934.8600001</v>
      </c>
    </row>
    <row r="277" spans="1:38" ht="92.25" customHeight="1" x14ac:dyDescent="0.2">
      <c r="A277" s="352"/>
      <c r="B277" s="374"/>
      <c r="C277" s="291"/>
      <c r="D277" s="272"/>
      <c r="E277" s="272">
        <v>1903</v>
      </c>
      <c r="F277" s="274" t="s">
        <v>941</v>
      </c>
      <c r="G277" s="268" t="s">
        <v>942</v>
      </c>
      <c r="H277" s="272" t="s">
        <v>47</v>
      </c>
      <c r="I277" s="273" t="s">
        <v>961</v>
      </c>
      <c r="J277" s="234" t="s">
        <v>943</v>
      </c>
      <c r="K277" s="218" t="s">
        <v>47</v>
      </c>
      <c r="L277" s="224" t="s">
        <v>944</v>
      </c>
      <c r="M277" s="218" t="s">
        <v>53</v>
      </c>
      <c r="N277" s="218">
        <v>1</v>
      </c>
      <c r="O277" s="218">
        <v>1</v>
      </c>
      <c r="P277" s="281" t="s">
        <v>152</v>
      </c>
      <c r="Q277" s="272" t="s">
        <v>945</v>
      </c>
      <c r="R277" s="273" t="s">
        <v>10</v>
      </c>
      <c r="S277" s="3"/>
      <c r="T277" s="3"/>
      <c r="U277" s="3"/>
      <c r="V277" s="3"/>
      <c r="W277" s="3">
        <f>50000000</f>
        <v>50000000</v>
      </c>
      <c r="X277" s="3"/>
      <c r="Y277" s="3"/>
      <c r="Z277" s="3"/>
      <c r="AA277" s="3"/>
      <c r="AB277" s="3"/>
      <c r="AC277" s="9"/>
      <c r="AD277" s="3"/>
      <c r="AE277" s="3"/>
      <c r="AF277" s="216">
        <f t="shared" ref="AF277:AF299" si="142">+S277+T277+U277+V277+W277+X277+Y277+Z277+AA277+AB277+AC277+AD277+AE277</f>
        <v>50000000</v>
      </c>
    </row>
    <row r="278" spans="1:38" ht="66" customHeight="1" x14ac:dyDescent="0.2">
      <c r="A278" s="352"/>
      <c r="B278" s="355"/>
      <c r="C278" s="289"/>
      <c r="D278" s="290"/>
      <c r="E278" s="272">
        <v>1903</v>
      </c>
      <c r="F278" s="274" t="s">
        <v>941</v>
      </c>
      <c r="G278" s="160" t="s">
        <v>946</v>
      </c>
      <c r="H278" s="272">
        <v>1903009</v>
      </c>
      <c r="I278" s="273" t="s">
        <v>947</v>
      </c>
      <c r="J278" s="272" t="s">
        <v>948</v>
      </c>
      <c r="K278" s="218">
        <v>190300900</v>
      </c>
      <c r="L278" s="224" t="s">
        <v>949</v>
      </c>
      <c r="M278" s="218" t="s">
        <v>143</v>
      </c>
      <c r="N278" s="218">
        <v>2900</v>
      </c>
      <c r="O278" s="218">
        <v>380</v>
      </c>
      <c r="P278" s="442" t="s">
        <v>152</v>
      </c>
      <c r="Q278" s="441" t="s">
        <v>950</v>
      </c>
      <c r="R278" s="442" t="s">
        <v>951</v>
      </c>
      <c r="S278" s="3"/>
      <c r="T278" s="3"/>
      <c r="U278" s="3"/>
      <c r="V278" s="3"/>
      <c r="W278" s="3">
        <f>70000000-33600000</f>
        <v>36400000</v>
      </c>
      <c r="X278" s="3"/>
      <c r="Y278" s="3"/>
      <c r="Z278" s="3"/>
      <c r="AA278" s="3"/>
      <c r="AB278" s="3"/>
      <c r="AC278" s="9">
        <f>40000000-40000000</f>
        <v>0</v>
      </c>
      <c r="AD278" s="3"/>
      <c r="AE278" s="3"/>
      <c r="AF278" s="216">
        <f t="shared" si="142"/>
        <v>36400000</v>
      </c>
    </row>
    <row r="279" spans="1:38" ht="69" customHeight="1" x14ac:dyDescent="0.2">
      <c r="A279" s="352"/>
      <c r="B279" s="355"/>
      <c r="C279" s="289"/>
      <c r="D279" s="290"/>
      <c r="E279" s="272">
        <v>1903</v>
      </c>
      <c r="F279" s="274" t="s">
        <v>952</v>
      </c>
      <c r="G279" s="160" t="s">
        <v>953</v>
      </c>
      <c r="H279" s="272">
        <v>1903023</v>
      </c>
      <c r="I279" s="273" t="s">
        <v>954</v>
      </c>
      <c r="J279" s="272" t="s">
        <v>955</v>
      </c>
      <c r="K279" s="218">
        <v>190302300</v>
      </c>
      <c r="L279" s="224" t="s">
        <v>956</v>
      </c>
      <c r="M279" s="218" t="s">
        <v>53</v>
      </c>
      <c r="N279" s="218">
        <v>12</v>
      </c>
      <c r="O279" s="218">
        <v>12</v>
      </c>
      <c r="P279" s="442"/>
      <c r="Q279" s="441"/>
      <c r="R279" s="442"/>
      <c r="S279" s="3"/>
      <c r="T279" s="3"/>
      <c r="U279" s="3"/>
      <c r="V279" s="3"/>
      <c r="W279" s="263">
        <f>2800528+79027689-0.14-2800528-67827688.86</f>
        <v>11200000</v>
      </c>
      <c r="X279" s="117"/>
      <c r="Y279" s="3"/>
      <c r="Z279" s="3"/>
      <c r="AA279" s="3"/>
      <c r="AB279" s="3"/>
      <c r="AC279" s="174"/>
      <c r="AD279" s="3"/>
      <c r="AE279" s="3"/>
      <c r="AF279" s="216">
        <f t="shared" si="142"/>
        <v>11200000</v>
      </c>
    </row>
    <row r="280" spans="1:38" ht="146.25" customHeight="1" x14ac:dyDescent="0.2">
      <c r="A280" s="352"/>
      <c r="B280" s="355"/>
      <c r="C280" s="289"/>
      <c r="D280" s="290"/>
      <c r="E280" s="272">
        <v>1903</v>
      </c>
      <c r="F280" s="274" t="s">
        <v>957</v>
      </c>
      <c r="G280" s="268" t="s">
        <v>958</v>
      </c>
      <c r="H280" s="272" t="s">
        <v>47</v>
      </c>
      <c r="I280" s="273" t="s">
        <v>1443</v>
      </c>
      <c r="J280" s="234" t="s">
        <v>959</v>
      </c>
      <c r="K280" s="218" t="s">
        <v>47</v>
      </c>
      <c r="L280" s="224" t="s">
        <v>960</v>
      </c>
      <c r="M280" s="218" t="s">
        <v>53</v>
      </c>
      <c r="N280" s="218">
        <v>12</v>
      </c>
      <c r="O280" s="218">
        <v>12</v>
      </c>
      <c r="P280" s="442"/>
      <c r="Q280" s="441"/>
      <c r="R280" s="442"/>
      <c r="S280" s="3"/>
      <c r="T280" s="3"/>
      <c r="U280" s="3"/>
      <c r="V280" s="3"/>
      <c r="W280" s="3">
        <f>70000000-1700000</f>
        <v>68300000</v>
      </c>
      <c r="X280" s="175"/>
      <c r="Y280" s="3"/>
      <c r="Z280" s="3"/>
      <c r="AA280" s="3"/>
      <c r="AB280" s="3"/>
      <c r="AC280" s="174"/>
      <c r="AD280" s="3"/>
      <c r="AE280" s="3"/>
      <c r="AF280" s="216">
        <f t="shared" si="142"/>
        <v>68300000</v>
      </c>
    </row>
    <row r="281" spans="1:38" ht="94.5" customHeight="1" x14ac:dyDescent="0.2">
      <c r="A281" s="352"/>
      <c r="B281" s="355"/>
      <c r="C281" s="289"/>
      <c r="D281" s="290"/>
      <c r="E281" s="272">
        <v>1903</v>
      </c>
      <c r="F281" s="274" t="s">
        <v>941</v>
      </c>
      <c r="G281" s="160" t="s">
        <v>942</v>
      </c>
      <c r="H281" s="272" t="s">
        <v>47</v>
      </c>
      <c r="I281" s="273" t="s">
        <v>961</v>
      </c>
      <c r="J281" s="272" t="s">
        <v>943</v>
      </c>
      <c r="K281" s="218" t="s">
        <v>47</v>
      </c>
      <c r="L281" s="273" t="s">
        <v>944</v>
      </c>
      <c r="M281" s="218" t="s">
        <v>53</v>
      </c>
      <c r="N281" s="218">
        <v>1</v>
      </c>
      <c r="O281" s="272">
        <v>1</v>
      </c>
      <c r="P281" s="442"/>
      <c r="Q281" s="441"/>
      <c r="R281" s="442"/>
      <c r="S281" s="3"/>
      <c r="T281" s="3"/>
      <c r="U281" s="3"/>
      <c r="V281" s="3"/>
      <c r="W281" s="3"/>
      <c r="X281" s="263">
        <f>824500000+2800528+329027688.86</f>
        <v>1156328216.8600001</v>
      </c>
      <c r="Y281" s="3"/>
      <c r="Z281" s="3"/>
      <c r="AA281" s="3"/>
      <c r="AB281" s="3"/>
      <c r="AC281" s="174"/>
      <c r="AD281" s="3"/>
      <c r="AE281" s="117"/>
      <c r="AF281" s="216">
        <f t="shared" si="142"/>
        <v>1156328216.8600001</v>
      </c>
    </row>
    <row r="282" spans="1:38" ht="138.75" customHeight="1" x14ac:dyDescent="0.2">
      <c r="A282" s="352"/>
      <c r="B282" s="355"/>
      <c r="C282" s="289"/>
      <c r="D282" s="290"/>
      <c r="E282" s="272">
        <v>1903</v>
      </c>
      <c r="F282" s="274" t="s">
        <v>962</v>
      </c>
      <c r="G282" s="160" t="s">
        <v>963</v>
      </c>
      <c r="H282" s="272">
        <v>1903038</v>
      </c>
      <c r="I282" s="273" t="s">
        <v>964</v>
      </c>
      <c r="J282" s="272" t="s">
        <v>965</v>
      </c>
      <c r="K282" s="218">
        <v>190303801</v>
      </c>
      <c r="L282" s="273" t="s">
        <v>966</v>
      </c>
      <c r="M282" s="218" t="s">
        <v>53</v>
      </c>
      <c r="N282" s="218">
        <v>11</v>
      </c>
      <c r="O282" s="218">
        <v>11</v>
      </c>
      <c r="P282" s="442"/>
      <c r="Q282" s="441"/>
      <c r="R282" s="442"/>
      <c r="S282" s="3"/>
      <c r="T282" s="3"/>
      <c r="U282" s="3"/>
      <c r="V282" s="3"/>
      <c r="W282" s="3">
        <f>50000000-38800000</f>
        <v>11200000</v>
      </c>
      <c r="X282" s="117"/>
      <c r="Y282" s="3"/>
      <c r="Z282" s="3"/>
      <c r="AA282" s="3"/>
      <c r="AB282" s="3"/>
      <c r="AC282" s="174"/>
      <c r="AD282" s="3"/>
      <c r="AE282" s="3"/>
      <c r="AF282" s="216">
        <f t="shared" si="142"/>
        <v>11200000</v>
      </c>
    </row>
    <row r="283" spans="1:38" ht="80.25" customHeight="1" x14ac:dyDescent="0.2">
      <c r="A283" s="352"/>
      <c r="B283" s="355"/>
      <c r="C283" s="289"/>
      <c r="D283" s="290"/>
      <c r="E283" s="272">
        <v>1903</v>
      </c>
      <c r="F283" s="274" t="s">
        <v>967</v>
      </c>
      <c r="G283" s="268" t="s">
        <v>968</v>
      </c>
      <c r="H283" s="272">
        <v>1903027</v>
      </c>
      <c r="I283" s="273" t="s">
        <v>969</v>
      </c>
      <c r="J283" s="234" t="s">
        <v>970</v>
      </c>
      <c r="K283" s="218">
        <v>190302700</v>
      </c>
      <c r="L283" s="226" t="s">
        <v>971</v>
      </c>
      <c r="M283" s="218" t="s">
        <v>53</v>
      </c>
      <c r="N283" s="218">
        <v>5</v>
      </c>
      <c r="O283" s="218">
        <v>5</v>
      </c>
      <c r="P283" s="442"/>
      <c r="Q283" s="441"/>
      <c r="R283" s="442"/>
      <c r="S283" s="3"/>
      <c r="T283" s="3"/>
      <c r="U283" s="3"/>
      <c r="V283" s="3"/>
      <c r="W283" s="3">
        <f>200000000-188800000</f>
        <v>11200000</v>
      </c>
      <c r="X283" s="117"/>
      <c r="Y283" s="3"/>
      <c r="Z283" s="3"/>
      <c r="AA283" s="3"/>
      <c r="AB283" s="3"/>
      <c r="AC283" s="174"/>
      <c r="AD283" s="3"/>
      <c r="AE283" s="3"/>
      <c r="AF283" s="216">
        <f t="shared" si="142"/>
        <v>11200000</v>
      </c>
    </row>
    <row r="284" spans="1:38" ht="62.25" customHeight="1" x14ac:dyDescent="0.2">
      <c r="A284" s="352"/>
      <c r="B284" s="355"/>
      <c r="C284" s="289"/>
      <c r="D284" s="290"/>
      <c r="E284" s="272">
        <v>1903</v>
      </c>
      <c r="F284" s="274" t="s">
        <v>1020</v>
      </c>
      <c r="G284" s="264" t="s">
        <v>973</v>
      </c>
      <c r="H284" s="272">
        <v>1903011</v>
      </c>
      <c r="I284" s="273" t="s">
        <v>974</v>
      </c>
      <c r="J284" s="235" t="s">
        <v>975</v>
      </c>
      <c r="K284" s="218">
        <v>190301100</v>
      </c>
      <c r="L284" s="226" t="s">
        <v>976</v>
      </c>
      <c r="M284" s="218" t="s">
        <v>53</v>
      </c>
      <c r="N284" s="218">
        <v>140</v>
      </c>
      <c r="O284" s="218">
        <v>140</v>
      </c>
      <c r="P284" s="442"/>
      <c r="Q284" s="441"/>
      <c r="R284" s="442"/>
      <c r="S284" s="3"/>
      <c r="T284" s="3"/>
      <c r="U284" s="3"/>
      <c r="V284" s="3"/>
      <c r="W284" s="3">
        <v>20000000</v>
      </c>
      <c r="X284" s="3"/>
      <c r="Y284" s="3"/>
      <c r="Z284" s="3"/>
      <c r="AA284" s="3"/>
      <c r="AB284" s="3"/>
      <c r="AC284" s="174"/>
      <c r="AD284" s="3"/>
      <c r="AE284" s="3"/>
      <c r="AF284" s="216">
        <f t="shared" si="142"/>
        <v>20000000</v>
      </c>
    </row>
    <row r="285" spans="1:38" ht="103.5" customHeight="1" x14ac:dyDescent="0.2">
      <c r="A285" s="352"/>
      <c r="B285" s="355"/>
      <c r="C285" s="289"/>
      <c r="D285" s="290"/>
      <c r="E285" s="272">
        <v>1903</v>
      </c>
      <c r="F285" s="274" t="s">
        <v>1405</v>
      </c>
      <c r="G285" s="264" t="s">
        <v>977</v>
      </c>
      <c r="H285" s="272">
        <v>1903001</v>
      </c>
      <c r="I285" s="273" t="s">
        <v>544</v>
      </c>
      <c r="J285" s="235" t="s">
        <v>978</v>
      </c>
      <c r="K285" s="218">
        <v>190300100</v>
      </c>
      <c r="L285" s="224" t="s">
        <v>979</v>
      </c>
      <c r="M285" s="218" t="s">
        <v>53</v>
      </c>
      <c r="N285" s="218">
        <v>1</v>
      </c>
      <c r="O285" s="218">
        <v>1</v>
      </c>
      <c r="P285" s="440" t="s">
        <v>152</v>
      </c>
      <c r="Q285" s="441" t="s">
        <v>980</v>
      </c>
      <c r="R285" s="442" t="s">
        <v>981</v>
      </c>
      <c r="S285" s="3"/>
      <c r="T285" s="3"/>
      <c r="U285" s="3"/>
      <c r="V285" s="3"/>
      <c r="W285" s="3">
        <v>81470000</v>
      </c>
      <c r="X285" s="3"/>
      <c r="Y285" s="3"/>
      <c r="Z285" s="3"/>
      <c r="AA285" s="3"/>
      <c r="AB285" s="3"/>
      <c r="AC285" s="9"/>
      <c r="AD285" s="3"/>
      <c r="AE285" s="3"/>
      <c r="AF285" s="216">
        <f t="shared" si="142"/>
        <v>81470000</v>
      </c>
    </row>
    <row r="286" spans="1:38" ht="74.25" customHeight="1" x14ac:dyDescent="0.2">
      <c r="A286" s="352"/>
      <c r="B286" s="355"/>
      <c r="C286" s="289"/>
      <c r="D286" s="290"/>
      <c r="E286" s="272">
        <v>1903</v>
      </c>
      <c r="F286" s="274" t="s">
        <v>982</v>
      </c>
      <c r="G286" s="160" t="s">
        <v>983</v>
      </c>
      <c r="H286" s="272">
        <v>1903015</v>
      </c>
      <c r="I286" s="273" t="s">
        <v>984</v>
      </c>
      <c r="J286" s="272" t="s">
        <v>985</v>
      </c>
      <c r="K286" s="218">
        <v>190301500</v>
      </c>
      <c r="L286" s="273" t="s">
        <v>986</v>
      </c>
      <c r="M286" s="218" t="s">
        <v>53</v>
      </c>
      <c r="N286" s="218">
        <v>12</v>
      </c>
      <c r="O286" s="218">
        <v>12</v>
      </c>
      <c r="P286" s="440"/>
      <c r="Q286" s="441"/>
      <c r="R286" s="442"/>
      <c r="S286" s="3"/>
      <c r="T286" s="3"/>
      <c r="U286" s="3"/>
      <c r="V286" s="3"/>
      <c r="W286" s="3">
        <f>236000000-2000000</f>
        <v>234000000</v>
      </c>
      <c r="X286" s="3"/>
      <c r="Y286" s="3"/>
      <c r="Z286" s="3"/>
      <c r="AA286" s="3"/>
      <c r="AB286" s="3"/>
      <c r="AC286" s="9"/>
      <c r="AD286" s="3"/>
      <c r="AE286" s="3"/>
      <c r="AF286" s="216">
        <f t="shared" si="142"/>
        <v>234000000</v>
      </c>
    </row>
    <row r="287" spans="1:38" ht="98.25" customHeight="1" x14ac:dyDescent="0.2">
      <c r="A287" s="352"/>
      <c r="B287" s="355"/>
      <c r="C287" s="289"/>
      <c r="D287" s="290"/>
      <c r="E287" s="272">
        <v>1903</v>
      </c>
      <c r="F287" s="274" t="s">
        <v>1406</v>
      </c>
      <c r="G287" s="160" t="s">
        <v>987</v>
      </c>
      <c r="H287" s="272">
        <v>1903012</v>
      </c>
      <c r="I287" s="273" t="s">
        <v>988</v>
      </c>
      <c r="J287" s="272" t="s">
        <v>989</v>
      </c>
      <c r="K287" s="218">
        <v>190301200</v>
      </c>
      <c r="L287" s="273" t="s">
        <v>990</v>
      </c>
      <c r="M287" s="218" t="s">
        <v>53</v>
      </c>
      <c r="N287" s="218">
        <v>4000</v>
      </c>
      <c r="O287" s="218">
        <v>4000</v>
      </c>
      <c r="P287" s="448" t="s">
        <v>152</v>
      </c>
      <c r="Q287" s="441" t="s">
        <v>991</v>
      </c>
      <c r="R287" s="442" t="s">
        <v>992</v>
      </c>
      <c r="S287" s="3"/>
      <c r="T287" s="3"/>
      <c r="U287" s="3"/>
      <c r="V287" s="3"/>
      <c r="W287" s="21">
        <f>803501477-19489759-11348333</f>
        <v>772663385</v>
      </c>
      <c r="X287" s="21"/>
      <c r="Y287" s="3"/>
      <c r="Z287" s="3"/>
      <c r="AA287" s="3"/>
      <c r="AB287" s="3"/>
      <c r="AC287" s="9">
        <f>243062000-243062000</f>
        <v>0</v>
      </c>
      <c r="AD287" s="3"/>
      <c r="AE287" s="3">
        <v>95200000</v>
      </c>
      <c r="AF287" s="216">
        <f t="shared" si="142"/>
        <v>867863385</v>
      </c>
    </row>
    <row r="288" spans="1:38" ht="82.5" customHeight="1" x14ac:dyDescent="0.2">
      <c r="A288" s="352"/>
      <c r="B288" s="355"/>
      <c r="C288" s="289"/>
      <c r="D288" s="290"/>
      <c r="E288" s="272">
        <v>1903</v>
      </c>
      <c r="F288" s="274" t="s">
        <v>993</v>
      </c>
      <c r="G288" s="160" t="s">
        <v>994</v>
      </c>
      <c r="H288" s="272">
        <v>1903016</v>
      </c>
      <c r="I288" s="273" t="s">
        <v>995</v>
      </c>
      <c r="J288" s="272" t="s">
        <v>996</v>
      </c>
      <c r="K288" s="218">
        <v>190301600</v>
      </c>
      <c r="L288" s="224" t="s">
        <v>997</v>
      </c>
      <c r="M288" s="218" t="s">
        <v>53</v>
      </c>
      <c r="N288" s="218">
        <v>240</v>
      </c>
      <c r="O288" s="218">
        <v>240</v>
      </c>
      <c r="P288" s="448"/>
      <c r="Q288" s="441"/>
      <c r="R288" s="442"/>
      <c r="S288" s="3"/>
      <c r="T288" s="3"/>
      <c r="U288" s="3"/>
      <c r="V288" s="3"/>
      <c r="W288" s="21">
        <f>100000000+11348333</f>
        <v>111348333</v>
      </c>
      <c r="X288" s="3"/>
      <c r="Y288" s="3"/>
      <c r="Z288" s="3"/>
      <c r="AA288" s="3"/>
      <c r="AB288" s="3"/>
      <c r="AC288" s="9"/>
      <c r="AD288" s="3"/>
      <c r="AE288" s="3"/>
      <c r="AF288" s="216">
        <f t="shared" si="142"/>
        <v>111348333</v>
      </c>
    </row>
    <row r="289" spans="1:32" s="138" customFormat="1" ht="88.5" customHeight="1" x14ac:dyDescent="0.2">
      <c r="A289" s="370"/>
      <c r="B289" s="371"/>
      <c r="C289" s="298"/>
      <c r="D289" s="271"/>
      <c r="E289" s="272">
        <v>1903</v>
      </c>
      <c r="F289" s="177" t="s">
        <v>972</v>
      </c>
      <c r="G289" s="264" t="s">
        <v>973</v>
      </c>
      <c r="H289" s="279">
        <v>1903011</v>
      </c>
      <c r="I289" s="280" t="s">
        <v>974</v>
      </c>
      <c r="J289" s="235" t="s">
        <v>998</v>
      </c>
      <c r="K289" s="223">
        <v>190301101</v>
      </c>
      <c r="L289" s="280" t="s">
        <v>999</v>
      </c>
      <c r="M289" s="223" t="s">
        <v>53</v>
      </c>
      <c r="N289" s="223">
        <v>12</v>
      </c>
      <c r="O289" s="223">
        <v>12</v>
      </c>
      <c r="P289" s="448"/>
      <c r="Q289" s="441"/>
      <c r="R289" s="442"/>
      <c r="S289" s="3"/>
      <c r="T289" s="3"/>
      <c r="U289" s="3"/>
      <c r="V289" s="3"/>
      <c r="W289" s="21">
        <v>100000000</v>
      </c>
      <c r="X289" s="3"/>
      <c r="Y289" s="3"/>
      <c r="Z289" s="3"/>
      <c r="AA289" s="3"/>
      <c r="AB289" s="3"/>
      <c r="AC289" s="9"/>
      <c r="AD289" s="3"/>
      <c r="AE289" s="3"/>
      <c r="AF289" s="137">
        <f t="shared" si="142"/>
        <v>100000000</v>
      </c>
    </row>
    <row r="290" spans="1:32" ht="66" customHeight="1" x14ac:dyDescent="0.2">
      <c r="A290" s="352"/>
      <c r="B290" s="355"/>
      <c r="C290" s="289"/>
      <c r="D290" s="290"/>
      <c r="E290" s="272">
        <v>1903</v>
      </c>
      <c r="F290" s="274" t="s">
        <v>967</v>
      </c>
      <c r="G290" s="268" t="s">
        <v>1457</v>
      </c>
      <c r="H290" s="272">
        <v>1903031</v>
      </c>
      <c r="I290" s="273" t="s">
        <v>1000</v>
      </c>
      <c r="J290" s="234" t="s">
        <v>1001</v>
      </c>
      <c r="K290" s="218">
        <v>190303100</v>
      </c>
      <c r="L290" s="226" t="s">
        <v>1002</v>
      </c>
      <c r="M290" s="218" t="s">
        <v>53</v>
      </c>
      <c r="N290" s="218">
        <v>12</v>
      </c>
      <c r="O290" s="218">
        <v>12</v>
      </c>
      <c r="P290" s="337" t="s">
        <v>152</v>
      </c>
      <c r="Q290" s="272" t="s">
        <v>1003</v>
      </c>
      <c r="R290" s="273" t="s">
        <v>1004</v>
      </c>
      <c r="S290" s="3"/>
      <c r="T290" s="3"/>
      <c r="U290" s="3"/>
      <c r="V290" s="3"/>
      <c r="W290" s="21">
        <f>400000000-20000000</f>
        <v>380000000</v>
      </c>
      <c r="X290" s="3"/>
      <c r="Y290" s="3"/>
      <c r="Z290" s="3"/>
      <c r="AA290" s="3"/>
      <c r="AB290" s="3"/>
      <c r="AC290" s="9"/>
      <c r="AD290" s="3"/>
      <c r="AE290" s="3">
        <v>256000000</v>
      </c>
      <c r="AF290" s="216">
        <f t="shared" si="142"/>
        <v>636000000</v>
      </c>
    </row>
    <row r="291" spans="1:32" ht="77.25" customHeight="1" x14ac:dyDescent="0.2">
      <c r="A291" s="352"/>
      <c r="B291" s="355"/>
      <c r="C291" s="291"/>
      <c r="D291" s="272"/>
      <c r="E291" s="272">
        <v>1903</v>
      </c>
      <c r="F291" s="274" t="s">
        <v>972</v>
      </c>
      <c r="G291" s="160" t="s">
        <v>1005</v>
      </c>
      <c r="H291" s="272">
        <v>1903034</v>
      </c>
      <c r="I291" s="273" t="s">
        <v>322</v>
      </c>
      <c r="J291" s="272" t="s">
        <v>1006</v>
      </c>
      <c r="K291" s="218">
        <v>190303400</v>
      </c>
      <c r="L291" s="273" t="s">
        <v>1007</v>
      </c>
      <c r="M291" s="218" t="s">
        <v>53</v>
      </c>
      <c r="N291" s="218">
        <v>12</v>
      </c>
      <c r="O291" s="218">
        <v>12</v>
      </c>
      <c r="P291" s="337" t="s">
        <v>152</v>
      </c>
      <c r="Q291" s="272" t="s">
        <v>1008</v>
      </c>
      <c r="R291" s="273" t="s">
        <v>1009</v>
      </c>
      <c r="S291" s="3"/>
      <c r="T291" s="3"/>
      <c r="U291" s="3"/>
      <c r="V291" s="3"/>
      <c r="W291" s="3"/>
      <c r="X291" s="21"/>
      <c r="Y291" s="3"/>
      <c r="Z291" s="3"/>
      <c r="AA291" s="3"/>
      <c r="AB291" s="3"/>
      <c r="AC291" s="9">
        <v>96954000</v>
      </c>
      <c r="AD291" s="3"/>
      <c r="AE291" s="3"/>
      <c r="AF291" s="216">
        <f t="shared" si="142"/>
        <v>96954000</v>
      </c>
    </row>
    <row r="292" spans="1:32" ht="75" customHeight="1" x14ac:dyDescent="0.2">
      <c r="A292" s="352"/>
      <c r="B292" s="355"/>
      <c r="C292" s="291"/>
      <c r="D292" s="272"/>
      <c r="E292" s="272">
        <v>1903</v>
      </c>
      <c r="F292" s="274" t="s">
        <v>1407</v>
      </c>
      <c r="G292" s="268" t="s">
        <v>1456</v>
      </c>
      <c r="H292" s="272">
        <v>1903045</v>
      </c>
      <c r="I292" s="273" t="s">
        <v>1010</v>
      </c>
      <c r="J292" s="234" t="s">
        <v>1011</v>
      </c>
      <c r="K292" s="218">
        <v>190304500</v>
      </c>
      <c r="L292" s="224" t="s">
        <v>1012</v>
      </c>
      <c r="M292" s="218" t="s">
        <v>143</v>
      </c>
      <c r="N292" s="218">
        <v>2900</v>
      </c>
      <c r="O292" s="218">
        <v>60</v>
      </c>
      <c r="P292" s="448" t="s">
        <v>152</v>
      </c>
      <c r="Q292" s="441" t="s">
        <v>1013</v>
      </c>
      <c r="R292" s="442" t="s">
        <v>1014</v>
      </c>
      <c r="S292" s="3"/>
      <c r="T292" s="3"/>
      <c r="U292" s="3"/>
      <c r="V292" s="3"/>
      <c r="W292" s="3"/>
      <c r="X292" s="21"/>
      <c r="Y292" s="3"/>
      <c r="Z292" s="3"/>
      <c r="AA292" s="3"/>
      <c r="AB292" s="3"/>
      <c r="AC292" s="283">
        <f>19636000-7560000+15000000+7560000</f>
        <v>34636000</v>
      </c>
      <c r="AD292" s="263"/>
      <c r="AE292" s="3"/>
      <c r="AF292" s="216">
        <f t="shared" si="142"/>
        <v>34636000</v>
      </c>
    </row>
    <row r="293" spans="1:32" ht="99.75" customHeight="1" x14ac:dyDescent="0.2">
      <c r="A293" s="352"/>
      <c r="B293" s="355"/>
      <c r="C293" s="291"/>
      <c r="D293" s="272"/>
      <c r="E293" s="272">
        <v>1903</v>
      </c>
      <c r="F293" s="274" t="s">
        <v>1405</v>
      </c>
      <c r="G293" s="264" t="s">
        <v>977</v>
      </c>
      <c r="H293" s="272">
        <v>1903001</v>
      </c>
      <c r="I293" s="273" t="s">
        <v>544</v>
      </c>
      <c r="J293" s="235" t="s">
        <v>978</v>
      </c>
      <c r="K293" s="218">
        <v>190300100</v>
      </c>
      <c r="L293" s="224" t="s">
        <v>979</v>
      </c>
      <c r="M293" s="218" t="s">
        <v>53</v>
      </c>
      <c r="N293" s="218">
        <v>1</v>
      </c>
      <c r="O293" s="272">
        <v>1</v>
      </c>
      <c r="P293" s="448"/>
      <c r="Q293" s="441"/>
      <c r="R293" s="442"/>
      <c r="S293" s="3"/>
      <c r="T293" s="3"/>
      <c r="U293" s="3"/>
      <c r="V293" s="3"/>
      <c r="W293" s="3"/>
      <c r="X293" s="21"/>
      <c r="Y293" s="3"/>
      <c r="Z293" s="3"/>
      <c r="AA293" s="3"/>
      <c r="AB293" s="3"/>
      <c r="AC293" s="283"/>
      <c r="AD293" s="3"/>
      <c r="AE293" s="3"/>
      <c r="AF293" s="216">
        <f t="shared" si="142"/>
        <v>0</v>
      </c>
    </row>
    <row r="294" spans="1:32" s="138" customFormat="1" ht="71.25" customHeight="1" x14ac:dyDescent="0.2">
      <c r="A294" s="370"/>
      <c r="B294" s="371"/>
      <c r="C294" s="314"/>
      <c r="D294" s="279"/>
      <c r="E294" s="272">
        <v>1903</v>
      </c>
      <c r="F294" s="236" t="s">
        <v>1015</v>
      </c>
      <c r="G294" s="264" t="s">
        <v>1016</v>
      </c>
      <c r="H294" s="223">
        <v>1903010</v>
      </c>
      <c r="I294" s="236" t="s">
        <v>1017</v>
      </c>
      <c r="J294" s="235" t="s">
        <v>1018</v>
      </c>
      <c r="K294" s="223">
        <v>190301000</v>
      </c>
      <c r="L294" s="236" t="s">
        <v>1019</v>
      </c>
      <c r="M294" s="223" t="s">
        <v>53</v>
      </c>
      <c r="N294" s="223">
        <v>12</v>
      </c>
      <c r="O294" s="223">
        <v>12</v>
      </c>
      <c r="P294" s="448"/>
      <c r="Q294" s="441"/>
      <c r="R294" s="442"/>
      <c r="S294" s="3"/>
      <c r="T294" s="3"/>
      <c r="U294" s="3"/>
      <c r="V294" s="3"/>
      <c r="W294" s="3"/>
      <c r="X294" s="21"/>
      <c r="Y294" s="3"/>
      <c r="Z294" s="3"/>
      <c r="AA294" s="3"/>
      <c r="AB294" s="3"/>
      <c r="AC294" s="9">
        <v>15000000</v>
      </c>
      <c r="AD294" s="3"/>
      <c r="AE294" s="3"/>
      <c r="AF294" s="137">
        <f t="shared" si="142"/>
        <v>15000000</v>
      </c>
    </row>
    <row r="295" spans="1:32" s="138" customFormat="1" ht="71.25" customHeight="1" x14ac:dyDescent="0.2">
      <c r="A295" s="370"/>
      <c r="B295" s="371"/>
      <c r="C295" s="298"/>
      <c r="D295" s="279"/>
      <c r="E295" s="272">
        <v>1903</v>
      </c>
      <c r="F295" s="177" t="s">
        <v>1020</v>
      </c>
      <c r="G295" s="264" t="s">
        <v>973</v>
      </c>
      <c r="H295" s="279">
        <v>1903011</v>
      </c>
      <c r="I295" s="280" t="s">
        <v>974</v>
      </c>
      <c r="J295" s="235" t="s">
        <v>998</v>
      </c>
      <c r="K295" s="223">
        <v>190301101</v>
      </c>
      <c r="L295" s="280" t="s">
        <v>999</v>
      </c>
      <c r="M295" s="223" t="s">
        <v>53</v>
      </c>
      <c r="N295" s="223">
        <v>12</v>
      </c>
      <c r="O295" s="223">
        <v>12</v>
      </c>
      <c r="P295" s="448"/>
      <c r="Q295" s="441"/>
      <c r="R295" s="442"/>
      <c r="S295" s="3"/>
      <c r="T295" s="3"/>
      <c r="U295" s="3"/>
      <c r="V295" s="3"/>
      <c r="W295" s="3"/>
      <c r="X295" s="21"/>
      <c r="Y295" s="3"/>
      <c r="Z295" s="3"/>
      <c r="AA295" s="3"/>
      <c r="AB295" s="3"/>
      <c r="AC295" s="9">
        <v>15000000</v>
      </c>
      <c r="AD295" s="3"/>
      <c r="AE295" s="3"/>
      <c r="AF295" s="137">
        <f t="shared" si="142"/>
        <v>15000000</v>
      </c>
    </row>
    <row r="296" spans="1:32" ht="66" customHeight="1" x14ac:dyDescent="0.2">
      <c r="A296" s="352"/>
      <c r="B296" s="355"/>
      <c r="C296" s="291"/>
      <c r="D296" s="272"/>
      <c r="E296" s="272">
        <v>1903</v>
      </c>
      <c r="F296" s="274" t="s">
        <v>1021</v>
      </c>
      <c r="G296" s="268" t="s">
        <v>1022</v>
      </c>
      <c r="H296" s="272">
        <v>1903047</v>
      </c>
      <c r="I296" s="273" t="s">
        <v>1023</v>
      </c>
      <c r="J296" s="234" t="s">
        <v>1024</v>
      </c>
      <c r="K296" s="218">
        <v>190304701</v>
      </c>
      <c r="L296" s="224" t="s">
        <v>1025</v>
      </c>
      <c r="M296" s="218" t="s">
        <v>53</v>
      </c>
      <c r="N296" s="218">
        <v>1</v>
      </c>
      <c r="O296" s="218">
        <v>1</v>
      </c>
      <c r="P296" s="448" t="s">
        <v>152</v>
      </c>
      <c r="Q296" s="441" t="s">
        <v>1026</v>
      </c>
      <c r="R296" s="442" t="s">
        <v>1027</v>
      </c>
      <c r="S296" s="3"/>
      <c r="T296" s="3"/>
      <c r="U296" s="3"/>
      <c r="V296" s="3"/>
      <c r="W296" s="3"/>
      <c r="X296" s="178">
        <v>20000000</v>
      </c>
      <c r="Y296" s="3"/>
      <c r="Z296" s="3"/>
      <c r="AA296" s="3"/>
      <c r="AB296" s="3"/>
      <c r="AC296" s="9"/>
      <c r="AD296" s="3"/>
      <c r="AE296" s="3"/>
      <c r="AF296" s="216">
        <f t="shared" si="142"/>
        <v>20000000</v>
      </c>
    </row>
    <row r="297" spans="1:32" ht="102" customHeight="1" x14ac:dyDescent="0.2">
      <c r="A297" s="352"/>
      <c r="B297" s="355"/>
      <c r="C297" s="291"/>
      <c r="D297" s="272"/>
      <c r="E297" s="272">
        <v>1903</v>
      </c>
      <c r="F297" s="274" t="s">
        <v>1028</v>
      </c>
      <c r="G297" s="264" t="s">
        <v>1029</v>
      </c>
      <c r="H297" s="272">
        <v>1903019</v>
      </c>
      <c r="I297" s="273" t="s">
        <v>1030</v>
      </c>
      <c r="J297" s="235" t="s">
        <v>1031</v>
      </c>
      <c r="K297" s="218">
        <v>190301900</v>
      </c>
      <c r="L297" s="226" t="s">
        <v>1032</v>
      </c>
      <c r="M297" s="218" t="s">
        <v>53</v>
      </c>
      <c r="N297" s="218">
        <v>75</v>
      </c>
      <c r="O297" s="218">
        <v>75</v>
      </c>
      <c r="P297" s="448"/>
      <c r="Q297" s="441"/>
      <c r="R297" s="442"/>
      <c r="S297" s="3"/>
      <c r="T297" s="3"/>
      <c r="U297" s="3"/>
      <c r="V297" s="3"/>
      <c r="W297" s="3"/>
      <c r="X297" s="265">
        <f>90000000-78800000</f>
        <v>11200000</v>
      </c>
      <c r="Y297" s="263"/>
      <c r="Z297" s="3"/>
      <c r="AA297" s="3"/>
      <c r="AB297" s="3"/>
      <c r="AC297" s="9"/>
      <c r="AD297" s="3"/>
      <c r="AE297" s="3"/>
      <c r="AF297" s="216">
        <f t="shared" si="142"/>
        <v>11200000</v>
      </c>
    </row>
    <row r="298" spans="1:32" ht="47.25" customHeight="1" x14ac:dyDescent="0.2">
      <c r="A298" s="352"/>
      <c r="B298" s="355"/>
      <c r="C298" s="291"/>
      <c r="D298" s="272"/>
      <c r="E298" s="272">
        <v>1903</v>
      </c>
      <c r="F298" s="274" t="s">
        <v>1033</v>
      </c>
      <c r="G298" s="160" t="s">
        <v>1455</v>
      </c>
      <c r="H298" s="272">
        <v>1903028</v>
      </c>
      <c r="I298" s="273" t="s">
        <v>1034</v>
      </c>
      <c r="J298" s="272" t="s">
        <v>1035</v>
      </c>
      <c r="K298" s="218">
        <v>190302800</v>
      </c>
      <c r="L298" s="273" t="s">
        <v>1036</v>
      </c>
      <c r="M298" s="218" t="s">
        <v>53</v>
      </c>
      <c r="N298" s="218">
        <v>250</v>
      </c>
      <c r="O298" s="218">
        <v>250</v>
      </c>
      <c r="P298" s="448"/>
      <c r="Q298" s="441"/>
      <c r="R298" s="442"/>
      <c r="S298" s="3"/>
      <c r="T298" s="3"/>
      <c r="U298" s="3"/>
      <c r="V298" s="3"/>
      <c r="W298" s="3"/>
      <c r="X298" s="265">
        <f>20000000-6000000</f>
        <v>14000000</v>
      </c>
      <c r="Y298" s="3"/>
      <c r="Z298" s="3"/>
      <c r="AA298" s="3"/>
      <c r="AB298" s="3"/>
      <c r="AC298" s="9"/>
      <c r="AD298" s="3"/>
      <c r="AE298" s="3"/>
      <c r="AF298" s="216">
        <f t="shared" si="142"/>
        <v>14000000</v>
      </c>
    </row>
    <row r="299" spans="1:32" ht="85.5" customHeight="1" x14ac:dyDescent="0.2">
      <c r="A299" s="352"/>
      <c r="B299" s="355"/>
      <c r="C299" s="291"/>
      <c r="D299" s="272"/>
      <c r="E299" s="272">
        <v>1903</v>
      </c>
      <c r="F299" s="274" t="s">
        <v>982</v>
      </c>
      <c r="G299" s="268" t="s">
        <v>1037</v>
      </c>
      <c r="H299" s="272">
        <v>1903025</v>
      </c>
      <c r="I299" s="273" t="s">
        <v>1038</v>
      </c>
      <c r="J299" s="234" t="s">
        <v>1039</v>
      </c>
      <c r="K299" s="218">
        <v>190302500</v>
      </c>
      <c r="L299" s="224" t="s">
        <v>1040</v>
      </c>
      <c r="M299" s="276" t="s">
        <v>53</v>
      </c>
      <c r="N299" s="272">
        <v>12</v>
      </c>
      <c r="O299" s="272">
        <v>12</v>
      </c>
      <c r="P299" s="448"/>
      <c r="Q299" s="441"/>
      <c r="R299" s="442"/>
      <c r="S299" s="3"/>
      <c r="T299" s="3"/>
      <c r="U299" s="3"/>
      <c r="V299" s="3"/>
      <c r="W299" s="3"/>
      <c r="X299" s="265">
        <f>20000000+84800000</f>
        <v>104800000</v>
      </c>
      <c r="Y299" s="263"/>
      <c r="Z299" s="3"/>
      <c r="AA299" s="3"/>
      <c r="AB299" s="3"/>
      <c r="AC299" s="9"/>
      <c r="AD299" s="3"/>
      <c r="AE299" s="3"/>
      <c r="AF299" s="216">
        <f t="shared" si="142"/>
        <v>104800000</v>
      </c>
    </row>
    <row r="300" spans="1:32" ht="21.75" customHeight="1" x14ac:dyDescent="0.2">
      <c r="A300" s="352"/>
      <c r="B300" s="355"/>
      <c r="C300" s="131">
        <v>12</v>
      </c>
      <c r="D300" s="103">
        <v>1905</v>
      </c>
      <c r="E300" s="275" t="s">
        <v>761</v>
      </c>
      <c r="F300" s="102"/>
      <c r="G300" s="103"/>
      <c r="H300" s="104"/>
      <c r="I300" s="102"/>
      <c r="J300" s="103"/>
      <c r="K300" s="103"/>
      <c r="L300" s="102"/>
      <c r="M300" s="105"/>
      <c r="N300" s="105"/>
      <c r="O300" s="103"/>
      <c r="P300" s="106"/>
      <c r="Q300" s="103"/>
      <c r="R300" s="102"/>
      <c r="S300" s="262">
        <f>SUM(S301:S330)</f>
        <v>0</v>
      </c>
      <c r="T300" s="262">
        <f t="shared" ref="T300:AE300" si="143">SUM(T301:T330)</f>
        <v>0</v>
      </c>
      <c r="U300" s="262">
        <f t="shared" si="143"/>
        <v>0</v>
      </c>
      <c r="V300" s="262">
        <f t="shared" si="143"/>
        <v>0</v>
      </c>
      <c r="W300" s="262">
        <f t="shared" si="143"/>
        <v>2565952214.6300001</v>
      </c>
      <c r="X300" s="262">
        <f t="shared" si="143"/>
        <v>0</v>
      </c>
      <c r="Y300" s="262">
        <f t="shared" si="143"/>
        <v>0</v>
      </c>
      <c r="Z300" s="262">
        <f t="shared" si="143"/>
        <v>0</v>
      </c>
      <c r="AA300" s="262">
        <f t="shared" si="143"/>
        <v>0</v>
      </c>
      <c r="AB300" s="262">
        <f t="shared" si="143"/>
        <v>0</v>
      </c>
      <c r="AC300" s="262">
        <f t="shared" si="143"/>
        <v>3524870740</v>
      </c>
      <c r="AD300" s="262">
        <f t="shared" si="143"/>
        <v>0</v>
      </c>
      <c r="AE300" s="262">
        <f t="shared" si="143"/>
        <v>382592941.61000001</v>
      </c>
      <c r="AF300" s="262">
        <f>SUM(AF301:AF330)</f>
        <v>6473415896.2400007</v>
      </c>
    </row>
    <row r="301" spans="1:32" ht="120" customHeight="1" x14ac:dyDescent="0.2">
      <c r="A301" s="352"/>
      <c r="B301" s="355"/>
      <c r="C301" s="289"/>
      <c r="D301" s="290"/>
      <c r="E301" s="272">
        <v>1905</v>
      </c>
      <c r="F301" s="274" t="s">
        <v>952</v>
      </c>
      <c r="G301" s="160" t="s">
        <v>1454</v>
      </c>
      <c r="H301" s="272">
        <v>1905028</v>
      </c>
      <c r="I301" s="273" t="s">
        <v>1041</v>
      </c>
      <c r="J301" s="272" t="s">
        <v>1042</v>
      </c>
      <c r="K301" s="218">
        <v>190502800</v>
      </c>
      <c r="L301" s="273" t="s">
        <v>1043</v>
      </c>
      <c r="M301" s="272" t="s">
        <v>53</v>
      </c>
      <c r="N301" s="272">
        <v>12</v>
      </c>
      <c r="O301" s="272">
        <v>12</v>
      </c>
      <c r="P301" s="442" t="s">
        <v>152</v>
      </c>
      <c r="Q301" s="441" t="s">
        <v>945</v>
      </c>
      <c r="R301" s="442" t="s">
        <v>10</v>
      </c>
      <c r="S301" s="3"/>
      <c r="T301" s="3"/>
      <c r="U301" s="3"/>
      <c r="V301" s="3"/>
      <c r="W301" s="3">
        <v>40000000</v>
      </c>
      <c r="X301" s="3"/>
      <c r="Y301" s="3"/>
      <c r="Z301" s="3"/>
      <c r="AA301" s="3"/>
      <c r="AB301" s="3"/>
      <c r="AC301" s="9"/>
      <c r="AD301" s="3"/>
      <c r="AE301" s="3"/>
      <c r="AF301" s="216">
        <f t="shared" ref="AF301:AF330" si="144">+S301+T301+U301+V301+W301+X301+Y301+Z301+AA301+AB301+AC301+AD301+AE301</f>
        <v>40000000</v>
      </c>
    </row>
    <row r="302" spans="1:32" ht="114.75" customHeight="1" x14ac:dyDescent="0.2">
      <c r="A302" s="352"/>
      <c r="B302" s="355"/>
      <c r="C302" s="289"/>
      <c r="D302" s="290"/>
      <c r="E302" s="272">
        <v>1905</v>
      </c>
      <c r="F302" s="274" t="s">
        <v>952</v>
      </c>
      <c r="G302" s="160" t="s">
        <v>1044</v>
      </c>
      <c r="H302" s="272">
        <v>1905031</v>
      </c>
      <c r="I302" s="273" t="s">
        <v>1045</v>
      </c>
      <c r="J302" s="272" t="s">
        <v>1046</v>
      </c>
      <c r="K302" s="272">
        <v>190503100</v>
      </c>
      <c r="L302" s="273" t="s">
        <v>1047</v>
      </c>
      <c r="M302" s="218" t="s">
        <v>53</v>
      </c>
      <c r="N302" s="218">
        <v>12</v>
      </c>
      <c r="O302" s="218">
        <v>12</v>
      </c>
      <c r="P302" s="442"/>
      <c r="Q302" s="441"/>
      <c r="R302" s="442"/>
      <c r="S302" s="3"/>
      <c r="T302" s="3"/>
      <c r="U302" s="3"/>
      <c r="V302" s="3"/>
      <c r="W302" s="3">
        <f>40000000-12000000</f>
        <v>28000000</v>
      </c>
      <c r="X302" s="3"/>
      <c r="Y302" s="3"/>
      <c r="Z302" s="3"/>
      <c r="AA302" s="3"/>
      <c r="AB302" s="3"/>
      <c r="AC302" s="9"/>
      <c r="AD302" s="3"/>
      <c r="AE302" s="3"/>
      <c r="AF302" s="216">
        <f t="shared" si="144"/>
        <v>28000000</v>
      </c>
    </row>
    <row r="303" spans="1:32" ht="63.75" customHeight="1" x14ac:dyDescent="0.2">
      <c r="A303" s="352"/>
      <c r="B303" s="355"/>
      <c r="C303" s="289"/>
      <c r="D303" s="290"/>
      <c r="E303" s="272">
        <v>1905</v>
      </c>
      <c r="F303" s="274" t="s">
        <v>1048</v>
      </c>
      <c r="G303" s="160" t="s">
        <v>1453</v>
      </c>
      <c r="H303" s="272">
        <v>1905019</v>
      </c>
      <c r="I303" s="273" t="s">
        <v>1049</v>
      </c>
      <c r="J303" s="272" t="s">
        <v>1050</v>
      </c>
      <c r="K303" s="272">
        <v>190501900</v>
      </c>
      <c r="L303" s="273" t="s">
        <v>337</v>
      </c>
      <c r="M303" s="218" t="s">
        <v>53</v>
      </c>
      <c r="N303" s="218">
        <v>60</v>
      </c>
      <c r="O303" s="218">
        <v>60</v>
      </c>
      <c r="P303" s="442" t="s">
        <v>152</v>
      </c>
      <c r="Q303" s="441" t="s">
        <v>1051</v>
      </c>
      <c r="R303" s="442" t="s">
        <v>1052</v>
      </c>
      <c r="S303" s="3"/>
      <c r="T303" s="3"/>
      <c r="U303" s="3"/>
      <c r="V303" s="3"/>
      <c r="W303" s="22">
        <f>20000000-5000000</f>
        <v>15000000</v>
      </c>
      <c r="X303" s="3"/>
      <c r="Y303" s="3"/>
      <c r="Z303" s="3"/>
      <c r="AA303" s="3"/>
      <c r="AB303" s="3"/>
      <c r="AC303" s="9"/>
      <c r="AD303" s="3"/>
      <c r="AE303" s="3"/>
      <c r="AF303" s="216">
        <f t="shared" si="144"/>
        <v>15000000</v>
      </c>
    </row>
    <row r="304" spans="1:32" ht="125.25" customHeight="1" x14ac:dyDescent="0.2">
      <c r="A304" s="352"/>
      <c r="B304" s="355"/>
      <c r="C304" s="289"/>
      <c r="D304" s="290"/>
      <c r="E304" s="272">
        <v>1905</v>
      </c>
      <c r="F304" s="273" t="s">
        <v>1053</v>
      </c>
      <c r="G304" s="160" t="s">
        <v>1054</v>
      </c>
      <c r="H304" s="272" t="s">
        <v>47</v>
      </c>
      <c r="I304" s="273" t="s">
        <v>1055</v>
      </c>
      <c r="J304" s="272" t="s">
        <v>1056</v>
      </c>
      <c r="K304" s="272" t="s">
        <v>47</v>
      </c>
      <c r="L304" s="273" t="s">
        <v>1057</v>
      </c>
      <c r="M304" s="272" t="s">
        <v>53</v>
      </c>
      <c r="N304" s="272">
        <v>11</v>
      </c>
      <c r="O304" s="218">
        <v>11</v>
      </c>
      <c r="P304" s="442"/>
      <c r="Q304" s="441"/>
      <c r="R304" s="442"/>
      <c r="S304" s="3"/>
      <c r="T304" s="3"/>
      <c r="U304" s="3"/>
      <c r="V304" s="3"/>
      <c r="W304" s="22">
        <f>20000000-5000000</f>
        <v>15000000</v>
      </c>
      <c r="X304" s="3"/>
      <c r="Y304" s="3"/>
      <c r="Z304" s="3"/>
      <c r="AA304" s="3"/>
      <c r="AB304" s="3"/>
      <c r="AC304" s="9"/>
      <c r="AD304" s="3"/>
      <c r="AE304" s="3"/>
      <c r="AF304" s="216">
        <f t="shared" si="144"/>
        <v>15000000</v>
      </c>
    </row>
    <row r="305" spans="1:32" ht="93.75" customHeight="1" x14ac:dyDescent="0.2">
      <c r="A305" s="352"/>
      <c r="B305" s="355"/>
      <c r="C305" s="289"/>
      <c r="D305" s="290"/>
      <c r="E305" s="272">
        <v>1905</v>
      </c>
      <c r="F305" s="273" t="s">
        <v>1058</v>
      </c>
      <c r="G305" s="266" t="s">
        <v>1059</v>
      </c>
      <c r="H305" s="272" t="s">
        <v>47</v>
      </c>
      <c r="I305" s="273" t="s">
        <v>1060</v>
      </c>
      <c r="J305" s="277" t="s">
        <v>1061</v>
      </c>
      <c r="K305" s="272" t="s">
        <v>47</v>
      </c>
      <c r="L305" s="224" t="s">
        <v>1445</v>
      </c>
      <c r="M305" s="218" t="s">
        <v>53</v>
      </c>
      <c r="N305" s="218">
        <v>1</v>
      </c>
      <c r="O305" s="218">
        <v>1</v>
      </c>
      <c r="P305" s="442"/>
      <c r="Q305" s="441"/>
      <c r="R305" s="442"/>
      <c r="S305" s="3"/>
      <c r="T305" s="3"/>
      <c r="U305" s="3"/>
      <c r="V305" s="3"/>
      <c r="W305" s="22">
        <f>20000000-5000000</f>
        <v>15000000</v>
      </c>
      <c r="X305" s="3"/>
      <c r="Y305" s="3"/>
      <c r="Z305" s="3"/>
      <c r="AA305" s="3"/>
      <c r="AB305" s="3"/>
      <c r="AC305" s="9"/>
      <c r="AD305" s="3"/>
      <c r="AE305" s="3"/>
      <c r="AF305" s="216">
        <f t="shared" si="144"/>
        <v>15000000</v>
      </c>
    </row>
    <row r="306" spans="1:32" ht="102.75" customHeight="1" x14ac:dyDescent="0.2">
      <c r="A306" s="352"/>
      <c r="B306" s="355"/>
      <c r="C306" s="289"/>
      <c r="D306" s="290"/>
      <c r="E306" s="272">
        <v>1905</v>
      </c>
      <c r="F306" s="274" t="s">
        <v>957</v>
      </c>
      <c r="G306" s="266" t="s">
        <v>1062</v>
      </c>
      <c r="H306" s="272" t="s">
        <v>47</v>
      </c>
      <c r="I306" s="273" t="s">
        <v>1063</v>
      </c>
      <c r="J306" s="277" t="s">
        <v>1064</v>
      </c>
      <c r="K306" s="272" t="s">
        <v>47</v>
      </c>
      <c r="L306" s="224" t="s">
        <v>1065</v>
      </c>
      <c r="M306" s="218" t="s">
        <v>143</v>
      </c>
      <c r="N306" s="218">
        <v>11</v>
      </c>
      <c r="O306" s="218">
        <v>1</v>
      </c>
      <c r="P306" s="442"/>
      <c r="Q306" s="441"/>
      <c r="R306" s="442"/>
      <c r="S306" s="3"/>
      <c r="T306" s="3"/>
      <c r="U306" s="3"/>
      <c r="V306" s="3"/>
      <c r="W306" s="22">
        <f>70000000-20000000</f>
        <v>50000000</v>
      </c>
      <c r="X306" s="3"/>
      <c r="Y306" s="3"/>
      <c r="Z306" s="3"/>
      <c r="AA306" s="3"/>
      <c r="AB306" s="3"/>
      <c r="AC306" s="9"/>
      <c r="AD306" s="3"/>
      <c r="AE306" s="3"/>
      <c r="AF306" s="216">
        <f t="shared" si="144"/>
        <v>50000000</v>
      </c>
    </row>
    <row r="307" spans="1:32" ht="93.75" customHeight="1" x14ac:dyDescent="0.2">
      <c r="A307" s="352"/>
      <c r="B307" s="355"/>
      <c r="C307" s="289"/>
      <c r="D307" s="290"/>
      <c r="E307" s="272">
        <v>1905</v>
      </c>
      <c r="F307" s="274" t="s">
        <v>1066</v>
      </c>
      <c r="G307" s="266" t="s">
        <v>1067</v>
      </c>
      <c r="H307" s="272" t="s">
        <v>47</v>
      </c>
      <c r="I307" s="273" t="s">
        <v>1408</v>
      </c>
      <c r="J307" s="277" t="s">
        <v>1068</v>
      </c>
      <c r="K307" s="272" t="s">
        <v>47</v>
      </c>
      <c r="L307" s="224" t="s">
        <v>1069</v>
      </c>
      <c r="M307" s="272" t="s">
        <v>1354</v>
      </c>
      <c r="N307" s="272">
        <v>12</v>
      </c>
      <c r="O307" s="225">
        <v>2</v>
      </c>
      <c r="P307" s="442"/>
      <c r="Q307" s="441"/>
      <c r="R307" s="442"/>
      <c r="S307" s="3"/>
      <c r="T307" s="3"/>
      <c r="U307" s="3"/>
      <c r="V307" s="3"/>
      <c r="W307" s="22">
        <v>20000000</v>
      </c>
      <c r="X307" s="3"/>
      <c r="Y307" s="3"/>
      <c r="Z307" s="3"/>
      <c r="AA307" s="3"/>
      <c r="AB307" s="3"/>
      <c r="AC307" s="9"/>
      <c r="AD307" s="3"/>
      <c r="AE307" s="3"/>
      <c r="AF307" s="216">
        <f t="shared" si="144"/>
        <v>20000000</v>
      </c>
    </row>
    <row r="308" spans="1:32" ht="151.5" customHeight="1" x14ac:dyDescent="0.2">
      <c r="A308" s="352"/>
      <c r="B308" s="355"/>
      <c r="C308" s="289"/>
      <c r="D308" s="290"/>
      <c r="E308" s="272">
        <v>1905</v>
      </c>
      <c r="F308" s="274" t="s">
        <v>957</v>
      </c>
      <c r="G308" s="266" t="s">
        <v>1070</v>
      </c>
      <c r="H308" s="272" t="s">
        <v>47</v>
      </c>
      <c r="I308" s="273" t="s">
        <v>1071</v>
      </c>
      <c r="J308" s="277" t="s">
        <v>1072</v>
      </c>
      <c r="K308" s="272" t="s">
        <v>47</v>
      </c>
      <c r="L308" s="224" t="s">
        <v>1073</v>
      </c>
      <c r="M308" s="218" t="s">
        <v>53</v>
      </c>
      <c r="N308" s="251">
        <v>12</v>
      </c>
      <c r="O308" s="251">
        <v>12</v>
      </c>
      <c r="P308" s="442"/>
      <c r="Q308" s="441"/>
      <c r="R308" s="442"/>
      <c r="S308" s="3"/>
      <c r="T308" s="3"/>
      <c r="U308" s="3"/>
      <c r="V308" s="3"/>
      <c r="W308" s="22">
        <f>30000000-10000000</f>
        <v>20000000</v>
      </c>
      <c r="X308" s="3"/>
      <c r="Y308" s="3"/>
      <c r="Z308" s="3"/>
      <c r="AA308" s="3"/>
      <c r="AB308" s="3"/>
      <c r="AC308" s="9"/>
      <c r="AD308" s="3"/>
      <c r="AE308" s="3"/>
      <c r="AF308" s="216">
        <f t="shared" si="144"/>
        <v>20000000</v>
      </c>
    </row>
    <row r="309" spans="1:32" ht="93.75" customHeight="1" x14ac:dyDescent="0.2">
      <c r="A309" s="352"/>
      <c r="B309" s="355"/>
      <c r="C309" s="289"/>
      <c r="D309" s="290"/>
      <c r="E309" s="272">
        <v>1905</v>
      </c>
      <c r="F309" s="274" t="s">
        <v>1407</v>
      </c>
      <c r="G309" s="266" t="s">
        <v>1074</v>
      </c>
      <c r="H309" s="272" t="s">
        <v>47</v>
      </c>
      <c r="I309" s="273" t="s">
        <v>1075</v>
      </c>
      <c r="J309" s="277" t="s">
        <v>1076</v>
      </c>
      <c r="K309" s="272" t="s">
        <v>47</v>
      </c>
      <c r="L309" s="224" t="s">
        <v>1077</v>
      </c>
      <c r="M309" s="218" t="s">
        <v>53</v>
      </c>
      <c r="N309" s="218">
        <v>12</v>
      </c>
      <c r="O309" s="218">
        <v>12</v>
      </c>
      <c r="P309" s="442"/>
      <c r="Q309" s="441"/>
      <c r="R309" s="442"/>
      <c r="S309" s="3"/>
      <c r="T309" s="3"/>
      <c r="U309" s="3"/>
      <c r="V309" s="3"/>
      <c r="W309" s="22">
        <f>30000000-10000000</f>
        <v>20000000</v>
      </c>
      <c r="X309" s="3"/>
      <c r="Y309" s="3"/>
      <c r="Z309" s="3"/>
      <c r="AA309" s="3"/>
      <c r="AB309" s="3"/>
      <c r="AC309" s="9"/>
      <c r="AD309" s="3"/>
      <c r="AE309" s="3"/>
      <c r="AF309" s="216">
        <f t="shared" si="144"/>
        <v>20000000</v>
      </c>
    </row>
    <row r="310" spans="1:32" ht="246.75" customHeight="1" x14ac:dyDescent="0.2">
      <c r="A310" s="352"/>
      <c r="B310" s="355"/>
      <c r="C310" s="289"/>
      <c r="D310" s="290"/>
      <c r="E310" s="272">
        <v>1905</v>
      </c>
      <c r="F310" s="273" t="s">
        <v>762</v>
      </c>
      <c r="G310" s="251" t="s">
        <v>763</v>
      </c>
      <c r="H310" s="272">
        <v>1905021</v>
      </c>
      <c r="I310" s="273" t="s">
        <v>764</v>
      </c>
      <c r="J310" s="218" t="s">
        <v>765</v>
      </c>
      <c r="K310" s="218">
        <v>190502100</v>
      </c>
      <c r="L310" s="224" t="s">
        <v>766</v>
      </c>
      <c r="M310" s="272" t="s">
        <v>53</v>
      </c>
      <c r="N310" s="272">
        <v>12</v>
      </c>
      <c r="O310" s="218">
        <v>12</v>
      </c>
      <c r="P310" s="448" t="s">
        <v>152</v>
      </c>
      <c r="Q310" s="441" t="s">
        <v>1078</v>
      </c>
      <c r="R310" s="442" t="s">
        <v>1079</v>
      </c>
      <c r="S310" s="3"/>
      <c r="T310" s="3"/>
      <c r="U310" s="3"/>
      <c r="V310" s="3"/>
      <c r="W310" s="267">
        <f>88000000-24000000</f>
        <v>64000000</v>
      </c>
      <c r="X310" s="3"/>
      <c r="Y310" s="3"/>
      <c r="Z310" s="3"/>
      <c r="AA310" s="3"/>
      <c r="AB310" s="3"/>
      <c r="AC310" s="9"/>
      <c r="AD310" s="3"/>
      <c r="AE310" s="3"/>
      <c r="AF310" s="216">
        <f t="shared" si="144"/>
        <v>64000000</v>
      </c>
    </row>
    <row r="311" spans="1:32" ht="159" customHeight="1" x14ac:dyDescent="0.2">
      <c r="A311" s="352"/>
      <c r="B311" s="355"/>
      <c r="C311" s="289"/>
      <c r="D311" s="290"/>
      <c r="E311" s="272">
        <v>1905</v>
      </c>
      <c r="F311" s="273" t="s">
        <v>1053</v>
      </c>
      <c r="G311" s="160" t="s">
        <v>1054</v>
      </c>
      <c r="H311" s="272" t="s">
        <v>47</v>
      </c>
      <c r="I311" s="273" t="s">
        <v>1080</v>
      </c>
      <c r="J311" s="272" t="s">
        <v>1056</v>
      </c>
      <c r="K311" s="272" t="s">
        <v>47</v>
      </c>
      <c r="L311" s="273" t="s">
        <v>1057</v>
      </c>
      <c r="M311" s="272" t="s">
        <v>53</v>
      </c>
      <c r="N311" s="272">
        <v>11</v>
      </c>
      <c r="O311" s="218">
        <v>11</v>
      </c>
      <c r="P311" s="448"/>
      <c r="Q311" s="441"/>
      <c r="R311" s="442"/>
      <c r="S311" s="3"/>
      <c r="T311" s="3"/>
      <c r="U311" s="3"/>
      <c r="V311" s="3"/>
      <c r="W311" s="22">
        <f>60000000-6000000</f>
        <v>54000000</v>
      </c>
      <c r="X311" s="3"/>
      <c r="Y311" s="3"/>
      <c r="Z311" s="3"/>
      <c r="AA311" s="3"/>
      <c r="AB311" s="3"/>
      <c r="AC311" s="9"/>
      <c r="AD311" s="3"/>
      <c r="AE311" s="3"/>
      <c r="AF311" s="216">
        <f t="shared" si="144"/>
        <v>54000000</v>
      </c>
    </row>
    <row r="312" spans="1:32" ht="103.5" customHeight="1" x14ac:dyDescent="0.2">
      <c r="A312" s="352"/>
      <c r="B312" s="355"/>
      <c r="C312" s="289"/>
      <c r="D312" s="290"/>
      <c r="E312" s="272">
        <v>1905</v>
      </c>
      <c r="F312" s="274" t="s">
        <v>982</v>
      </c>
      <c r="G312" s="251" t="s">
        <v>1081</v>
      </c>
      <c r="H312" s="282">
        <v>1905020</v>
      </c>
      <c r="I312" s="273" t="s">
        <v>1082</v>
      </c>
      <c r="J312" s="218" t="s">
        <v>1083</v>
      </c>
      <c r="K312" s="218">
        <v>190502000</v>
      </c>
      <c r="L312" s="224" t="s">
        <v>1084</v>
      </c>
      <c r="M312" s="218" t="s">
        <v>53</v>
      </c>
      <c r="N312" s="218">
        <v>12</v>
      </c>
      <c r="O312" s="218">
        <v>12</v>
      </c>
      <c r="P312" s="448" t="s">
        <v>152</v>
      </c>
      <c r="Q312" s="441" t="s">
        <v>1085</v>
      </c>
      <c r="R312" s="442" t="s">
        <v>1086</v>
      </c>
      <c r="S312" s="3"/>
      <c r="T312" s="3"/>
      <c r="U312" s="3"/>
      <c r="V312" s="3"/>
      <c r="W312" s="179">
        <f>40000000-7000000</f>
        <v>33000000</v>
      </c>
      <c r="X312" s="3"/>
      <c r="Y312" s="3"/>
      <c r="Z312" s="3"/>
      <c r="AA312" s="3"/>
      <c r="AB312" s="3"/>
      <c r="AC312" s="9"/>
      <c r="AD312" s="3"/>
      <c r="AE312" s="3"/>
      <c r="AF312" s="216">
        <f t="shared" si="144"/>
        <v>33000000</v>
      </c>
    </row>
    <row r="313" spans="1:32" ht="176.25" customHeight="1" x14ac:dyDescent="0.2">
      <c r="A313" s="352"/>
      <c r="B313" s="355"/>
      <c r="C313" s="289"/>
      <c r="D313" s="290"/>
      <c r="E313" s="272">
        <v>1905</v>
      </c>
      <c r="F313" s="273" t="s">
        <v>1446</v>
      </c>
      <c r="G313" s="251" t="s">
        <v>769</v>
      </c>
      <c r="H313" s="282">
        <v>1905022</v>
      </c>
      <c r="I313" s="273" t="s">
        <v>770</v>
      </c>
      <c r="J313" s="218" t="s">
        <v>771</v>
      </c>
      <c r="K313" s="218">
        <v>190502200</v>
      </c>
      <c r="L313" s="224" t="s">
        <v>772</v>
      </c>
      <c r="M313" s="218" t="s">
        <v>53</v>
      </c>
      <c r="N313" s="218">
        <v>12</v>
      </c>
      <c r="O313" s="218">
        <v>12</v>
      </c>
      <c r="P313" s="448"/>
      <c r="Q313" s="441"/>
      <c r="R313" s="442"/>
      <c r="S313" s="3"/>
      <c r="T313" s="3"/>
      <c r="U313" s="3"/>
      <c r="V313" s="3"/>
      <c r="W313" s="179">
        <f>60000000-7500000</f>
        <v>52500000</v>
      </c>
      <c r="X313" s="3"/>
      <c r="Y313" s="3"/>
      <c r="Z313" s="3"/>
      <c r="AA313" s="3"/>
      <c r="AB313" s="3"/>
      <c r="AC313" s="9"/>
      <c r="AD313" s="3"/>
      <c r="AE313" s="3"/>
      <c r="AF313" s="216">
        <f t="shared" si="144"/>
        <v>52500000</v>
      </c>
    </row>
    <row r="314" spans="1:32" ht="96" customHeight="1" x14ac:dyDescent="0.2">
      <c r="A314" s="352"/>
      <c r="B314" s="355"/>
      <c r="C314" s="289"/>
      <c r="D314" s="290"/>
      <c r="E314" s="272">
        <v>1905</v>
      </c>
      <c r="F314" s="274" t="s">
        <v>982</v>
      </c>
      <c r="G314" s="266" t="s">
        <v>1452</v>
      </c>
      <c r="H314" s="272" t="s">
        <v>47</v>
      </c>
      <c r="I314" s="273" t="s">
        <v>1087</v>
      </c>
      <c r="J314" s="277" t="s">
        <v>1088</v>
      </c>
      <c r="K314" s="218" t="s">
        <v>47</v>
      </c>
      <c r="L314" s="224" t="s">
        <v>1089</v>
      </c>
      <c r="M314" s="251" t="s">
        <v>53</v>
      </c>
      <c r="N314" s="251">
        <v>1</v>
      </c>
      <c r="O314" s="251">
        <v>1</v>
      </c>
      <c r="P314" s="448"/>
      <c r="Q314" s="441"/>
      <c r="R314" s="442"/>
      <c r="S314" s="3"/>
      <c r="T314" s="3"/>
      <c r="U314" s="3"/>
      <c r="V314" s="3"/>
      <c r="W314" s="179">
        <f>40000000-3000000</f>
        <v>37000000</v>
      </c>
      <c r="X314" s="3"/>
      <c r="Y314" s="3"/>
      <c r="Z314" s="3"/>
      <c r="AA314" s="3"/>
      <c r="AB314" s="3"/>
      <c r="AC314" s="9"/>
      <c r="AD314" s="3"/>
      <c r="AE314" s="3"/>
      <c r="AF314" s="216">
        <f t="shared" si="144"/>
        <v>37000000</v>
      </c>
    </row>
    <row r="315" spans="1:32" ht="102.75" customHeight="1" x14ac:dyDescent="0.2">
      <c r="A315" s="352"/>
      <c r="B315" s="355"/>
      <c r="C315" s="289"/>
      <c r="D315" s="290"/>
      <c r="E315" s="272">
        <v>1905</v>
      </c>
      <c r="F315" s="273" t="s">
        <v>1409</v>
      </c>
      <c r="G315" s="269" t="s">
        <v>1090</v>
      </c>
      <c r="H315" s="272">
        <v>1905023</v>
      </c>
      <c r="I315" s="273" t="s">
        <v>1091</v>
      </c>
      <c r="J315" s="237" t="s">
        <v>1092</v>
      </c>
      <c r="K315" s="218">
        <v>190502300</v>
      </c>
      <c r="L315" s="224" t="s">
        <v>1093</v>
      </c>
      <c r="M315" s="218" t="s">
        <v>53</v>
      </c>
      <c r="N315" s="218">
        <v>12</v>
      </c>
      <c r="O315" s="218">
        <v>12</v>
      </c>
      <c r="P315" s="448" t="s">
        <v>152</v>
      </c>
      <c r="Q315" s="441" t="s">
        <v>1094</v>
      </c>
      <c r="R315" s="442" t="s">
        <v>1095</v>
      </c>
      <c r="S315" s="3"/>
      <c r="T315" s="3"/>
      <c r="U315" s="3"/>
      <c r="V315" s="3"/>
      <c r="W315" s="179">
        <v>110000000</v>
      </c>
      <c r="X315" s="3"/>
      <c r="Y315" s="3"/>
      <c r="Z315" s="3"/>
      <c r="AA315" s="3"/>
      <c r="AB315" s="3"/>
      <c r="AC315" s="9"/>
      <c r="AD315" s="3"/>
      <c r="AE315" s="3"/>
      <c r="AF315" s="216">
        <f t="shared" si="144"/>
        <v>110000000</v>
      </c>
    </row>
    <row r="316" spans="1:32" ht="109.5" customHeight="1" x14ac:dyDescent="0.2">
      <c r="A316" s="352"/>
      <c r="B316" s="355"/>
      <c r="C316" s="289"/>
      <c r="D316" s="290"/>
      <c r="E316" s="272">
        <v>1905</v>
      </c>
      <c r="F316" s="274" t="s">
        <v>952</v>
      </c>
      <c r="G316" s="160" t="s">
        <v>1044</v>
      </c>
      <c r="H316" s="272">
        <v>1905031</v>
      </c>
      <c r="I316" s="273" t="s">
        <v>1045</v>
      </c>
      <c r="J316" s="272" t="s">
        <v>1046</v>
      </c>
      <c r="K316" s="272">
        <v>190503100</v>
      </c>
      <c r="L316" s="273" t="s">
        <v>1047</v>
      </c>
      <c r="M316" s="218" t="s">
        <v>53</v>
      </c>
      <c r="N316" s="218">
        <v>12</v>
      </c>
      <c r="O316" s="218">
        <v>12</v>
      </c>
      <c r="P316" s="448"/>
      <c r="Q316" s="441"/>
      <c r="R316" s="442"/>
      <c r="S316" s="3"/>
      <c r="T316" s="3"/>
      <c r="U316" s="3"/>
      <c r="V316" s="3"/>
      <c r="W316" s="179">
        <f>60000000-1000000</f>
        <v>59000000</v>
      </c>
      <c r="X316" s="3"/>
      <c r="Y316" s="3"/>
      <c r="Z316" s="3"/>
      <c r="AA316" s="3"/>
      <c r="AB316" s="3"/>
      <c r="AC316" s="9"/>
      <c r="AD316" s="3"/>
      <c r="AE316" s="3"/>
      <c r="AF316" s="216">
        <f t="shared" si="144"/>
        <v>59000000</v>
      </c>
    </row>
    <row r="317" spans="1:32" ht="134.25" customHeight="1" x14ac:dyDescent="0.2">
      <c r="A317" s="352"/>
      <c r="B317" s="355"/>
      <c r="C317" s="289"/>
      <c r="D317" s="290"/>
      <c r="E317" s="272">
        <v>1905</v>
      </c>
      <c r="F317" s="273" t="s">
        <v>1096</v>
      </c>
      <c r="G317" s="251" t="s">
        <v>1097</v>
      </c>
      <c r="H317" s="272">
        <v>1905012</v>
      </c>
      <c r="I317" s="273" t="s">
        <v>1098</v>
      </c>
      <c r="J317" s="218" t="s">
        <v>1099</v>
      </c>
      <c r="K317" s="218">
        <v>190501200</v>
      </c>
      <c r="L317" s="224" t="s">
        <v>1098</v>
      </c>
      <c r="M317" s="218" t="s">
        <v>53</v>
      </c>
      <c r="N317" s="218">
        <v>1</v>
      </c>
      <c r="O317" s="218">
        <v>1</v>
      </c>
      <c r="P317" s="448" t="s">
        <v>152</v>
      </c>
      <c r="Q317" s="441" t="s">
        <v>1100</v>
      </c>
      <c r="R317" s="442" t="s">
        <v>1101</v>
      </c>
      <c r="S317" s="3"/>
      <c r="T317" s="3"/>
      <c r="U317" s="3"/>
      <c r="V317" s="3"/>
      <c r="W317" s="3">
        <v>20000000</v>
      </c>
      <c r="X317" s="3"/>
      <c r="Y317" s="3"/>
      <c r="Z317" s="3"/>
      <c r="AA317" s="3"/>
      <c r="AB317" s="3"/>
      <c r="AC317" s="9"/>
      <c r="AD317" s="3"/>
      <c r="AE317" s="301"/>
      <c r="AF317" s="216">
        <f t="shared" si="144"/>
        <v>20000000</v>
      </c>
    </row>
    <row r="318" spans="1:32" ht="147" customHeight="1" x14ac:dyDescent="0.2">
      <c r="A318" s="352"/>
      <c r="B318" s="355"/>
      <c r="C318" s="289"/>
      <c r="D318" s="290"/>
      <c r="E318" s="272">
        <v>1905</v>
      </c>
      <c r="F318" s="273" t="s">
        <v>1102</v>
      </c>
      <c r="G318" s="266">
        <v>12.1</v>
      </c>
      <c r="H318" s="272">
        <v>1905026</v>
      </c>
      <c r="I318" s="273" t="s">
        <v>1104</v>
      </c>
      <c r="J318" s="277" t="s">
        <v>1105</v>
      </c>
      <c r="K318" s="218">
        <v>190502600</v>
      </c>
      <c r="L318" s="224" t="s">
        <v>1106</v>
      </c>
      <c r="M318" s="272" t="s">
        <v>53</v>
      </c>
      <c r="N318" s="272">
        <v>12</v>
      </c>
      <c r="O318" s="272">
        <v>12</v>
      </c>
      <c r="P318" s="448"/>
      <c r="Q318" s="441"/>
      <c r="R318" s="442"/>
      <c r="S318" s="3"/>
      <c r="T318" s="3"/>
      <c r="U318" s="3"/>
      <c r="V318" s="3"/>
      <c r="W318" s="3">
        <f>60000000-20000000</f>
        <v>40000000</v>
      </c>
      <c r="X318" s="3"/>
      <c r="Y318" s="3"/>
      <c r="Z318" s="3"/>
      <c r="AA318" s="3"/>
      <c r="AB318" s="3"/>
      <c r="AC318" s="9"/>
      <c r="AD318" s="3"/>
      <c r="AE318" s="301"/>
      <c r="AF318" s="216">
        <f t="shared" si="144"/>
        <v>40000000</v>
      </c>
    </row>
    <row r="319" spans="1:32" ht="124.5" customHeight="1" x14ac:dyDescent="0.2">
      <c r="A319" s="352"/>
      <c r="B319" s="355"/>
      <c r="C319" s="289"/>
      <c r="D319" s="290"/>
      <c r="E319" s="272">
        <v>1905</v>
      </c>
      <c r="F319" s="273" t="s">
        <v>1096</v>
      </c>
      <c r="G319" s="160" t="s">
        <v>1107</v>
      </c>
      <c r="H319" s="272">
        <v>1905027</v>
      </c>
      <c r="I319" s="273" t="s">
        <v>1108</v>
      </c>
      <c r="J319" s="272" t="s">
        <v>1109</v>
      </c>
      <c r="K319" s="218">
        <v>190502700</v>
      </c>
      <c r="L319" s="273" t="s">
        <v>1110</v>
      </c>
      <c r="M319" s="218" t="s">
        <v>53</v>
      </c>
      <c r="N319" s="218">
        <v>12</v>
      </c>
      <c r="O319" s="218">
        <v>12</v>
      </c>
      <c r="P319" s="448"/>
      <c r="Q319" s="441"/>
      <c r="R319" s="442"/>
      <c r="S319" s="3"/>
      <c r="T319" s="3"/>
      <c r="U319" s="3"/>
      <c r="V319" s="3"/>
      <c r="W319" s="3">
        <v>60000000</v>
      </c>
      <c r="X319" s="117"/>
      <c r="Y319" s="3"/>
      <c r="Z319" s="3"/>
      <c r="AA319" s="3"/>
      <c r="AB319" s="3"/>
      <c r="AC319" s="9">
        <f>20000000-13438000-6562000</f>
        <v>0</v>
      </c>
      <c r="AD319" s="3"/>
      <c r="AE319" s="3"/>
      <c r="AF319" s="216">
        <f t="shared" si="144"/>
        <v>60000000</v>
      </c>
    </row>
    <row r="320" spans="1:32" ht="84.75" customHeight="1" x14ac:dyDescent="0.2">
      <c r="A320" s="352"/>
      <c r="B320" s="355"/>
      <c r="C320" s="289"/>
      <c r="D320" s="290"/>
      <c r="E320" s="272">
        <v>1905</v>
      </c>
      <c r="F320" s="274" t="s">
        <v>1111</v>
      </c>
      <c r="G320" s="266" t="s">
        <v>1067</v>
      </c>
      <c r="H320" s="272" t="s">
        <v>47</v>
      </c>
      <c r="I320" s="273" t="s">
        <v>1112</v>
      </c>
      <c r="J320" s="277" t="s">
        <v>1068</v>
      </c>
      <c r="K320" s="218" t="s">
        <v>47</v>
      </c>
      <c r="L320" s="224" t="s">
        <v>1069</v>
      </c>
      <c r="M320" s="272" t="s">
        <v>1354</v>
      </c>
      <c r="N320" s="272">
        <v>12</v>
      </c>
      <c r="O320" s="225">
        <v>2</v>
      </c>
      <c r="P320" s="448" t="s">
        <v>152</v>
      </c>
      <c r="Q320" s="441" t="s">
        <v>1113</v>
      </c>
      <c r="R320" s="442" t="s">
        <v>1114</v>
      </c>
      <c r="S320" s="3"/>
      <c r="T320" s="3"/>
      <c r="U320" s="3"/>
      <c r="V320" s="3"/>
      <c r="W320" s="3">
        <f>100000000-25000000</f>
        <v>75000000</v>
      </c>
      <c r="X320" s="3"/>
      <c r="Y320" s="3"/>
      <c r="Z320" s="3"/>
      <c r="AA320" s="3"/>
      <c r="AB320" s="3"/>
      <c r="AC320" s="9">
        <f>75000000+55000000+15000000</f>
        <v>145000000</v>
      </c>
      <c r="AD320" s="3"/>
      <c r="AE320" s="3">
        <f>200991312+59118933-55519922</f>
        <v>204590323</v>
      </c>
      <c r="AF320" s="216">
        <f t="shared" si="144"/>
        <v>424590323</v>
      </c>
    </row>
    <row r="321" spans="1:32" ht="159" customHeight="1" x14ac:dyDescent="0.2">
      <c r="A321" s="352"/>
      <c r="B321" s="355"/>
      <c r="C321" s="289"/>
      <c r="D321" s="290"/>
      <c r="E321" s="272">
        <v>1905</v>
      </c>
      <c r="F321" s="273" t="s">
        <v>1102</v>
      </c>
      <c r="G321" s="266" t="s">
        <v>1103</v>
      </c>
      <c r="H321" s="272">
        <v>1905026</v>
      </c>
      <c r="I321" s="273" t="s">
        <v>1104</v>
      </c>
      <c r="J321" s="277" t="s">
        <v>1105</v>
      </c>
      <c r="K321" s="218">
        <v>190502600</v>
      </c>
      <c r="L321" s="224" t="s">
        <v>1106</v>
      </c>
      <c r="M321" s="272" t="s">
        <v>53</v>
      </c>
      <c r="N321" s="272">
        <v>12</v>
      </c>
      <c r="O321" s="272">
        <v>12</v>
      </c>
      <c r="P321" s="448"/>
      <c r="Q321" s="441"/>
      <c r="R321" s="442"/>
      <c r="S321" s="3"/>
      <c r="T321" s="3"/>
      <c r="U321" s="3"/>
      <c r="V321" s="3"/>
      <c r="W321" s="3">
        <v>100000000</v>
      </c>
      <c r="X321" s="3"/>
      <c r="Y321" s="117"/>
      <c r="Z321" s="3"/>
      <c r="AA321" s="3"/>
      <c r="AB321" s="3"/>
      <c r="AC321" s="3"/>
      <c r="AD321" s="3"/>
      <c r="AE321" s="3">
        <f>340860.61+168116148+662000+158045-168116148</f>
        <v>1160905.6100000143</v>
      </c>
      <c r="AF321" s="216">
        <f t="shared" si="144"/>
        <v>101160905.61000001</v>
      </c>
    </row>
    <row r="322" spans="1:32" ht="88.5" customHeight="1" x14ac:dyDescent="0.2">
      <c r="A322" s="352"/>
      <c r="B322" s="355"/>
      <c r="C322" s="289"/>
      <c r="D322" s="290"/>
      <c r="E322" s="272">
        <v>1905</v>
      </c>
      <c r="F322" s="274" t="s">
        <v>957</v>
      </c>
      <c r="G322" s="160" t="s">
        <v>1115</v>
      </c>
      <c r="H322" s="272">
        <v>1905014</v>
      </c>
      <c r="I322" s="273" t="s">
        <v>544</v>
      </c>
      <c r="J322" s="272" t="s">
        <v>1116</v>
      </c>
      <c r="K322" s="272">
        <v>190501400</v>
      </c>
      <c r="L322" s="273" t="s">
        <v>571</v>
      </c>
      <c r="M322" s="218" t="s">
        <v>53</v>
      </c>
      <c r="N322" s="218">
        <v>12</v>
      </c>
      <c r="O322" s="218">
        <v>12</v>
      </c>
      <c r="P322" s="448" t="s">
        <v>152</v>
      </c>
      <c r="Q322" s="441" t="s">
        <v>1117</v>
      </c>
      <c r="R322" s="442" t="s">
        <v>1118</v>
      </c>
      <c r="S322" s="3"/>
      <c r="T322" s="3"/>
      <c r="U322" s="3"/>
      <c r="V322" s="3"/>
      <c r="W322" s="263">
        <f>45000000-17185750</f>
        <v>27814250</v>
      </c>
      <c r="X322" s="3"/>
      <c r="Y322" s="3"/>
      <c r="Z322" s="3"/>
      <c r="AA322" s="3"/>
      <c r="AB322" s="3"/>
      <c r="AC322" s="9"/>
      <c r="AD322" s="3"/>
      <c r="AE322" s="3"/>
      <c r="AF322" s="216">
        <f t="shared" si="144"/>
        <v>27814250</v>
      </c>
    </row>
    <row r="323" spans="1:32" ht="146.25" customHeight="1" x14ac:dyDescent="0.2">
      <c r="A323" s="352"/>
      <c r="B323" s="355"/>
      <c r="C323" s="289"/>
      <c r="D323" s="290"/>
      <c r="E323" s="272">
        <v>1905</v>
      </c>
      <c r="F323" s="274" t="s">
        <v>1102</v>
      </c>
      <c r="G323" s="266" t="s">
        <v>1103</v>
      </c>
      <c r="H323" s="272">
        <v>1905026</v>
      </c>
      <c r="I323" s="273" t="s">
        <v>1119</v>
      </c>
      <c r="J323" s="277" t="s">
        <v>1105</v>
      </c>
      <c r="K323" s="218">
        <v>190502600</v>
      </c>
      <c r="L323" s="224" t="s">
        <v>1106</v>
      </c>
      <c r="M323" s="272" t="s">
        <v>53</v>
      </c>
      <c r="N323" s="272">
        <v>12</v>
      </c>
      <c r="O323" s="272">
        <v>12</v>
      </c>
      <c r="P323" s="448"/>
      <c r="Q323" s="441"/>
      <c r="R323" s="442"/>
      <c r="S323" s="3"/>
      <c r="T323" s="3"/>
      <c r="U323" s="3"/>
      <c r="V323" s="3"/>
      <c r="W323" s="263">
        <v>17185750</v>
      </c>
      <c r="X323" s="263"/>
      <c r="Y323" s="3"/>
      <c r="Z323" s="3"/>
      <c r="AA323" s="3"/>
      <c r="AB323" s="3"/>
      <c r="AC323" s="9"/>
      <c r="AD323" s="3"/>
      <c r="AE323" s="9">
        <f>155911553+22308240+3163033-4541113</f>
        <v>176841713</v>
      </c>
      <c r="AF323" s="216">
        <f t="shared" si="144"/>
        <v>194027463</v>
      </c>
    </row>
    <row r="324" spans="1:32" ht="155.25" customHeight="1" x14ac:dyDescent="0.2">
      <c r="A324" s="352"/>
      <c r="B324" s="355"/>
      <c r="C324" s="289"/>
      <c r="D324" s="290"/>
      <c r="E324" s="272">
        <v>1905</v>
      </c>
      <c r="F324" s="274" t="s">
        <v>1102</v>
      </c>
      <c r="G324" s="266" t="s">
        <v>1103</v>
      </c>
      <c r="H324" s="272">
        <v>1905026</v>
      </c>
      <c r="I324" s="273" t="s">
        <v>1104</v>
      </c>
      <c r="J324" s="277" t="s">
        <v>1105</v>
      </c>
      <c r="K324" s="218">
        <v>190502600</v>
      </c>
      <c r="L324" s="224" t="s">
        <v>1106</v>
      </c>
      <c r="M324" s="272" t="s">
        <v>53</v>
      </c>
      <c r="N324" s="272">
        <v>12</v>
      </c>
      <c r="O324" s="272">
        <v>12</v>
      </c>
      <c r="P324" s="337" t="s">
        <v>152</v>
      </c>
      <c r="Q324" s="272" t="s">
        <v>1120</v>
      </c>
      <c r="R324" s="273" t="s">
        <v>1121</v>
      </c>
      <c r="S324" s="3"/>
      <c r="T324" s="3"/>
      <c r="U324" s="3"/>
      <c r="V324" s="3"/>
      <c r="W324" s="3"/>
      <c r="X324" s="178"/>
      <c r="Y324" s="3"/>
      <c r="Z324" s="3"/>
      <c r="AA324" s="3"/>
      <c r="AB324" s="3"/>
      <c r="AC324" s="9">
        <v>2929870740</v>
      </c>
      <c r="AD324" s="3"/>
      <c r="AE324" s="3">
        <v>0</v>
      </c>
      <c r="AF324" s="216">
        <f t="shared" si="144"/>
        <v>2929870740</v>
      </c>
    </row>
    <row r="325" spans="1:32" ht="174" customHeight="1" x14ac:dyDescent="0.2">
      <c r="A325" s="352"/>
      <c r="B325" s="355"/>
      <c r="C325" s="289"/>
      <c r="D325" s="290"/>
      <c r="E325" s="272">
        <v>1905</v>
      </c>
      <c r="F325" s="274" t="s">
        <v>1102</v>
      </c>
      <c r="G325" s="266" t="s">
        <v>1103</v>
      </c>
      <c r="H325" s="272">
        <v>1905026</v>
      </c>
      <c r="I325" s="273" t="s">
        <v>1104</v>
      </c>
      <c r="J325" s="277" t="s">
        <v>1105</v>
      </c>
      <c r="K325" s="218">
        <v>190502600</v>
      </c>
      <c r="L325" s="224" t="s">
        <v>1106</v>
      </c>
      <c r="M325" s="272" t="s">
        <v>53</v>
      </c>
      <c r="N325" s="272">
        <v>12</v>
      </c>
      <c r="O325" s="272">
        <v>12</v>
      </c>
      <c r="P325" s="337" t="s">
        <v>152</v>
      </c>
      <c r="Q325" s="441" t="s">
        <v>1126</v>
      </c>
      <c r="R325" s="459" t="s">
        <v>1127</v>
      </c>
      <c r="S325" s="3"/>
      <c r="T325" s="3"/>
      <c r="U325" s="3"/>
      <c r="V325" s="3"/>
      <c r="W325" s="3">
        <f>10000000-2000000</f>
        <v>8000000</v>
      </c>
      <c r="X325" s="178"/>
      <c r="Y325" s="3"/>
      <c r="Z325" s="3"/>
      <c r="AA325" s="3"/>
      <c r="AB325" s="3"/>
      <c r="AC325" s="9"/>
      <c r="AD325" s="3"/>
      <c r="AE325" s="3"/>
      <c r="AF325" s="216">
        <f t="shared" si="144"/>
        <v>8000000</v>
      </c>
    </row>
    <row r="326" spans="1:32" ht="80.25" customHeight="1" x14ac:dyDescent="0.2">
      <c r="A326" s="352"/>
      <c r="B326" s="355"/>
      <c r="C326" s="289"/>
      <c r="D326" s="290"/>
      <c r="E326" s="272">
        <v>1905</v>
      </c>
      <c r="F326" s="274" t="s">
        <v>962</v>
      </c>
      <c r="G326" s="266" t="s">
        <v>1122</v>
      </c>
      <c r="H326" s="272">
        <v>1905029</v>
      </c>
      <c r="I326" s="273" t="s">
        <v>1123</v>
      </c>
      <c r="J326" s="277" t="s">
        <v>1124</v>
      </c>
      <c r="K326" s="218">
        <v>190502900</v>
      </c>
      <c r="L326" s="224" t="s">
        <v>1125</v>
      </c>
      <c r="M326" s="218" t="s">
        <v>53</v>
      </c>
      <c r="N326" s="218">
        <v>60</v>
      </c>
      <c r="O326" s="218">
        <v>60</v>
      </c>
      <c r="P326" s="337" t="s">
        <v>152</v>
      </c>
      <c r="Q326" s="441"/>
      <c r="R326" s="459"/>
      <c r="S326" s="3"/>
      <c r="T326" s="3"/>
      <c r="U326" s="3"/>
      <c r="V326" s="3"/>
      <c r="W326" s="3">
        <f>10000000</f>
        <v>10000000</v>
      </c>
      <c r="X326" s="3"/>
      <c r="Y326" s="3"/>
      <c r="Z326" s="3"/>
      <c r="AA326" s="3"/>
      <c r="AB326" s="3"/>
      <c r="AC326" s="9"/>
      <c r="AD326" s="3"/>
      <c r="AE326" s="3"/>
      <c r="AF326" s="216">
        <f t="shared" si="144"/>
        <v>10000000</v>
      </c>
    </row>
    <row r="327" spans="1:32" ht="93.75" customHeight="1" x14ac:dyDescent="0.2">
      <c r="A327" s="352"/>
      <c r="B327" s="355"/>
      <c r="C327" s="289"/>
      <c r="D327" s="290"/>
      <c r="E327" s="272">
        <v>1905</v>
      </c>
      <c r="F327" s="274" t="s">
        <v>1021</v>
      </c>
      <c r="G327" s="266" t="s">
        <v>1128</v>
      </c>
      <c r="H327" s="272">
        <v>1905025</v>
      </c>
      <c r="I327" s="273" t="s">
        <v>1129</v>
      </c>
      <c r="J327" s="277" t="s">
        <v>1130</v>
      </c>
      <c r="K327" s="218">
        <v>190502500</v>
      </c>
      <c r="L327" s="224" t="s">
        <v>1131</v>
      </c>
      <c r="M327" s="218" t="s">
        <v>53</v>
      </c>
      <c r="N327" s="218">
        <v>12</v>
      </c>
      <c r="O327" s="218">
        <v>12</v>
      </c>
      <c r="P327" s="337" t="s">
        <v>152</v>
      </c>
      <c r="Q327" s="272" t="s">
        <v>1132</v>
      </c>
      <c r="R327" s="273" t="s">
        <v>1133</v>
      </c>
      <c r="S327" s="3"/>
      <c r="T327" s="3"/>
      <c r="U327" s="3"/>
      <c r="V327" s="3"/>
      <c r="W327" s="3">
        <f>76000000-800000</f>
        <v>75200000</v>
      </c>
      <c r="X327" s="3"/>
      <c r="Y327" s="3"/>
      <c r="Z327" s="3"/>
      <c r="AA327" s="3"/>
      <c r="AB327" s="3"/>
      <c r="AC327" s="9"/>
      <c r="AD327" s="3"/>
      <c r="AE327" s="3"/>
      <c r="AF327" s="216">
        <f t="shared" si="144"/>
        <v>75200000</v>
      </c>
    </row>
    <row r="328" spans="1:32" ht="96" customHeight="1" x14ac:dyDescent="0.2">
      <c r="A328" s="352"/>
      <c r="B328" s="355"/>
      <c r="C328" s="289"/>
      <c r="D328" s="290"/>
      <c r="E328" s="272">
        <v>1905</v>
      </c>
      <c r="F328" s="274" t="s">
        <v>972</v>
      </c>
      <c r="G328" s="160">
        <v>12.3</v>
      </c>
      <c r="H328" s="272">
        <v>1905015</v>
      </c>
      <c r="I328" s="273" t="s">
        <v>435</v>
      </c>
      <c r="J328" s="272" t="s">
        <v>1134</v>
      </c>
      <c r="K328" s="272">
        <v>190501503</v>
      </c>
      <c r="L328" s="273" t="s">
        <v>1135</v>
      </c>
      <c r="M328" s="218" t="s">
        <v>53</v>
      </c>
      <c r="N328" s="218">
        <v>15</v>
      </c>
      <c r="O328" s="218">
        <v>15</v>
      </c>
      <c r="P328" s="337" t="s">
        <v>152</v>
      </c>
      <c r="Q328" s="272" t="s">
        <v>1003</v>
      </c>
      <c r="R328" s="273" t="s">
        <v>1004</v>
      </c>
      <c r="S328" s="3"/>
      <c r="T328" s="3"/>
      <c r="U328" s="3"/>
      <c r="V328" s="3"/>
      <c r="W328" s="21">
        <f>100126107.49-0.35</f>
        <v>100126107.14</v>
      </c>
      <c r="X328" s="3"/>
      <c r="Y328" s="3"/>
      <c r="Z328" s="3"/>
      <c r="AA328" s="3"/>
      <c r="AB328" s="3"/>
      <c r="AC328" s="9"/>
      <c r="AD328" s="3"/>
      <c r="AE328" s="3"/>
      <c r="AF328" s="216">
        <f t="shared" si="144"/>
        <v>100126107.14</v>
      </c>
    </row>
    <row r="329" spans="1:32" ht="89.25" customHeight="1" x14ac:dyDescent="0.2">
      <c r="A329" s="352"/>
      <c r="B329" s="355"/>
      <c r="C329" s="291"/>
      <c r="D329" s="272"/>
      <c r="E329" s="272">
        <v>1905</v>
      </c>
      <c r="F329" s="274" t="s">
        <v>1136</v>
      </c>
      <c r="G329" s="255" t="s">
        <v>1137</v>
      </c>
      <c r="H329" s="272" t="s">
        <v>47</v>
      </c>
      <c r="I329" s="274" t="s">
        <v>1138</v>
      </c>
      <c r="J329" s="281" t="s">
        <v>1139</v>
      </c>
      <c r="K329" s="281" t="s">
        <v>47</v>
      </c>
      <c r="L329" s="274" t="s">
        <v>1140</v>
      </c>
      <c r="M329" s="218" t="s">
        <v>53</v>
      </c>
      <c r="N329" s="218">
        <v>1</v>
      </c>
      <c r="O329" s="218">
        <v>1</v>
      </c>
      <c r="P329" s="337" t="s">
        <v>152</v>
      </c>
      <c r="Q329" s="272" t="s">
        <v>1141</v>
      </c>
      <c r="R329" s="273" t="s">
        <v>1142</v>
      </c>
      <c r="S329" s="3"/>
      <c r="T329" s="3"/>
      <c r="U329" s="3"/>
      <c r="V329" s="3"/>
      <c r="W329" s="3"/>
      <c r="X329" s="22"/>
      <c r="Y329" s="3"/>
      <c r="Z329" s="3"/>
      <c r="AA329" s="3"/>
      <c r="AB329" s="3"/>
      <c r="AC329" s="9">
        <f>161000000+139000000+150000000</f>
        <v>450000000</v>
      </c>
      <c r="AD329" s="3"/>
      <c r="AE329" s="3"/>
      <c r="AF329" s="216">
        <f t="shared" si="144"/>
        <v>450000000</v>
      </c>
    </row>
    <row r="330" spans="1:32" ht="79.5" customHeight="1" x14ac:dyDescent="0.2">
      <c r="A330" s="352"/>
      <c r="B330" s="355"/>
      <c r="C330" s="289"/>
      <c r="D330" s="290"/>
      <c r="E330" s="272">
        <v>1905</v>
      </c>
      <c r="F330" s="274" t="s">
        <v>1444</v>
      </c>
      <c r="G330" s="160" t="s">
        <v>1044</v>
      </c>
      <c r="H330" s="282">
        <v>1905031</v>
      </c>
      <c r="I330" s="273" t="s">
        <v>1045</v>
      </c>
      <c r="J330" s="272" t="s">
        <v>1046</v>
      </c>
      <c r="K330" s="272">
        <v>190503100</v>
      </c>
      <c r="L330" s="273" t="s">
        <v>1047</v>
      </c>
      <c r="M330" s="218" t="s">
        <v>53</v>
      </c>
      <c r="N330" s="218">
        <v>12</v>
      </c>
      <c r="O330" s="218">
        <v>12</v>
      </c>
      <c r="P330" s="337" t="s">
        <v>152</v>
      </c>
      <c r="Q330" s="272" t="s">
        <v>1143</v>
      </c>
      <c r="R330" s="273" t="s">
        <v>11</v>
      </c>
      <c r="S330" s="3"/>
      <c r="T330" s="3"/>
      <c r="U330" s="3"/>
      <c r="V330" s="3"/>
      <c r="W330" s="3">
        <f>1300000000+100126107.49</f>
        <v>1400126107.49</v>
      </c>
      <c r="X330" s="3"/>
      <c r="Y330" s="3"/>
      <c r="Z330" s="3"/>
      <c r="AA330" s="3"/>
      <c r="AB330" s="3"/>
      <c r="AC330" s="9"/>
      <c r="AD330" s="3"/>
      <c r="AE330" s="3"/>
      <c r="AF330" s="216">
        <f t="shared" si="144"/>
        <v>1400126107.49</v>
      </c>
    </row>
    <row r="331" spans="1:32" ht="24.75" customHeight="1" x14ac:dyDescent="0.2">
      <c r="A331" s="352"/>
      <c r="B331" s="355"/>
      <c r="C331" s="131">
        <v>13</v>
      </c>
      <c r="D331" s="103">
        <v>1906</v>
      </c>
      <c r="E331" s="275" t="s">
        <v>146</v>
      </c>
      <c r="F331" s="102"/>
      <c r="G331" s="103"/>
      <c r="H331" s="104"/>
      <c r="I331" s="102"/>
      <c r="J331" s="103"/>
      <c r="K331" s="103"/>
      <c r="L331" s="102"/>
      <c r="M331" s="105"/>
      <c r="N331" s="105"/>
      <c r="O331" s="103"/>
      <c r="P331" s="338"/>
      <c r="Q331" s="103"/>
      <c r="R331" s="102"/>
      <c r="S331" s="107">
        <f t="shared" ref="S331:AF331" si="145">SUM(S332:S338)</f>
        <v>0</v>
      </c>
      <c r="T331" s="107">
        <f t="shared" si="145"/>
        <v>0</v>
      </c>
      <c r="U331" s="107">
        <f t="shared" si="145"/>
        <v>0</v>
      </c>
      <c r="V331" s="107">
        <f t="shared" si="145"/>
        <v>0</v>
      </c>
      <c r="W331" s="107">
        <f t="shared" si="145"/>
        <v>2194512076.8699999</v>
      </c>
      <c r="X331" s="107">
        <f t="shared" si="145"/>
        <v>26148440529.420002</v>
      </c>
      <c r="Y331" s="107">
        <f t="shared" si="145"/>
        <v>0</v>
      </c>
      <c r="Z331" s="107">
        <f t="shared" si="145"/>
        <v>0</v>
      </c>
      <c r="AA331" s="107">
        <f t="shared" si="145"/>
        <v>0</v>
      </c>
      <c r="AB331" s="107">
        <f t="shared" si="145"/>
        <v>0</v>
      </c>
      <c r="AC331" s="107">
        <f t="shared" si="145"/>
        <v>941590000</v>
      </c>
      <c r="AD331" s="107">
        <f t="shared" si="145"/>
        <v>0</v>
      </c>
      <c r="AE331" s="107">
        <f t="shared" si="145"/>
        <v>1413975883.6900001</v>
      </c>
      <c r="AF331" s="107">
        <f t="shared" si="145"/>
        <v>30698518489.98</v>
      </c>
    </row>
    <row r="332" spans="1:32" ht="76.5" customHeight="1" x14ac:dyDescent="0.2">
      <c r="A332" s="352"/>
      <c r="B332" s="355"/>
      <c r="C332" s="289"/>
      <c r="D332" s="290"/>
      <c r="E332" s="272">
        <v>1906</v>
      </c>
      <c r="F332" s="274" t="s">
        <v>1021</v>
      </c>
      <c r="G332" s="160" t="s">
        <v>1144</v>
      </c>
      <c r="H332" s="272">
        <v>1906032</v>
      </c>
      <c r="I332" s="273" t="s">
        <v>1145</v>
      </c>
      <c r="J332" s="272" t="s">
        <v>1146</v>
      </c>
      <c r="K332" s="218">
        <v>190603200</v>
      </c>
      <c r="L332" s="273" t="s">
        <v>1147</v>
      </c>
      <c r="M332" s="218" t="s">
        <v>143</v>
      </c>
      <c r="N332" s="218">
        <v>3000</v>
      </c>
      <c r="O332" s="218">
        <v>1500</v>
      </c>
      <c r="P332" s="448" t="s">
        <v>152</v>
      </c>
      <c r="Q332" s="441" t="s">
        <v>1148</v>
      </c>
      <c r="R332" s="442" t="s">
        <v>1149</v>
      </c>
      <c r="S332" s="3"/>
      <c r="T332" s="3"/>
      <c r="U332" s="3"/>
      <c r="V332" s="3"/>
      <c r="W332" s="3"/>
      <c r="X332" s="21"/>
      <c r="Y332" s="3"/>
      <c r="Z332" s="3"/>
      <c r="AA332" s="3"/>
      <c r="AB332" s="3"/>
      <c r="AC332" s="9"/>
      <c r="AD332" s="3"/>
      <c r="AE332" s="3"/>
      <c r="AF332" s="109">
        <f>+S332+T332+U332+V332+W332+X332+Y332+Z332+AA332+AB332+AC332+AD332+AE332</f>
        <v>0</v>
      </c>
    </row>
    <row r="333" spans="1:32" ht="71.25" customHeight="1" x14ac:dyDescent="0.2">
      <c r="A333" s="352"/>
      <c r="B333" s="355"/>
      <c r="C333" s="289"/>
      <c r="D333" s="290"/>
      <c r="E333" s="272">
        <v>1906</v>
      </c>
      <c r="F333" s="274" t="s">
        <v>1150</v>
      </c>
      <c r="G333" s="160" t="s">
        <v>1151</v>
      </c>
      <c r="H333" s="272" t="s">
        <v>47</v>
      </c>
      <c r="I333" s="273" t="s">
        <v>1152</v>
      </c>
      <c r="J333" s="272" t="s">
        <v>1153</v>
      </c>
      <c r="K333" s="272" t="s">
        <v>47</v>
      </c>
      <c r="L333" s="273" t="s">
        <v>1154</v>
      </c>
      <c r="M333" s="218" t="s">
        <v>53</v>
      </c>
      <c r="N333" s="218">
        <v>19899</v>
      </c>
      <c r="O333" s="218">
        <v>19899</v>
      </c>
      <c r="P333" s="448"/>
      <c r="Q333" s="441"/>
      <c r="R333" s="442"/>
      <c r="S333" s="3"/>
      <c r="T333" s="3"/>
      <c r="U333" s="3"/>
      <c r="V333" s="3"/>
      <c r="W333" s="3"/>
      <c r="X333" s="3">
        <f>21634597197+14825685-3.96</f>
        <v>21649422878.040001</v>
      </c>
      <c r="Y333" s="3"/>
      <c r="Z333" s="3"/>
      <c r="AA333" s="3"/>
      <c r="AB333" s="3"/>
      <c r="AC333" s="9">
        <v>11200000</v>
      </c>
      <c r="AD333" s="3"/>
      <c r="AE333" s="3"/>
      <c r="AF333" s="216">
        <f>+S333+T333+U333+V333+W333+X333+Y333+Z333+AA333+AB333+AC333+AD333+AE333</f>
        <v>21660622878.040001</v>
      </c>
    </row>
    <row r="334" spans="1:32" ht="82.5" customHeight="1" x14ac:dyDescent="0.2">
      <c r="A334" s="352"/>
      <c r="B334" s="355"/>
      <c r="C334" s="291"/>
      <c r="D334" s="272"/>
      <c r="E334" s="272">
        <v>1906</v>
      </c>
      <c r="F334" s="331" t="s">
        <v>993</v>
      </c>
      <c r="G334" s="458" t="s">
        <v>1155</v>
      </c>
      <c r="H334" s="441" t="s">
        <v>47</v>
      </c>
      <c r="I334" s="442" t="s">
        <v>1156</v>
      </c>
      <c r="J334" s="218" t="s">
        <v>1157</v>
      </c>
      <c r="K334" s="225" t="s">
        <v>47</v>
      </c>
      <c r="L334" s="224" t="s">
        <v>1158</v>
      </c>
      <c r="M334" s="218" t="s">
        <v>53</v>
      </c>
      <c r="N334" s="218">
        <v>60</v>
      </c>
      <c r="O334" s="272">
        <v>60</v>
      </c>
      <c r="P334" s="448" t="s">
        <v>152</v>
      </c>
      <c r="Q334" s="441" t="s">
        <v>1159</v>
      </c>
      <c r="R334" s="442" t="s">
        <v>1160</v>
      </c>
      <c r="S334" s="3"/>
      <c r="T334" s="3"/>
      <c r="U334" s="3"/>
      <c r="V334" s="3"/>
      <c r="W334" s="3"/>
      <c r="X334" s="3"/>
      <c r="Y334" s="3"/>
      <c r="Z334" s="3"/>
      <c r="AA334" s="3"/>
      <c r="AB334" s="3"/>
      <c r="AC334" s="9"/>
      <c r="AD334" s="3"/>
      <c r="AE334" s="3">
        <f>1530716729+39149969-208772729-24042969</f>
        <v>1337051000</v>
      </c>
      <c r="AF334" s="216">
        <f>+S334+T334+U334+V334+W334+X334+Y334+Z334+AA334+AB334+AC334+AD334+AE334</f>
        <v>1337051000</v>
      </c>
    </row>
    <row r="335" spans="1:32" s="138" customFormat="1" ht="69" customHeight="1" x14ac:dyDescent="0.2">
      <c r="A335" s="370"/>
      <c r="B335" s="371"/>
      <c r="C335" s="314"/>
      <c r="D335" s="279"/>
      <c r="E335" s="272">
        <v>1906</v>
      </c>
      <c r="F335" s="318" t="s">
        <v>1150</v>
      </c>
      <c r="G335" s="458"/>
      <c r="H335" s="441"/>
      <c r="I335" s="442"/>
      <c r="J335" s="251" t="s">
        <v>1161</v>
      </c>
      <c r="K335" s="270" t="s">
        <v>47</v>
      </c>
      <c r="L335" s="261" t="s">
        <v>1162</v>
      </c>
      <c r="M335" s="251" t="s">
        <v>53</v>
      </c>
      <c r="N335" s="251">
        <v>40</v>
      </c>
      <c r="O335" s="160">
        <v>40</v>
      </c>
      <c r="P335" s="448"/>
      <c r="Q335" s="441"/>
      <c r="R335" s="442"/>
      <c r="S335" s="3"/>
      <c r="T335" s="3"/>
      <c r="U335" s="3"/>
      <c r="V335" s="3"/>
      <c r="W335" s="3"/>
      <c r="X335" s="3"/>
      <c r="Y335" s="3"/>
      <c r="Z335" s="3"/>
      <c r="AA335" s="3"/>
      <c r="AB335" s="3"/>
      <c r="AC335" s="9"/>
      <c r="AD335" s="3"/>
      <c r="AE335" s="3"/>
      <c r="AF335" s="137"/>
    </row>
    <row r="336" spans="1:32" ht="84" customHeight="1" x14ac:dyDescent="0.2">
      <c r="A336" s="352"/>
      <c r="B336" s="355"/>
      <c r="C336" s="291"/>
      <c r="D336" s="272"/>
      <c r="E336" s="272">
        <v>1906</v>
      </c>
      <c r="F336" s="274" t="s">
        <v>1150</v>
      </c>
      <c r="G336" s="251" t="s">
        <v>1451</v>
      </c>
      <c r="H336" s="272" t="s">
        <v>47</v>
      </c>
      <c r="I336" s="273" t="s">
        <v>1163</v>
      </c>
      <c r="J336" s="218" t="s">
        <v>1164</v>
      </c>
      <c r="K336" s="225" t="s">
        <v>47</v>
      </c>
      <c r="L336" s="224" t="s">
        <v>1165</v>
      </c>
      <c r="M336" s="218" t="s">
        <v>53</v>
      </c>
      <c r="N336" s="218">
        <v>100</v>
      </c>
      <c r="O336" s="272">
        <v>100</v>
      </c>
      <c r="P336" s="448"/>
      <c r="Q336" s="441"/>
      <c r="R336" s="442"/>
      <c r="S336" s="3"/>
      <c r="T336" s="3"/>
      <c r="U336" s="3"/>
      <c r="V336" s="3"/>
      <c r="W336" s="3">
        <f>1514260580-1496346983-0.13-17913596.87+1496346983+1496346983-1496346983</f>
        <v>1496346983</v>
      </c>
      <c r="X336" s="3"/>
      <c r="Y336" s="3"/>
      <c r="Z336" s="3"/>
      <c r="AA336" s="3"/>
      <c r="AB336" s="3"/>
      <c r="AC336" s="9"/>
      <c r="AD336" s="3"/>
      <c r="AE336" s="3"/>
      <c r="AF336" s="216">
        <f>+S336+T336+U336+V336+W336+X336+Y336+Z336+AA336+AB336+AC336+AD336+AE336</f>
        <v>1496346983</v>
      </c>
    </row>
    <row r="337" spans="1:38" ht="75.75" customHeight="1" x14ac:dyDescent="0.2">
      <c r="A337" s="352"/>
      <c r="B337" s="355"/>
      <c r="C337" s="291"/>
      <c r="D337" s="272"/>
      <c r="E337" s="272">
        <v>1906</v>
      </c>
      <c r="F337" s="274" t="s">
        <v>1150</v>
      </c>
      <c r="G337" s="266" t="s">
        <v>1166</v>
      </c>
      <c r="H337" s="272" t="s">
        <v>47</v>
      </c>
      <c r="I337" s="273" t="s">
        <v>1167</v>
      </c>
      <c r="J337" s="277" t="s">
        <v>1168</v>
      </c>
      <c r="K337" s="225" t="s">
        <v>47</v>
      </c>
      <c r="L337" s="224" t="s">
        <v>1169</v>
      </c>
      <c r="M337" s="218" t="s">
        <v>53</v>
      </c>
      <c r="N337" s="218">
        <v>100</v>
      </c>
      <c r="O337" s="218">
        <v>100</v>
      </c>
      <c r="P337" s="448"/>
      <c r="Q337" s="441"/>
      <c r="R337" s="442"/>
      <c r="S337" s="3"/>
      <c r="T337" s="3"/>
      <c r="U337" s="3"/>
      <c r="V337" s="3"/>
      <c r="W337" s="3">
        <f>680251497+17913596.87</f>
        <v>698165093.87</v>
      </c>
      <c r="X337" s="3">
        <f>1200096.53+4427083.08+6409080.2+3298588097+241539752.22+428092534.45+51987321.83-772313.93</f>
        <v>4031471651.3799996</v>
      </c>
      <c r="Y337" s="3"/>
      <c r="Z337" s="3"/>
      <c r="AA337" s="3"/>
      <c r="AB337" s="3"/>
      <c r="AC337" s="9"/>
      <c r="AD337" s="3"/>
      <c r="AE337" s="3">
        <f>68256639+7852620.44+815624.25</f>
        <v>76924883.689999998</v>
      </c>
      <c r="AF337" s="216">
        <f>+S337+T337+U337+V337+W337+X337+Y337+Z337+AA337+AB337+AC337+AD337+AE337</f>
        <v>4806561628.9399996</v>
      </c>
    </row>
    <row r="338" spans="1:38" ht="69" customHeight="1" x14ac:dyDescent="0.2">
      <c r="A338" s="353"/>
      <c r="B338" s="356"/>
      <c r="C338" s="291"/>
      <c r="D338" s="272"/>
      <c r="E338" s="272">
        <v>1906</v>
      </c>
      <c r="F338" s="274" t="s">
        <v>1170</v>
      </c>
      <c r="G338" s="251" t="s">
        <v>1171</v>
      </c>
      <c r="H338" s="272">
        <v>1906029</v>
      </c>
      <c r="I338" s="273" t="s">
        <v>1172</v>
      </c>
      <c r="J338" s="218" t="s">
        <v>1173</v>
      </c>
      <c r="K338" s="218">
        <v>190602900</v>
      </c>
      <c r="L338" s="224" t="s">
        <v>1174</v>
      </c>
      <c r="M338" s="218" t="s">
        <v>53</v>
      </c>
      <c r="N338" s="218">
        <v>40</v>
      </c>
      <c r="O338" s="218">
        <v>40</v>
      </c>
      <c r="P338" s="337" t="s">
        <v>152</v>
      </c>
      <c r="Q338" s="272" t="s">
        <v>1175</v>
      </c>
      <c r="R338" s="273" t="s">
        <v>1176</v>
      </c>
      <c r="S338" s="3"/>
      <c r="T338" s="3"/>
      <c r="U338" s="3"/>
      <c r="V338" s="3"/>
      <c r="W338" s="3">
        <f>1496346983-1496346983</f>
        <v>0</v>
      </c>
      <c r="X338" s="21">
        <v>467546000</v>
      </c>
      <c r="Y338" s="3"/>
      <c r="Z338" s="3"/>
      <c r="AA338" s="3"/>
      <c r="AB338" s="3"/>
      <c r="AC338" s="9">
        <f>161590000-11200000+780000000</f>
        <v>930390000</v>
      </c>
      <c r="AD338" s="3"/>
      <c r="AE338" s="3"/>
      <c r="AF338" s="216">
        <f>+S338+T338+U338+V338+W338+X338+Y338+Z338+AA338+AB338+AC338+AD338+AE338</f>
        <v>1397936000</v>
      </c>
    </row>
    <row r="339" spans="1:38" s="176" customFormat="1" ht="15.75" x14ac:dyDescent="0.2">
      <c r="A339" s="357"/>
      <c r="B339" s="358"/>
      <c r="C339" s="358"/>
      <c r="D339" s="359"/>
      <c r="E339" s="360"/>
      <c r="F339" s="360"/>
      <c r="G339" s="361"/>
      <c r="H339" s="361"/>
      <c r="I339" s="362"/>
      <c r="J339" s="363"/>
      <c r="K339" s="363"/>
      <c r="L339" s="362"/>
      <c r="M339" s="361"/>
      <c r="N339" s="361"/>
      <c r="O339" s="363"/>
      <c r="P339" s="361"/>
      <c r="Q339" s="361"/>
      <c r="R339" s="362"/>
      <c r="S339" s="364"/>
      <c r="T339" s="364"/>
      <c r="U339" s="364"/>
      <c r="V339" s="364"/>
      <c r="W339" s="364"/>
      <c r="X339" s="364"/>
      <c r="Y339" s="364"/>
      <c r="Z339" s="364"/>
      <c r="AA339" s="364"/>
      <c r="AB339" s="364"/>
      <c r="AC339" s="365"/>
      <c r="AD339" s="364"/>
      <c r="AE339" s="364"/>
      <c r="AF339" s="434"/>
    </row>
    <row r="340" spans="1:38" s="94" customFormat="1" ht="19.5" customHeight="1" x14ac:dyDescent="0.25">
      <c r="A340" s="145" t="s">
        <v>1449</v>
      </c>
      <c r="B340" s="145"/>
      <c r="C340" s="145"/>
      <c r="D340" s="146"/>
      <c r="E340" s="146"/>
      <c r="F340" s="147"/>
      <c r="G340" s="148"/>
      <c r="H340" s="92"/>
      <c r="I340" s="147"/>
      <c r="J340" s="148"/>
      <c r="K340" s="148"/>
      <c r="L340" s="147"/>
      <c r="M340" s="92"/>
      <c r="N340" s="92"/>
      <c r="O340" s="148"/>
      <c r="P340" s="339"/>
      <c r="Q340" s="148"/>
      <c r="R340" s="147"/>
      <c r="S340" s="124">
        <f t="shared" ref="S340:AF340" si="146">+S341+S347+S352</f>
        <v>0</v>
      </c>
      <c r="T340" s="124">
        <f t="shared" si="146"/>
        <v>0</v>
      </c>
      <c r="U340" s="124">
        <f t="shared" si="146"/>
        <v>0</v>
      </c>
      <c r="V340" s="124">
        <f t="shared" si="146"/>
        <v>0</v>
      </c>
      <c r="W340" s="124">
        <f t="shared" si="146"/>
        <v>0</v>
      </c>
      <c r="X340" s="124">
        <f t="shared" si="146"/>
        <v>0</v>
      </c>
      <c r="Y340" s="124">
        <f t="shared" si="146"/>
        <v>0</v>
      </c>
      <c r="Z340" s="124">
        <f t="shared" si="146"/>
        <v>0</v>
      </c>
      <c r="AA340" s="124">
        <f t="shared" si="146"/>
        <v>0</v>
      </c>
      <c r="AB340" s="124">
        <f t="shared" si="146"/>
        <v>0</v>
      </c>
      <c r="AC340" s="124">
        <f t="shared" si="146"/>
        <v>632885000</v>
      </c>
      <c r="AD340" s="124">
        <f t="shared" si="146"/>
        <v>0</v>
      </c>
      <c r="AE340" s="124">
        <f t="shared" si="146"/>
        <v>0</v>
      </c>
      <c r="AF340" s="124">
        <f t="shared" si="146"/>
        <v>632885000</v>
      </c>
      <c r="AG340" s="401"/>
      <c r="AH340" s="401"/>
      <c r="AI340" s="401"/>
      <c r="AJ340" s="401"/>
      <c r="AK340" s="401"/>
      <c r="AL340" s="401"/>
    </row>
    <row r="341" spans="1:38" s="94" customFormat="1" ht="15.75" x14ac:dyDescent="0.25">
      <c r="A341" s="351"/>
      <c r="B341" s="193">
        <v>1</v>
      </c>
      <c r="C341" s="95" t="s">
        <v>1</v>
      </c>
      <c r="D341" s="96"/>
      <c r="E341" s="96"/>
      <c r="F341" s="97"/>
      <c r="G341" s="98"/>
      <c r="H341" s="99"/>
      <c r="I341" s="97"/>
      <c r="J341" s="98"/>
      <c r="K341" s="98"/>
      <c r="L341" s="97"/>
      <c r="M341" s="100"/>
      <c r="N341" s="100"/>
      <c r="O341" s="98"/>
      <c r="P341" s="340"/>
      <c r="Q341" s="98"/>
      <c r="R341" s="97"/>
      <c r="S341" s="319">
        <f t="shared" ref="S341:AF341" si="147">+S342+S345</f>
        <v>0</v>
      </c>
      <c r="T341" s="319">
        <f t="shared" si="147"/>
        <v>0</v>
      </c>
      <c r="U341" s="319">
        <f t="shared" si="147"/>
        <v>0</v>
      </c>
      <c r="V341" s="319">
        <f t="shared" si="147"/>
        <v>0</v>
      </c>
      <c r="W341" s="319">
        <f t="shared" si="147"/>
        <v>0</v>
      </c>
      <c r="X341" s="319">
        <f t="shared" si="147"/>
        <v>0</v>
      </c>
      <c r="Y341" s="319">
        <f t="shared" si="147"/>
        <v>0</v>
      </c>
      <c r="Z341" s="319">
        <f t="shared" si="147"/>
        <v>0</v>
      </c>
      <c r="AA341" s="319">
        <f t="shared" si="147"/>
        <v>0</v>
      </c>
      <c r="AB341" s="319">
        <f t="shared" si="147"/>
        <v>0</v>
      </c>
      <c r="AC341" s="319">
        <f t="shared" si="147"/>
        <v>207164000</v>
      </c>
      <c r="AD341" s="319">
        <f t="shared" si="147"/>
        <v>0</v>
      </c>
      <c r="AE341" s="319">
        <f t="shared" si="147"/>
        <v>0</v>
      </c>
      <c r="AF341" s="319">
        <f t="shared" si="147"/>
        <v>207164000</v>
      </c>
    </row>
    <row r="342" spans="1:38" s="94" customFormat="1" ht="15.75" x14ac:dyDescent="0.25">
      <c r="A342" s="351"/>
      <c r="B342" s="457"/>
      <c r="C342" s="275">
        <v>16</v>
      </c>
      <c r="D342" s="106">
        <v>2301</v>
      </c>
      <c r="E342" s="275" t="s">
        <v>1410</v>
      </c>
      <c r="F342" s="102"/>
      <c r="G342" s="103"/>
      <c r="H342" s="104"/>
      <c r="I342" s="102"/>
      <c r="J342" s="103"/>
      <c r="K342" s="103"/>
      <c r="L342" s="102"/>
      <c r="M342" s="105"/>
      <c r="N342" s="105"/>
      <c r="O342" s="103"/>
      <c r="P342" s="338"/>
      <c r="Q342" s="103"/>
      <c r="R342" s="102"/>
      <c r="S342" s="107">
        <f t="shared" ref="S342:AF342" si="148">SUM(S343:S344)</f>
        <v>0</v>
      </c>
      <c r="T342" s="107">
        <f t="shared" si="148"/>
        <v>0</v>
      </c>
      <c r="U342" s="107">
        <f t="shared" si="148"/>
        <v>0</v>
      </c>
      <c r="V342" s="107">
        <f t="shared" si="148"/>
        <v>0</v>
      </c>
      <c r="W342" s="107">
        <f t="shared" si="148"/>
        <v>0</v>
      </c>
      <c r="X342" s="107">
        <f t="shared" si="148"/>
        <v>0</v>
      </c>
      <c r="Y342" s="107">
        <f t="shared" si="148"/>
        <v>0</v>
      </c>
      <c r="Z342" s="107">
        <f t="shared" si="148"/>
        <v>0</v>
      </c>
      <c r="AA342" s="107">
        <f t="shared" si="148"/>
        <v>0</v>
      </c>
      <c r="AB342" s="107">
        <f t="shared" si="148"/>
        <v>0</v>
      </c>
      <c r="AC342" s="107">
        <f t="shared" si="148"/>
        <v>200000000</v>
      </c>
      <c r="AD342" s="107">
        <f t="shared" si="148"/>
        <v>0</v>
      </c>
      <c r="AE342" s="107">
        <f t="shared" si="148"/>
        <v>0</v>
      </c>
      <c r="AF342" s="107">
        <f t="shared" si="148"/>
        <v>200000000</v>
      </c>
    </row>
    <row r="343" spans="1:38" s="138" customFormat="1" ht="75" customHeight="1" x14ac:dyDescent="0.2">
      <c r="A343" s="370"/>
      <c r="B343" s="445"/>
      <c r="C343" s="447"/>
      <c r="D343" s="271"/>
      <c r="E343" s="279">
        <v>2301</v>
      </c>
      <c r="F343" s="336" t="s">
        <v>1178</v>
      </c>
      <c r="G343" s="279" t="s">
        <v>1179</v>
      </c>
      <c r="H343" s="320">
        <v>2301024</v>
      </c>
      <c r="I343" s="320" t="s">
        <v>1180</v>
      </c>
      <c r="J343" s="279" t="s">
        <v>1181</v>
      </c>
      <c r="K343" s="223">
        <v>230102404</v>
      </c>
      <c r="L343" s="280" t="s">
        <v>1182</v>
      </c>
      <c r="M343" s="279" t="s">
        <v>143</v>
      </c>
      <c r="N343" s="279">
        <v>12</v>
      </c>
      <c r="O343" s="279">
        <v>1</v>
      </c>
      <c r="P343" s="448" t="s">
        <v>189</v>
      </c>
      <c r="Q343" s="441" t="s">
        <v>1183</v>
      </c>
      <c r="R343" s="442" t="s">
        <v>1184</v>
      </c>
      <c r="S343" s="3"/>
      <c r="T343" s="3"/>
      <c r="U343" s="3"/>
      <c r="V343" s="137"/>
      <c r="W343" s="137"/>
      <c r="X343" s="137"/>
      <c r="Y343" s="137"/>
      <c r="Z343" s="137"/>
      <c r="AA343" s="137"/>
      <c r="AB343" s="137"/>
      <c r="AC343" s="284">
        <f>152024000+17384534</f>
        <v>169408534</v>
      </c>
      <c r="AD343" s="137"/>
      <c r="AE343" s="137"/>
      <c r="AF343" s="137">
        <f>+S343+T343+U343+V343+W343+X343+Y343+Z343+AA343+AB343+AC343+AD343+AE343</f>
        <v>169408534</v>
      </c>
    </row>
    <row r="344" spans="1:38" ht="97.5" customHeight="1" x14ac:dyDescent="0.2">
      <c r="A344" s="352"/>
      <c r="B344" s="445"/>
      <c r="C344" s="447"/>
      <c r="D344" s="290"/>
      <c r="E344" s="272">
        <v>2301</v>
      </c>
      <c r="F344" s="335" t="s">
        <v>1185</v>
      </c>
      <c r="G344" s="272" t="s">
        <v>1458</v>
      </c>
      <c r="H344" s="272">
        <v>2301030</v>
      </c>
      <c r="I344" s="273" t="s">
        <v>1186</v>
      </c>
      <c r="J344" s="272" t="s">
        <v>1187</v>
      </c>
      <c r="K344" s="218">
        <v>230103000</v>
      </c>
      <c r="L344" s="273" t="s">
        <v>1188</v>
      </c>
      <c r="M344" s="272" t="s">
        <v>143</v>
      </c>
      <c r="N344" s="272">
        <v>17000</v>
      </c>
      <c r="O344" s="272">
        <v>500</v>
      </c>
      <c r="P344" s="448"/>
      <c r="Q344" s="441"/>
      <c r="R344" s="442"/>
      <c r="S344" s="3"/>
      <c r="T344" s="3"/>
      <c r="U344" s="3"/>
      <c r="V344" s="109"/>
      <c r="W344" s="109"/>
      <c r="X344" s="109"/>
      <c r="Y344" s="109"/>
      <c r="Z344" s="109"/>
      <c r="AA344" s="109"/>
      <c r="AB344" s="109"/>
      <c r="AC344" s="109">
        <f>47976000-17384534</f>
        <v>30591466</v>
      </c>
      <c r="AD344" s="109"/>
      <c r="AE344" s="109"/>
      <c r="AF344" s="109">
        <f>+S344+T344+U344+V344+W344+X344+Y344+Z344+AA344+AB344+AC344+AD344+AE344</f>
        <v>30591466</v>
      </c>
    </row>
    <row r="345" spans="1:38" s="94" customFormat="1" ht="23.25" customHeight="1" x14ac:dyDescent="0.25">
      <c r="A345" s="377"/>
      <c r="B345" s="355"/>
      <c r="C345" s="275">
        <v>17</v>
      </c>
      <c r="D345" s="106">
        <v>2302</v>
      </c>
      <c r="E345" s="275" t="s">
        <v>1411</v>
      </c>
      <c r="F345" s="102"/>
      <c r="G345" s="103"/>
      <c r="H345" s="104"/>
      <c r="I345" s="102"/>
      <c r="J345" s="103"/>
      <c r="K345" s="103"/>
      <c r="L345" s="102"/>
      <c r="M345" s="105"/>
      <c r="N345" s="105"/>
      <c r="O345" s="103"/>
      <c r="P345" s="338"/>
      <c r="Q345" s="103"/>
      <c r="R345" s="102"/>
      <c r="S345" s="107">
        <f>+S346</f>
        <v>0</v>
      </c>
      <c r="T345" s="107">
        <f t="shared" ref="T345:AE345" si="149">+T346</f>
        <v>0</v>
      </c>
      <c r="U345" s="107">
        <f t="shared" si="149"/>
        <v>0</v>
      </c>
      <c r="V345" s="107">
        <f t="shared" si="149"/>
        <v>0</v>
      </c>
      <c r="W345" s="107">
        <f t="shared" si="149"/>
        <v>0</v>
      </c>
      <c r="X345" s="107">
        <f t="shared" si="149"/>
        <v>0</v>
      </c>
      <c r="Y345" s="107">
        <f t="shared" si="149"/>
        <v>0</v>
      </c>
      <c r="Z345" s="107">
        <f t="shared" si="149"/>
        <v>0</v>
      </c>
      <c r="AA345" s="107">
        <f t="shared" si="149"/>
        <v>0</v>
      </c>
      <c r="AB345" s="107">
        <f t="shared" si="149"/>
        <v>0</v>
      </c>
      <c r="AC345" s="107">
        <f t="shared" si="149"/>
        <v>7164000</v>
      </c>
      <c r="AD345" s="107">
        <f t="shared" si="149"/>
        <v>0</v>
      </c>
      <c r="AE345" s="107">
        <f t="shared" si="149"/>
        <v>0</v>
      </c>
      <c r="AF345" s="107">
        <f>+AF346</f>
        <v>7164000</v>
      </c>
    </row>
    <row r="346" spans="1:38" s="138" customFormat="1" ht="84" customHeight="1" x14ac:dyDescent="0.2">
      <c r="A346" s="370"/>
      <c r="B346" s="387"/>
      <c r="C346" s="298"/>
      <c r="D346" s="271"/>
      <c r="E346" s="279">
        <v>2302</v>
      </c>
      <c r="F346" s="280" t="s">
        <v>1178</v>
      </c>
      <c r="G346" s="279" t="s">
        <v>1190</v>
      </c>
      <c r="H346" s="279">
        <v>2302042</v>
      </c>
      <c r="I346" s="280" t="s">
        <v>1191</v>
      </c>
      <c r="J346" s="279" t="s">
        <v>1192</v>
      </c>
      <c r="K346" s="223">
        <v>230204200</v>
      </c>
      <c r="L346" s="280" t="s">
        <v>1193</v>
      </c>
      <c r="M346" s="279" t="s">
        <v>143</v>
      </c>
      <c r="N346" s="279">
        <v>3</v>
      </c>
      <c r="O346" s="279">
        <v>1</v>
      </c>
      <c r="P346" s="177" t="s">
        <v>189</v>
      </c>
      <c r="Q346" s="279" t="s">
        <v>1194</v>
      </c>
      <c r="R346" s="280" t="s">
        <v>1195</v>
      </c>
      <c r="S346" s="3"/>
      <c r="T346" s="3"/>
      <c r="U346" s="3"/>
      <c r="V346" s="137"/>
      <c r="W346" s="137"/>
      <c r="X346" s="137"/>
      <c r="Y346" s="137"/>
      <c r="Z346" s="137"/>
      <c r="AA346" s="137"/>
      <c r="AB346" s="137"/>
      <c r="AC346" s="137">
        <v>7164000</v>
      </c>
      <c r="AD346" s="137"/>
      <c r="AE346" s="137"/>
      <c r="AF346" s="137">
        <f>+S346+T346+U346+V346+W346+X346+Y346+Z346+AA346+AB346+AC346+AD346+AE346</f>
        <v>7164000</v>
      </c>
    </row>
    <row r="347" spans="1:38" s="94" customFormat="1" ht="15.75" x14ac:dyDescent="0.25">
      <c r="A347" s="377"/>
      <c r="B347" s="193">
        <v>2</v>
      </c>
      <c r="C347" s="95" t="s">
        <v>1196</v>
      </c>
      <c r="D347" s="96"/>
      <c r="E347" s="96"/>
      <c r="F347" s="97"/>
      <c r="G347" s="98"/>
      <c r="H347" s="99"/>
      <c r="I347" s="97"/>
      <c r="J347" s="98"/>
      <c r="K347" s="98"/>
      <c r="L347" s="97"/>
      <c r="M347" s="100"/>
      <c r="N347" s="100"/>
      <c r="O347" s="98"/>
      <c r="P347" s="340"/>
      <c r="Q347" s="98"/>
      <c r="R347" s="97"/>
      <c r="S347" s="319">
        <f t="shared" ref="S347:AF347" si="150">+S348+S350</f>
        <v>0</v>
      </c>
      <c r="T347" s="319">
        <f t="shared" si="150"/>
        <v>0</v>
      </c>
      <c r="U347" s="319">
        <f t="shared" si="150"/>
        <v>0</v>
      </c>
      <c r="V347" s="319">
        <f t="shared" si="150"/>
        <v>0</v>
      </c>
      <c r="W347" s="319">
        <f t="shared" si="150"/>
        <v>0</v>
      </c>
      <c r="X347" s="319">
        <f t="shared" si="150"/>
        <v>0</v>
      </c>
      <c r="Y347" s="319">
        <f t="shared" si="150"/>
        <v>0</v>
      </c>
      <c r="Z347" s="319">
        <f t="shared" si="150"/>
        <v>0</v>
      </c>
      <c r="AA347" s="319">
        <f t="shared" si="150"/>
        <v>0</v>
      </c>
      <c r="AB347" s="319">
        <f t="shared" si="150"/>
        <v>0</v>
      </c>
      <c r="AC347" s="319">
        <f t="shared" si="150"/>
        <v>72000000</v>
      </c>
      <c r="AD347" s="319">
        <f t="shared" si="150"/>
        <v>0</v>
      </c>
      <c r="AE347" s="319">
        <f t="shared" si="150"/>
        <v>0</v>
      </c>
      <c r="AF347" s="319">
        <f t="shared" si="150"/>
        <v>72000000</v>
      </c>
    </row>
    <row r="348" spans="1:38" s="94" customFormat="1" ht="15.75" x14ac:dyDescent="0.25">
      <c r="A348" s="377"/>
      <c r="B348" s="354"/>
      <c r="C348" s="275">
        <v>31</v>
      </c>
      <c r="D348" s="106" t="s">
        <v>1197</v>
      </c>
      <c r="E348" s="275" t="s">
        <v>1198</v>
      </c>
      <c r="F348" s="102"/>
      <c r="G348" s="103"/>
      <c r="H348" s="104"/>
      <c r="I348" s="102"/>
      <c r="J348" s="103"/>
      <c r="K348" s="103"/>
      <c r="L348" s="102"/>
      <c r="M348" s="105"/>
      <c r="N348" s="105"/>
      <c r="O348" s="103"/>
      <c r="P348" s="338"/>
      <c r="Q348" s="103"/>
      <c r="R348" s="102"/>
      <c r="S348" s="107">
        <f>+S349</f>
        <v>0</v>
      </c>
      <c r="T348" s="107">
        <f t="shared" ref="T348:AB348" si="151">+T349</f>
        <v>0</v>
      </c>
      <c r="U348" s="107">
        <f t="shared" si="151"/>
        <v>0</v>
      </c>
      <c r="V348" s="107">
        <f t="shared" si="151"/>
        <v>0</v>
      </c>
      <c r="W348" s="107">
        <f t="shared" si="151"/>
        <v>0</v>
      </c>
      <c r="X348" s="107">
        <f t="shared" si="151"/>
        <v>0</v>
      </c>
      <c r="Y348" s="107">
        <f t="shared" si="151"/>
        <v>0</v>
      </c>
      <c r="Z348" s="107">
        <f t="shared" si="151"/>
        <v>0</v>
      </c>
      <c r="AA348" s="107">
        <f t="shared" si="151"/>
        <v>0</v>
      </c>
      <c r="AB348" s="107">
        <f t="shared" si="151"/>
        <v>0</v>
      </c>
      <c r="AC348" s="107">
        <f>SUM(AC349:AC349)</f>
        <v>54000000</v>
      </c>
      <c r="AD348" s="107">
        <f>SUM(AD349:AD349)</f>
        <v>0</v>
      </c>
      <c r="AE348" s="107">
        <f>SUM(AE349:AE349)</f>
        <v>0</v>
      </c>
      <c r="AF348" s="107">
        <f>SUM(AF349:AF349)</f>
        <v>54000000</v>
      </c>
    </row>
    <row r="349" spans="1:38" ht="60" customHeight="1" x14ac:dyDescent="0.2">
      <c r="A349" s="352"/>
      <c r="B349" s="355"/>
      <c r="C349" s="289"/>
      <c r="D349" s="290"/>
      <c r="E349" s="272">
        <v>3903</v>
      </c>
      <c r="F349" s="274" t="s">
        <v>1199</v>
      </c>
      <c r="G349" s="281" t="s">
        <v>1200</v>
      </c>
      <c r="H349" s="272">
        <v>3903005</v>
      </c>
      <c r="I349" s="273" t="s">
        <v>1201</v>
      </c>
      <c r="J349" s="218" t="s">
        <v>1202</v>
      </c>
      <c r="K349" s="221" t="s">
        <v>1355</v>
      </c>
      <c r="L349" s="224" t="s">
        <v>1203</v>
      </c>
      <c r="M349" s="272" t="s">
        <v>53</v>
      </c>
      <c r="N349" s="272">
        <v>1</v>
      </c>
      <c r="O349" s="272">
        <v>1</v>
      </c>
      <c r="P349" s="337" t="s">
        <v>189</v>
      </c>
      <c r="Q349" s="272" t="s">
        <v>1204</v>
      </c>
      <c r="R349" s="273" t="s">
        <v>1412</v>
      </c>
      <c r="S349" s="3"/>
      <c r="T349" s="3"/>
      <c r="U349" s="3"/>
      <c r="V349" s="109"/>
      <c r="W349" s="109"/>
      <c r="X349" s="109"/>
      <c r="Y349" s="109"/>
      <c r="Z349" s="109"/>
      <c r="AA349" s="109"/>
      <c r="AB349" s="109"/>
      <c r="AC349" s="109">
        <f>21000000+25000000+8000000</f>
        <v>54000000</v>
      </c>
      <c r="AD349" s="109"/>
      <c r="AE349" s="109"/>
      <c r="AF349" s="109">
        <f>+S349+T349+U349+V349+W349+X349+Y349+Z349+AA349+AB349+AC349+AD349+AE349</f>
        <v>54000000</v>
      </c>
    </row>
    <row r="350" spans="1:38" s="94" customFormat="1" ht="15.75" x14ac:dyDescent="0.25">
      <c r="A350" s="377"/>
      <c r="B350" s="355"/>
      <c r="C350" s="275">
        <v>32</v>
      </c>
      <c r="D350" s="106">
        <v>3904</v>
      </c>
      <c r="E350" s="275" t="s">
        <v>1206</v>
      </c>
      <c r="F350" s="102"/>
      <c r="G350" s="103"/>
      <c r="H350" s="104"/>
      <c r="I350" s="102"/>
      <c r="J350" s="103"/>
      <c r="K350" s="103"/>
      <c r="L350" s="102"/>
      <c r="M350" s="105"/>
      <c r="N350" s="105"/>
      <c r="O350" s="103"/>
      <c r="P350" s="338"/>
      <c r="Q350" s="103"/>
      <c r="R350" s="102"/>
      <c r="S350" s="107">
        <f>+S351</f>
        <v>0</v>
      </c>
      <c r="T350" s="107">
        <f t="shared" ref="T350:AE350" si="152">+T351</f>
        <v>0</v>
      </c>
      <c r="U350" s="107">
        <f t="shared" si="152"/>
        <v>0</v>
      </c>
      <c r="V350" s="107">
        <f t="shared" si="152"/>
        <v>0</v>
      </c>
      <c r="W350" s="107">
        <f t="shared" si="152"/>
        <v>0</v>
      </c>
      <c r="X350" s="107">
        <f t="shared" si="152"/>
        <v>0</v>
      </c>
      <c r="Y350" s="107">
        <f t="shared" si="152"/>
        <v>0</v>
      </c>
      <c r="Z350" s="107">
        <f t="shared" si="152"/>
        <v>0</v>
      </c>
      <c r="AA350" s="107">
        <f t="shared" si="152"/>
        <v>0</v>
      </c>
      <c r="AB350" s="107">
        <f t="shared" si="152"/>
        <v>0</v>
      </c>
      <c r="AC350" s="107">
        <f t="shared" si="152"/>
        <v>18000000</v>
      </c>
      <c r="AD350" s="107">
        <f t="shared" si="152"/>
        <v>0</v>
      </c>
      <c r="AE350" s="107">
        <f t="shared" si="152"/>
        <v>0</v>
      </c>
      <c r="AF350" s="107">
        <f>+AF351</f>
        <v>18000000</v>
      </c>
    </row>
    <row r="351" spans="1:38" s="138" customFormat="1" ht="94.5" customHeight="1" x14ac:dyDescent="0.2">
      <c r="A351" s="370"/>
      <c r="B351" s="387"/>
      <c r="C351" s="298"/>
      <c r="D351" s="271"/>
      <c r="E351" s="279">
        <v>3904</v>
      </c>
      <c r="F351" s="177" t="s">
        <v>1413</v>
      </c>
      <c r="G351" s="86" t="s">
        <v>1207</v>
      </c>
      <c r="H351" s="86">
        <v>3904018</v>
      </c>
      <c r="I351" s="177" t="s">
        <v>1208</v>
      </c>
      <c r="J351" s="86" t="s">
        <v>1209</v>
      </c>
      <c r="K351" s="221">
        <v>390401809</v>
      </c>
      <c r="L351" s="177" t="s">
        <v>1210</v>
      </c>
      <c r="M351" s="279" t="s">
        <v>143</v>
      </c>
      <c r="N351" s="279">
        <v>20</v>
      </c>
      <c r="O351" s="279">
        <v>1</v>
      </c>
      <c r="P351" s="177" t="s">
        <v>189</v>
      </c>
      <c r="Q351" s="279" t="s">
        <v>1211</v>
      </c>
      <c r="R351" s="280" t="s">
        <v>1414</v>
      </c>
      <c r="S351" s="3"/>
      <c r="T351" s="3"/>
      <c r="U351" s="3"/>
      <c r="V351" s="137"/>
      <c r="W351" s="137"/>
      <c r="X351" s="137"/>
      <c r="Y351" s="137"/>
      <c r="Z351" s="137"/>
      <c r="AA351" s="137"/>
      <c r="AB351" s="137"/>
      <c r="AC351" s="137">
        <v>18000000</v>
      </c>
      <c r="AD351" s="137"/>
      <c r="AE351" s="137"/>
      <c r="AF351" s="137">
        <f>+S351+T351+U351+V351+W351+X351+Y351+Z351+AA351+AB351+AC351+AD351+AE351</f>
        <v>18000000</v>
      </c>
    </row>
    <row r="352" spans="1:38" s="94" customFormat="1" ht="21" customHeight="1" x14ac:dyDescent="0.25">
      <c r="A352" s="377"/>
      <c r="B352" s="193">
        <v>4</v>
      </c>
      <c r="C352" s="95" t="s">
        <v>72</v>
      </c>
      <c r="D352" s="96"/>
      <c r="E352" s="96"/>
      <c r="F352" s="97"/>
      <c r="G352" s="98"/>
      <c r="H352" s="99"/>
      <c r="I352" s="97"/>
      <c r="J352" s="98"/>
      <c r="K352" s="98"/>
      <c r="L352" s="97"/>
      <c r="M352" s="100"/>
      <c r="N352" s="100"/>
      <c r="O352" s="98"/>
      <c r="P352" s="340"/>
      <c r="Q352" s="98"/>
      <c r="R352" s="97"/>
      <c r="S352" s="101">
        <f>+S353</f>
        <v>0</v>
      </c>
      <c r="T352" s="101">
        <f t="shared" ref="T352:AE352" si="153">+T353</f>
        <v>0</v>
      </c>
      <c r="U352" s="101">
        <f t="shared" si="153"/>
        <v>0</v>
      </c>
      <c r="V352" s="101">
        <f t="shared" si="153"/>
        <v>0</v>
      </c>
      <c r="W352" s="101">
        <f t="shared" si="153"/>
        <v>0</v>
      </c>
      <c r="X352" s="101">
        <f t="shared" si="153"/>
        <v>0</v>
      </c>
      <c r="Y352" s="101">
        <f t="shared" si="153"/>
        <v>0</v>
      </c>
      <c r="Z352" s="101">
        <f t="shared" si="153"/>
        <v>0</v>
      </c>
      <c r="AA352" s="101">
        <f t="shared" si="153"/>
        <v>0</v>
      </c>
      <c r="AB352" s="101">
        <f t="shared" si="153"/>
        <v>0</v>
      </c>
      <c r="AC352" s="101">
        <f t="shared" si="153"/>
        <v>353721000</v>
      </c>
      <c r="AD352" s="101">
        <f t="shared" si="153"/>
        <v>0</v>
      </c>
      <c r="AE352" s="101">
        <f t="shared" si="153"/>
        <v>0</v>
      </c>
      <c r="AF352" s="101">
        <f>+AF353</f>
        <v>353721000</v>
      </c>
    </row>
    <row r="353" spans="1:38" s="94" customFormat="1" ht="21.75" customHeight="1" x14ac:dyDescent="0.25">
      <c r="A353" s="377"/>
      <c r="B353" s="354"/>
      <c r="C353" s="275">
        <v>17</v>
      </c>
      <c r="D353" s="106">
        <v>2302</v>
      </c>
      <c r="E353" s="275" t="s">
        <v>1411</v>
      </c>
      <c r="F353" s="102"/>
      <c r="G353" s="103"/>
      <c r="H353" s="104"/>
      <c r="I353" s="102"/>
      <c r="J353" s="103"/>
      <c r="K353" s="103"/>
      <c r="L353" s="102"/>
      <c r="M353" s="105"/>
      <c r="N353" s="105"/>
      <c r="O353" s="103"/>
      <c r="P353" s="338"/>
      <c r="Q353" s="103"/>
      <c r="R353" s="102"/>
      <c r="S353" s="107">
        <f t="shared" ref="S353:AF353" si="154">SUM(S354:S355)</f>
        <v>0</v>
      </c>
      <c r="T353" s="107">
        <f t="shared" si="154"/>
        <v>0</v>
      </c>
      <c r="U353" s="107">
        <f t="shared" si="154"/>
        <v>0</v>
      </c>
      <c r="V353" s="107">
        <f t="shared" si="154"/>
        <v>0</v>
      </c>
      <c r="W353" s="107">
        <f t="shared" si="154"/>
        <v>0</v>
      </c>
      <c r="X353" s="107">
        <f t="shared" si="154"/>
        <v>0</v>
      </c>
      <c r="Y353" s="107">
        <f t="shared" si="154"/>
        <v>0</v>
      </c>
      <c r="Z353" s="107">
        <f t="shared" si="154"/>
        <v>0</v>
      </c>
      <c r="AA353" s="107">
        <f t="shared" si="154"/>
        <v>0</v>
      </c>
      <c r="AB353" s="107">
        <f t="shared" si="154"/>
        <v>0</v>
      </c>
      <c r="AC353" s="107">
        <f t="shared" si="154"/>
        <v>353721000</v>
      </c>
      <c r="AD353" s="107">
        <f t="shared" si="154"/>
        <v>0</v>
      </c>
      <c r="AE353" s="107">
        <f t="shared" si="154"/>
        <v>0</v>
      </c>
      <c r="AF353" s="107">
        <f t="shared" si="154"/>
        <v>353721000</v>
      </c>
    </row>
    <row r="354" spans="1:38" s="138" customFormat="1" ht="91.5" customHeight="1" x14ac:dyDescent="0.2">
      <c r="A354" s="370"/>
      <c r="B354" s="452"/>
      <c r="C354" s="454"/>
      <c r="D354" s="271"/>
      <c r="E354" s="279">
        <v>2302</v>
      </c>
      <c r="F354" s="280" t="s">
        <v>1213</v>
      </c>
      <c r="G354" s="279" t="s">
        <v>1214</v>
      </c>
      <c r="H354" s="279">
        <v>2302033</v>
      </c>
      <c r="I354" s="280" t="s">
        <v>1215</v>
      </c>
      <c r="J354" s="279" t="s">
        <v>1216</v>
      </c>
      <c r="K354" s="221">
        <v>230203300</v>
      </c>
      <c r="L354" s="280" t="s">
        <v>1217</v>
      </c>
      <c r="M354" s="279" t="s">
        <v>53</v>
      </c>
      <c r="N354" s="279">
        <v>100</v>
      </c>
      <c r="O354" s="279">
        <v>100</v>
      </c>
      <c r="P354" s="455" t="s">
        <v>54</v>
      </c>
      <c r="Q354" s="456" t="s">
        <v>1218</v>
      </c>
      <c r="R354" s="455" t="s">
        <v>1219</v>
      </c>
      <c r="S354" s="3"/>
      <c r="T354" s="3"/>
      <c r="U354" s="3"/>
      <c r="V354" s="137"/>
      <c r="W354" s="137"/>
      <c r="X354" s="137"/>
      <c r="Y354" s="137"/>
      <c r="Z354" s="137"/>
      <c r="AA354" s="137"/>
      <c r="AB354" s="137"/>
      <c r="AC354" s="137">
        <v>263401000</v>
      </c>
      <c r="AD354" s="137"/>
      <c r="AE354" s="137"/>
      <c r="AF354" s="137">
        <f>+S354+T354+U354+V354+W354+X354+Y354+Z354+AA354+AB354+AC354+AD354+AE354</f>
        <v>263401000</v>
      </c>
    </row>
    <row r="355" spans="1:38" s="138" customFormat="1" ht="72" customHeight="1" x14ac:dyDescent="0.2">
      <c r="A355" s="386"/>
      <c r="B355" s="453"/>
      <c r="C355" s="454"/>
      <c r="D355" s="271"/>
      <c r="E355" s="279">
        <v>2302</v>
      </c>
      <c r="F355" s="280" t="s">
        <v>1213</v>
      </c>
      <c r="G355" s="279" t="s">
        <v>1220</v>
      </c>
      <c r="H355" s="279">
        <v>2302066</v>
      </c>
      <c r="I355" s="280" t="s">
        <v>1221</v>
      </c>
      <c r="J355" s="279" t="s">
        <v>1222</v>
      </c>
      <c r="K355" s="221">
        <v>230206600</v>
      </c>
      <c r="L355" s="280" t="s">
        <v>1223</v>
      </c>
      <c r="M355" s="279" t="s">
        <v>143</v>
      </c>
      <c r="N355" s="279">
        <v>200</v>
      </c>
      <c r="O355" s="279">
        <v>30</v>
      </c>
      <c r="P355" s="455"/>
      <c r="Q355" s="456"/>
      <c r="R355" s="455"/>
      <c r="S355" s="3"/>
      <c r="T355" s="3"/>
      <c r="U355" s="3"/>
      <c r="V355" s="137"/>
      <c r="W355" s="137"/>
      <c r="X355" s="137"/>
      <c r="Y355" s="137"/>
      <c r="Z355" s="137"/>
      <c r="AA355" s="137"/>
      <c r="AB355" s="137"/>
      <c r="AC355" s="137">
        <f>14320000+76000000</f>
        <v>90320000</v>
      </c>
      <c r="AD355" s="137"/>
      <c r="AE355" s="137"/>
      <c r="AF355" s="137">
        <f>+S355+T355+U355+V355+W355+X355+Y355+Z355+AA355+AB355+AC355+AD355+AE355</f>
        <v>90320000</v>
      </c>
    </row>
    <row r="356" spans="1:38" s="183" customFormat="1" ht="38.25" customHeight="1" x14ac:dyDescent="0.25">
      <c r="A356" s="321" t="s">
        <v>1224</v>
      </c>
      <c r="B356" s="322"/>
      <c r="C356" s="322"/>
      <c r="D356" s="322"/>
      <c r="E356" s="322"/>
      <c r="F356" s="322"/>
      <c r="G356" s="322"/>
      <c r="H356" s="322"/>
      <c r="I356" s="322"/>
      <c r="J356" s="180"/>
      <c r="K356" s="180"/>
      <c r="L356" s="181"/>
      <c r="M356" s="180"/>
      <c r="N356" s="180"/>
      <c r="O356" s="180"/>
      <c r="P356" s="181"/>
      <c r="Q356" s="180"/>
      <c r="R356" s="181"/>
      <c r="S356" s="182">
        <f t="shared" ref="S356:AF356" si="155">+S340+S274+S230+S202+S194+S146+S129+S116+S78+S38+S32+S15+S7</f>
        <v>8373731127.0799999</v>
      </c>
      <c r="T356" s="182">
        <f t="shared" si="155"/>
        <v>2192073558.0099998</v>
      </c>
      <c r="U356" s="182">
        <f t="shared" si="155"/>
        <v>184304077.94</v>
      </c>
      <c r="V356" s="182">
        <f t="shared" si="155"/>
        <v>2849173512.6999998</v>
      </c>
      <c r="W356" s="182">
        <f t="shared" si="155"/>
        <v>6648246009.5</v>
      </c>
      <c r="X356" s="182">
        <f t="shared" si="155"/>
        <v>27454768746.280003</v>
      </c>
      <c r="Y356" s="182">
        <f t="shared" si="155"/>
        <v>134989913515.46001</v>
      </c>
      <c r="Z356" s="182">
        <f t="shared" si="155"/>
        <v>23500000000</v>
      </c>
      <c r="AA356" s="182">
        <f t="shared" si="155"/>
        <v>13759826753.450001</v>
      </c>
      <c r="AB356" s="182">
        <f t="shared" si="155"/>
        <v>2686652877.1199999</v>
      </c>
      <c r="AC356" s="182">
        <f t="shared" si="155"/>
        <v>21505338599.350002</v>
      </c>
      <c r="AD356" s="182">
        <f t="shared" si="155"/>
        <v>920376136.11000001</v>
      </c>
      <c r="AE356" s="182">
        <f t="shared" si="155"/>
        <v>2397768825.3000002</v>
      </c>
      <c r="AF356" s="182">
        <f t="shared" si="155"/>
        <v>247462173738.30002</v>
      </c>
      <c r="AG356" s="401"/>
      <c r="AH356" s="401"/>
      <c r="AI356" s="401"/>
      <c r="AJ356" s="401"/>
      <c r="AK356" s="401"/>
      <c r="AL356" s="401"/>
    </row>
    <row r="357" spans="1:38" s="176" customFormat="1" ht="15.75" x14ac:dyDescent="0.2">
      <c r="A357" s="357"/>
      <c r="B357" s="358"/>
      <c r="C357" s="358"/>
      <c r="D357" s="359"/>
      <c r="E357" s="360"/>
      <c r="F357" s="360"/>
      <c r="G357" s="361"/>
      <c r="H357" s="361"/>
      <c r="I357" s="362"/>
      <c r="J357" s="363"/>
      <c r="K357" s="363"/>
      <c r="L357" s="362"/>
      <c r="M357" s="361"/>
      <c r="N357" s="361"/>
      <c r="O357" s="363"/>
      <c r="P357" s="361"/>
      <c r="Q357" s="361"/>
      <c r="R357" s="362"/>
      <c r="S357" s="364"/>
      <c r="T357" s="364"/>
      <c r="U357" s="364"/>
      <c r="V357" s="364"/>
      <c r="W357" s="364"/>
      <c r="X357" s="364"/>
      <c r="Y357" s="364"/>
      <c r="Z357" s="364"/>
      <c r="AA357" s="364"/>
      <c r="AB357" s="364"/>
      <c r="AC357" s="365"/>
      <c r="AD357" s="364"/>
      <c r="AE357" s="364"/>
      <c r="AF357" s="434"/>
    </row>
    <row r="358" spans="1:38" ht="29.25" customHeight="1" x14ac:dyDescent="0.2">
      <c r="A358" s="145" t="s">
        <v>1225</v>
      </c>
      <c r="B358" s="145"/>
      <c r="C358" s="145"/>
      <c r="D358" s="146"/>
      <c r="E358" s="146"/>
      <c r="F358" s="147"/>
      <c r="G358" s="148"/>
      <c r="H358" s="92"/>
      <c r="I358" s="147"/>
      <c r="J358" s="148"/>
      <c r="K358" s="148"/>
      <c r="L358" s="147"/>
      <c r="M358" s="92"/>
      <c r="N358" s="92"/>
      <c r="O358" s="148"/>
      <c r="P358" s="339"/>
      <c r="Q358" s="148"/>
      <c r="R358" s="147"/>
      <c r="S358" s="124">
        <f t="shared" ref="S358:AE358" si="156">+S359</f>
        <v>0</v>
      </c>
      <c r="T358" s="124">
        <f t="shared" si="156"/>
        <v>0</v>
      </c>
      <c r="U358" s="124">
        <f t="shared" si="156"/>
        <v>0</v>
      </c>
      <c r="V358" s="124">
        <f t="shared" si="156"/>
        <v>0</v>
      </c>
      <c r="W358" s="124">
        <f t="shared" si="156"/>
        <v>0</v>
      </c>
      <c r="X358" s="124">
        <f t="shared" si="156"/>
        <v>0</v>
      </c>
      <c r="Y358" s="124">
        <f t="shared" si="156"/>
        <v>0</v>
      </c>
      <c r="Z358" s="124">
        <f t="shared" si="156"/>
        <v>0</v>
      </c>
      <c r="AA358" s="124">
        <f t="shared" si="156"/>
        <v>0</v>
      </c>
      <c r="AB358" s="124">
        <f t="shared" si="156"/>
        <v>0</v>
      </c>
      <c r="AC358" s="124">
        <f t="shared" si="156"/>
        <v>759313093.42000008</v>
      </c>
      <c r="AD358" s="124">
        <f t="shared" si="156"/>
        <v>3582176217.3600001</v>
      </c>
      <c r="AE358" s="124">
        <f t="shared" si="156"/>
        <v>0</v>
      </c>
      <c r="AF358" s="124">
        <f>AF359</f>
        <v>4341489310.7799997</v>
      </c>
      <c r="AG358" s="401"/>
      <c r="AH358" s="401"/>
      <c r="AI358" s="401"/>
      <c r="AJ358" s="401"/>
      <c r="AK358" s="401"/>
      <c r="AL358" s="401"/>
    </row>
    <row r="359" spans="1:38" ht="22.5" customHeight="1" x14ac:dyDescent="0.2">
      <c r="A359" s="366"/>
      <c r="B359" s="193">
        <v>1</v>
      </c>
      <c r="C359" s="95" t="s">
        <v>1</v>
      </c>
      <c r="D359" s="96"/>
      <c r="E359" s="96"/>
      <c r="F359" s="97"/>
      <c r="G359" s="98"/>
      <c r="H359" s="99"/>
      <c r="I359" s="97"/>
      <c r="J359" s="98"/>
      <c r="K359" s="98"/>
      <c r="L359" s="97"/>
      <c r="M359" s="100"/>
      <c r="N359" s="100"/>
      <c r="O359" s="98"/>
      <c r="P359" s="340"/>
      <c r="Q359" s="98"/>
      <c r="R359" s="97"/>
      <c r="S359" s="101">
        <f>S360+S373</f>
        <v>0</v>
      </c>
      <c r="T359" s="101">
        <f t="shared" ref="T359:AF359" si="157">T360+T373</f>
        <v>0</v>
      </c>
      <c r="U359" s="101">
        <f t="shared" si="157"/>
        <v>0</v>
      </c>
      <c r="V359" s="101">
        <f t="shared" si="157"/>
        <v>0</v>
      </c>
      <c r="W359" s="101">
        <f t="shared" si="157"/>
        <v>0</v>
      </c>
      <c r="X359" s="101">
        <f t="shared" si="157"/>
        <v>0</v>
      </c>
      <c r="Y359" s="101">
        <f t="shared" si="157"/>
        <v>0</v>
      </c>
      <c r="Z359" s="101">
        <f t="shared" si="157"/>
        <v>0</v>
      </c>
      <c r="AA359" s="101">
        <f t="shared" si="157"/>
        <v>0</v>
      </c>
      <c r="AB359" s="101">
        <f t="shared" si="157"/>
        <v>0</v>
      </c>
      <c r="AC359" s="101">
        <f t="shared" si="157"/>
        <v>759313093.42000008</v>
      </c>
      <c r="AD359" s="101">
        <f t="shared" si="157"/>
        <v>3582176217.3600001</v>
      </c>
      <c r="AE359" s="101">
        <f t="shared" si="157"/>
        <v>0</v>
      </c>
      <c r="AF359" s="101">
        <f t="shared" si="157"/>
        <v>4341489310.7799997</v>
      </c>
    </row>
    <row r="360" spans="1:38" ht="20.25" customHeight="1" x14ac:dyDescent="0.2">
      <c r="A360" s="352"/>
      <c r="B360" s="354"/>
      <c r="C360" s="131">
        <v>39</v>
      </c>
      <c r="D360" s="131">
        <v>4301</v>
      </c>
      <c r="E360" s="275" t="s">
        <v>173</v>
      </c>
      <c r="F360" s="155"/>
      <c r="G360" s="154"/>
      <c r="H360" s="154"/>
      <c r="I360" s="155"/>
      <c r="J360" s="154"/>
      <c r="K360" s="154"/>
      <c r="L360" s="155"/>
      <c r="M360" s="104"/>
      <c r="N360" s="104"/>
      <c r="O360" s="154"/>
      <c r="P360" s="317"/>
      <c r="Q360" s="154"/>
      <c r="R360" s="155"/>
      <c r="S360" s="23">
        <f>SUM(S361:S368)</f>
        <v>0</v>
      </c>
      <c r="T360" s="23">
        <f t="shared" ref="T360:AB360" si="158">SUM(T361:T368)</f>
        <v>0</v>
      </c>
      <c r="U360" s="23">
        <f t="shared" si="158"/>
        <v>0</v>
      </c>
      <c r="V360" s="23">
        <f t="shared" si="158"/>
        <v>0</v>
      </c>
      <c r="W360" s="23">
        <f t="shared" si="158"/>
        <v>0</v>
      </c>
      <c r="X360" s="23">
        <f t="shared" si="158"/>
        <v>0</v>
      </c>
      <c r="Y360" s="23">
        <f t="shared" si="158"/>
        <v>0</v>
      </c>
      <c r="Z360" s="23">
        <f t="shared" si="158"/>
        <v>0</v>
      </c>
      <c r="AA360" s="23">
        <f t="shared" si="158"/>
        <v>0</v>
      </c>
      <c r="AB360" s="23">
        <f t="shared" si="158"/>
        <v>0</v>
      </c>
      <c r="AC360" s="23">
        <f>SUM(AC361:AC372)</f>
        <v>185487366.42000002</v>
      </c>
      <c r="AD360" s="23">
        <f t="shared" ref="AD360:AF360" si="159">SUM(AD361:AD372)</f>
        <v>2891013342.3600001</v>
      </c>
      <c r="AE360" s="23">
        <f t="shared" si="159"/>
        <v>0</v>
      </c>
      <c r="AF360" s="23">
        <f t="shared" si="159"/>
        <v>3076500708.7799997</v>
      </c>
    </row>
    <row r="361" spans="1:38" ht="122.25" customHeight="1" x14ac:dyDescent="0.2">
      <c r="A361" s="352"/>
      <c r="B361" s="355"/>
      <c r="C361" s="289"/>
      <c r="D361" s="289"/>
      <c r="E361" s="272">
        <v>4301</v>
      </c>
      <c r="F361" s="347" t="s">
        <v>1465</v>
      </c>
      <c r="G361" s="305" t="s">
        <v>1226</v>
      </c>
      <c r="H361" s="305">
        <v>4301007</v>
      </c>
      <c r="I361" s="343" t="s">
        <v>1227</v>
      </c>
      <c r="J361" s="305" t="s">
        <v>1228</v>
      </c>
      <c r="K361" s="305">
        <v>430100701</v>
      </c>
      <c r="L361" s="343" t="s">
        <v>1229</v>
      </c>
      <c r="M361" s="282" t="s">
        <v>53</v>
      </c>
      <c r="N361" s="282">
        <v>12</v>
      </c>
      <c r="O361" s="272">
        <v>12</v>
      </c>
      <c r="P361" s="448" t="s">
        <v>179</v>
      </c>
      <c r="Q361" s="441" t="s">
        <v>1230</v>
      </c>
      <c r="R361" s="442" t="s">
        <v>1231</v>
      </c>
      <c r="S361" s="12"/>
      <c r="T361" s="12"/>
      <c r="U361" s="12"/>
      <c r="V361" s="12"/>
      <c r="W361" s="12"/>
      <c r="X361" s="184"/>
      <c r="Y361" s="12"/>
      <c r="Z361" s="12"/>
      <c r="AA361" s="12"/>
      <c r="AB361" s="12"/>
      <c r="AC361" s="24"/>
      <c r="AD361" s="239">
        <f>47740000+18240000+96129000</f>
        <v>162109000</v>
      </c>
      <c r="AE361" s="3"/>
      <c r="AF361" s="109">
        <f t="shared" ref="AF361:AF372" si="160">+S361+T361+U361+V361+W361+X361+Y361+Z361+AA361+AB361+AC361+AD361+AE361</f>
        <v>162109000</v>
      </c>
    </row>
    <row r="362" spans="1:38" ht="120" customHeight="1" x14ac:dyDescent="0.2">
      <c r="A362" s="352"/>
      <c r="B362" s="355"/>
      <c r="C362" s="289"/>
      <c r="D362" s="289"/>
      <c r="E362" s="272">
        <v>4301</v>
      </c>
      <c r="F362" s="347" t="s">
        <v>1465</v>
      </c>
      <c r="G362" s="305">
        <v>39.200000000000003</v>
      </c>
      <c r="H362" s="305">
        <v>4301037</v>
      </c>
      <c r="I362" s="343" t="s">
        <v>1233</v>
      </c>
      <c r="J362" s="305" t="s">
        <v>1234</v>
      </c>
      <c r="K362" s="305">
        <v>430103701</v>
      </c>
      <c r="L362" s="343" t="s">
        <v>1235</v>
      </c>
      <c r="M362" s="218" t="s">
        <v>53</v>
      </c>
      <c r="N362" s="218">
        <v>12</v>
      </c>
      <c r="O362" s="218">
        <v>12</v>
      </c>
      <c r="P362" s="448"/>
      <c r="Q362" s="441"/>
      <c r="R362" s="442"/>
      <c r="S362" s="3"/>
      <c r="T362" s="3"/>
      <c r="U362" s="3"/>
      <c r="V362" s="3"/>
      <c r="W362" s="3"/>
      <c r="X362" s="3"/>
      <c r="Y362" s="3"/>
      <c r="Z362" s="3"/>
      <c r="AA362" s="3"/>
      <c r="AB362" s="3"/>
      <c r="AC362" s="239">
        <v>3480000</v>
      </c>
      <c r="AD362" s="239">
        <v>10000000</v>
      </c>
      <c r="AE362" s="25"/>
      <c r="AF362" s="216">
        <f t="shared" si="160"/>
        <v>13480000</v>
      </c>
    </row>
    <row r="363" spans="1:38" ht="134.25" customHeight="1" x14ac:dyDescent="0.2">
      <c r="A363" s="352"/>
      <c r="B363" s="355"/>
      <c r="C363" s="289"/>
      <c r="D363" s="289"/>
      <c r="E363" s="272">
        <v>4301</v>
      </c>
      <c r="F363" s="347" t="s">
        <v>1465</v>
      </c>
      <c r="G363" s="305" t="s">
        <v>1232</v>
      </c>
      <c r="H363" s="305">
        <v>4301037</v>
      </c>
      <c r="I363" s="343" t="s">
        <v>1233</v>
      </c>
      <c r="J363" s="305" t="s">
        <v>1236</v>
      </c>
      <c r="K363" s="305" t="s">
        <v>1237</v>
      </c>
      <c r="L363" s="343" t="s">
        <v>1238</v>
      </c>
      <c r="M363" s="218" t="s">
        <v>53</v>
      </c>
      <c r="N363" s="218">
        <v>12</v>
      </c>
      <c r="O363" s="218">
        <v>12</v>
      </c>
      <c r="P363" s="337" t="s">
        <v>179</v>
      </c>
      <c r="Q363" s="272" t="s">
        <v>1239</v>
      </c>
      <c r="R363" s="273" t="s">
        <v>1415</v>
      </c>
      <c r="S363" s="3"/>
      <c r="T363" s="3"/>
      <c r="U363" s="3"/>
      <c r="V363" s="3"/>
      <c r="W363" s="3"/>
      <c r="X363" s="3"/>
      <c r="Y363" s="3"/>
      <c r="Z363" s="3"/>
      <c r="AA363" s="3"/>
      <c r="AB363" s="3"/>
      <c r="AC363" s="239">
        <v>2227426</v>
      </c>
      <c r="AD363" s="239">
        <f>7000000+40000000</f>
        <v>47000000</v>
      </c>
      <c r="AE363" s="3"/>
      <c r="AF363" s="216">
        <f t="shared" si="160"/>
        <v>49227426</v>
      </c>
    </row>
    <row r="364" spans="1:38" ht="120.75" customHeight="1" x14ac:dyDescent="0.2">
      <c r="A364" s="352"/>
      <c r="B364" s="355"/>
      <c r="C364" s="289"/>
      <c r="D364" s="289"/>
      <c r="E364" s="272">
        <v>4301</v>
      </c>
      <c r="F364" s="347" t="s">
        <v>1465</v>
      </c>
      <c r="G364" s="305" t="s">
        <v>1232</v>
      </c>
      <c r="H364" s="305">
        <v>4301037</v>
      </c>
      <c r="I364" s="343" t="s">
        <v>1233</v>
      </c>
      <c r="J364" s="305" t="s">
        <v>1236</v>
      </c>
      <c r="K364" s="305">
        <v>430103704</v>
      </c>
      <c r="L364" s="343" t="s">
        <v>1238</v>
      </c>
      <c r="M364" s="218" t="s">
        <v>53</v>
      </c>
      <c r="N364" s="218">
        <v>12</v>
      </c>
      <c r="O364" s="218">
        <v>12</v>
      </c>
      <c r="P364" s="448" t="s">
        <v>179</v>
      </c>
      <c r="Q364" s="441" t="s">
        <v>1241</v>
      </c>
      <c r="R364" s="442" t="s">
        <v>1242</v>
      </c>
      <c r="S364" s="3"/>
      <c r="T364" s="3"/>
      <c r="U364" s="3"/>
      <c r="V364" s="3"/>
      <c r="W364" s="3"/>
      <c r="X364" s="3"/>
      <c r="Y364" s="3"/>
      <c r="Z364" s="3"/>
      <c r="AA364" s="3"/>
      <c r="AB364" s="3"/>
      <c r="AC364" s="185"/>
      <c r="AD364" s="240">
        <f>13800000+24000000</f>
        <v>37800000</v>
      </c>
      <c r="AE364" s="3"/>
      <c r="AF364" s="216">
        <f t="shared" si="160"/>
        <v>37800000</v>
      </c>
    </row>
    <row r="365" spans="1:38" ht="127.5" customHeight="1" x14ac:dyDescent="0.2">
      <c r="A365" s="352"/>
      <c r="B365" s="355"/>
      <c r="C365" s="289"/>
      <c r="D365" s="289"/>
      <c r="E365" s="272">
        <v>4301</v>
      </c>
      <c r="F365" s="343" t="s">
        <v>1465</v>
      </c>
      <c r="G365" s="305" t="s">
        <v>1243</v>
      </c>
      <c r="H365" s="305" t="s">
        <v>47</v>
      </c>
      <c r="I365" s="343" t="s">
        <v>1244</v>
      </c>
      <c r="J365" s="305" t="s">
        <v>1245</v>
      </c>
      <c r="K365" s="305" t="s">
        <v>47</v>
      </c>
      <c r="L365" s="343" t="s">
        <v>1467</v>
      </c>
      <c r="M365" s="282" t="s">
        <v>53</v>
      </c>
      <c r="N365" s="282">
        <v>1</v>
      </c>
      <c r="O365" s="272">
        <v>1</v>
      </c>
      <c r="P365" s="448"/>
      <c r="Q365" s="441"/>
      <c r="R365" s="442"/>
      <c r="S365" s="12"/>
      <c r="T365" s="12"/>
      <c r="U365" s="12"/>
      <c r="V365" s="12"/>
      <c r="W365" s="12"/>
      <c r="X365" s="12"/>
      <c r="Y365" s="12"/>
      <c r="Z365" s="12"/>
      <c r="AA365" s="12"/>
      <c r="AB365" s="12"/>
      <c r="AC365" s="16"/>
      <c r="AD365" s="240">
        <f>19500000+12000000</f>
        <v>31500000</v>
      </c>
      <c r="AE365" s="186"/>
      <c r="AF365" s="216">
        <f t="shared" si="160"/>
        <v>31500000</v>
      </c>
    </row>
    <row r="366" spans="1:38" ht="129.75" customHeight="1" x14ac:dyDescent="0.2">
      <c r="A366" s="352"/>
      <c r="B366" s="355"/>
      <c r="C366" s="289"/>
      <c r="D366" s="289"/>
      <c r="E366" s="272">
        <v>4301</v>
      </c>
      <c r="F366" s="347" t="s">
        <v>1465</v>
      </c>
      <c r="G366" s="305" t="s">
        <v>1226</v>
      </c>
      <c r="H366" s="305">
        <v>4301007</v>
      </c>
      <c r="I366" s="241" t="s">
        <v>1227</v>
      </c>
      <c r="J366" s="305" t="s">
        <v>1228</v>
      </c>
      <c r="K366" s="305">
        <v>430100701</v>
      </c>
      <c r="L366" s="343" t="s">
        <v>1229</v>
      </c>
      <c r="M366" s="282" t="s">
        <v>53</v>
      </c>
      <c r="N366" s="282">
        <v>12</v>
      </c>
      <c r="O366" s="272">
        <v>12</v>
      </c>
      <c r="P366" s="337" t="s">
        <v>179</v>
      </c>
      <c r="Q366" s="441" t="s">
        <v>1246</v>
      </c>
      <c r="R366" s="442" t="s">
        <v>1416</v>
      </c>
      <c r="S366" s="12"/>
      <c r="T366" s="12"/>
      <c r="U366" s="12"/>
      <c r="V366" s="12"/>
      <c r="W366" s="12"/>
      <c r="X366" s="12"/>
      <c r="Y366" s="12"/>
      <c r="Z366" s="12"/>
      <c r="AA366" s="12"/>
      <c r="AB366" s="12"/>
      <c r="AC366" s="16"/>
      <c r="AD366" s="242">
        <v>348605598</v>
      </c>
      <c r="AE366" s="186"/>
      <c r="AF366" s="216">
        <f t="shared" si="160"/>
        <v>348605598</v>
      </c>
    </row>
    <row r="367" spans="1:38" ht="119.25" customHeight="1" x14ac:dyDescent="0.2">
      <c r="A367" s="352"/>
      <c r="B367" s="355"/>
      <c r="C367" s="289"/>
      <c r="D367" s="289"/>
      <c r="E367" s="272">
        <v>4301</v>
      </c>
      <c r="F367" s="347" t="s">
        <v>1465</v>
      </c>
      <c r="G367" s="305" t="s">
        <v>1232</v>
      </c>
      <c r="H367" s="305">
        <v>4301037</v>
      </c>
      <c r="I367" s="343" t="s">
        <v>1233</v>
      </c>
      <c r="J367" s="305" t="s">
        <v>1236</v>
      </c>
      <c r="K367" s="305" t="s">
        <v>1237</v>
      </c>
      <c r="L367" s="343" t="s">
        <v>1238</v>
      </c>
      <c r="M367" s="218" t="s">
        <v>53</v>
      </c>
      <c r="N367" s="218">
        <v>12</v>
      </c>
      <c r="O367" s="218">
        <v>12</v>
      </c>
      <c r="P367" s="337" t="s">
        <v>179</v>
      </c>
      <c r="Q367" s="441"/>
      <c r="R367" s="442"/>
      <c r="S367" s="3"/>
      <c r="T367" s="3"/>
      <c r="U367" s="3"/>
      <c r="V367" s="3"/>
      <c r="W367" s="3"/>
      <c r="X367" s="3"/>
      <c r="Y367" s="3"/>
      <c r="Z367" s="3"/>
      <c r="AA367" s="3"/>
      <c r="AB367" s="3"/>
      <c r="AC367" s="240">
        <v>18480000</v>
      </c>
      <c r="AD367" s="243"/>
      <c r="AE367" s="186"/>
      <c r="AF367" s="216">
        <f t="shared" si="160"/>
        <v>18480000</v>
      </c>
    </row>
    <row r="368" spans="1:38" ht="113.25" customHeight="1" x14ac:dyDescent="0.2">
      <c r="A368" s="352"/>
      <c r="B368" s="355"/>
      <c r="C368" s="289"/>
      <c r="D368" s="289"/>
      <c r="E368" s="272">
        <v>4301</v>
      </c>
      <c r="F368" s="347" t="s">
        <v>1465</v>
      </c>
      <c r="G368" s="305" t="s">
        <v>1232</v>
      </c>
      <c r="H368" s="305">
        <v>4301037</v>
      </c>
      <c r="I368" s="343" t="s">
        <v>1233</v>
      </c>
      <c r="J368" s="305" t="s">
        <v>1236</v>
      </c>
      <c r="K368" s="305" t="s">
        <v>1237</v>
      </c>
      <c r="L368" s="343" t="s">
        <v>1238</v>
      </c>
      <c r="M368" s="218" t="s">
        <v>53</v>
      </c>
      <c r="N368" s="218">
        <v>12</v>
      </c>
      <c r="O368" s="218">
        <v>12</v>
      </c>
      <c r="P368" s="337" t="s">
        <v>179</v>
      </c>
      <c r="Q368" s="272" t="s">
        <v>1248</v>
      </c>
      <c r="R368" s="273" t="s">
        <v>1417</v>
      </c>
      <c r="S368" s="3"/>
      <c r="T368" s="3"/>
      <c r="U368" s="3"/>
      <c r="V368" s="3"/>
      <c r="W368" s="3"/>
      <c r="X368" s="3"/>
      <c r="Y368" s="3"/>
      <c r="Z368" s="3"/>
      <c r="AA368" s="3"/>
      <c r="AB368" s="3"/>
      <c r="AC368" s="240">
        <v>359648</v>
      </c>
      <c r="AD368" s="243">
        <f>30633333+60592102</f>
        <v>91225435</v>
      </c>
      <c r="AE368" s="186"/>
      <c r="AF368" s="216">
        <f t="shared" si="160"/>
        <v>91585083</v>
      </c>
    </row>
    <row r="369" spans="1:38" ht="109.5" customHeight="1" x14ac:dyDescent="0.2">
      <c r="A369" s="352"/>
      <c r="B369" s="355"/>
      <c r="C369" s="289"/>
      <c r="D369" s="289"/>
      <c r="E369" s="272">
        <v>4301</v>
      </c>
      <c r="F369" s="347" t="s">
        <v>1465</v>
      </c>
      <c r="G369" s="305" t="s">
        <v>1226</v>
      </c>
      <c r="H369" s="305">
        <v>4301007</v>
      </c>
      <c r="I369" s="241" t="s">
        <v>1227</v>
      </c>
      <c r="J369" s="305" t="s">
        <v>1228</v>
      </c>
      <c r="K369" s="305">
        <v>430100701</v>
      </c>
      <c r="L369" s="343" t="s">
        <v>1229</v>
      </c>
      <c r="M369" s="282" t="s">
        <v>53</v>
      </c>
      <c r="N369" s="282">
        <v>12</v>
      </c>
      <c r="O369" s="272">
        <v>12</v>
      </c>
      <c r="P369" s="448" t="s">
        <v>179</v>
      </c>
      <c r="Q369" s="449" t="s">
        <v>1258</v>
      </c>
      <c r="R369" s="449" t="s">
        <v>1464</v>
      </c>
      <c r="S369" s="3"/>
      <c r="T369" s="3"/>
      <c r="U369" s="3"/>
      <c r="V369" s="3"/>
      <c r="W369" s="3"/>
      <c r="X369" s="3"/>
      <c r="Y369" s="3"/>
      <c r="Z369" s="3"/>
      <c r="AA369" s="3"/>
      <c r="AB369" s="3"/>
      <c r="AC369" s="244"/>
      <c r="AD369" s="243">
        <v>990610430</v>
      </c>
      <c r="AE369" s="186"/>
      <c r="AF369" s="216">
        <f t="shared" si="160"/>
        <v>990610430</v>
      </c>
    </row>
    <row r="370" spans="1:38" ht="114.75" customHeight="1" x14ac:dyDescent="0.2">
      <c r="A370" s="352"/>
      <c r="B370" s="355"/>
      <c r="C370" s="289"/>
      <c r="D370" s="289"/>
      <c r="E370" s="272">
        <v>4301</v>
      </c>
      <c r="F370" s="347" t="s">
        <v>1465</v>
      </c>
      <c r="G370" s="450" t="s">
        <v>1232</v>
      </c>
      <c r="H370" s="450">
        <v>4301037</v>
      </c>
      <c r="I370" s="451" t="s">
        <v>1233</v>
      </c>
      <c r="J370" s="305" t="s">
        <v>1234</v>
      </c>
      <c r="K370" s="305">
        <v>430103701</v>
      </c>
      <c r="L370" s="343" t="s">
        <v>1235</v>
      </c>
      <c r="M370" s="218" t="s">
        <v>53</v>
      </c>
      <c r="N370" s="218">
        <v>12</v>
      </c>
      <c r="O370" s="218">
        <v>12</v>
      </c>
      <c r="P370" s="448"/>
      <c r="Q370" s="449"/>
      <c r="R370" s="449"/>
      <c r="S370" s="3"/>
      <c r="T370" s="3"/>
      <c r="U370" s="3"/>
      <c r="V370" s="3"/>
      <c r="W370" s="3"/>
      <c r="X370" s="3"/>
      <c r="Y370" s="3"/>
      <c r="Z370" s="3"/>
      <c r="AA370" s="3"/>
      <c r="AB370" s="3"/>
      <c r="AC370" s="16">
        <v>77772574</v>
      </c>
      <c r="AD370" s="240">
        <v>253758086</v>
      </c>
      <c r="AE370" s="186"/>
      <c r="AF370" s="216">
        <f t="shared" si="160"/>
        <v>331530660</v>
      </c>
    </row>
    <row r="371" spans="1:38" ht="124.5" customHeight="1" x14ac:dyDescent="0.2">
      <c r="A371" s="352"/>
      <c r="B371" s="355"/>
      <c r="C371" s="289"/>
      <c r="D371" s="289"/>
      <c r="E371" s="272">
        <v>4301</v>
      </c>
      <c r="F371" s="347" t="s">
        <v>1465</v>
      </c>
      <c r="G371" s="450"/>
      <c r="H371" s="450">
        <v>4301037</v>
      </c>
      <c r="I371" s="451" t="s">
        <v>1233</v>
      </c>
      <c r="J371" s="305" t="s">
        <v>1236</v>
      </c>
      <c r="K371" s="305" t="s">
        <v>1237</v>
      </c>
      <c r="L371" s="343" t="s">
        <v>1238</v>
      </c>
      <c r="M371" s="218" t="s">
        <v>53</v>
      </c>
      <c r="N371" s="218">
        <v>12</v>
      </c>
      <c r="O371" s="218">
        <v>12</v>
      </c>
      <c r="P371" s="448"/>
      <c r="Q371" s="449"/>
      <c r="R371" s="449"/>
      <c r="S371" s="3"/>
      <c r="T371" s="3"/>
      <c r="U371" s="3"/>
      <c r="V371" s="3"/>
      <c r="W371" s="3"/>
      <c r="X371" s="3"/>
      <c r="Y371" s="3"/>
      <c r="Z371" s="3"/>
      <c r="AA371" s="3"/>
      <c r="AB371" s="3"/>
      <c r="AC371" s="16">
        <v>83167718.420000002</v>
      </c>
      <c r="AD371" s="348">
        <v>862904793.36000001</v>
      </c>
      <c r="AE371" s="186"/>
      <c r="AF371" s="216">
        <f t="shared" si="160"/>
        <v>946072511.77999997</v>
      </c>
    </row>
    <row r="372" spans="1:38" ht="122.25" customHeight="1" x14ac:dyDescent="0.2">
      <c r="A372" s="352"/>
      <c r="B372" s="355"/>
      <c r="C372" s="289"/>
      <c r="D372" s="289"/>
      <c r="E372" s="272">
        <v>4301</v>
      </c>
      <c r="F372" s="343" t="s">
        <v>1465</v>
      </c>
      <c r="G372" s="305" t="s">
        <v>1243</v>
      </c>
      <c r="H372" s="305" t="s">
        <v>47</v>
      </c>
      <c r="I372" s="343" t="s">
        <v>1244</v>
      </c>
      <c r="J372" s="305" t="s">
        <v>1245</v>
      </c>
      <c r="K372" s="305" t="s">
        <v>47</v>
      </c>
      <c r="L372" s="343" t="s">
        <v>1467</v>
      </c>
      <c r="M372" s="282" t="s">
        <v>53</v>
      </c>
      <c r="N372" s="282">
        <v>1</v>
      </c>
      <c r="O372" s="272">
        <v>1</v>
      </c>
      <c r="P372" s="448"/>
      <c r="Q372" s="449"/>
      <c r="R372" s="449"/>
      <c r="S372" s="3"/>
      <c r="T372" s="3"/>
      <c r="U372" s="3"/>
      <c r="V372" s="3"/>
      <c r="W372" s="3"/>
      <c r="X372" s="3"/>
      <c r="Y372" s="3"/>
      <c r="Z372" s="3"/>
      <c r="AA372" s="3"/>
      <c r="AB372" s="3"/>
      <c r="AC372" s="117"/>
      <c r="AD372" s="240">
        <v>55500000</v>
      </c>
      <c r="AE372" s="186"/>
      <c r="AF372" s="216">
        <f t="shared" si="160"/>
        <v>55500000</v>
      </c>
    </row>
    <row r="373" spans="1:38" ht="25.5" customHeight="1" x14ac:dyDescent="0.2">
      <c r="A373" s="352"/>
      <c r="B373" s="355"/>
      <c r="C373" s="131">
        <v>40</v>
      </c>
      <c r="D373" s="131">
        <v>4302</v>
      </c>
      <c r="E373" s="275" t="s">
        <v>180</v>
      </c>
      <c r="F373" s="102"/>
      <c r="G373" s="102"/>
      <c r="H373" s="104"/>
      <c r="I373" s="102"/>
      <c r="J373" s="103"/>
      <c r="K373" s="103"/>
      <c r="L373" s="102"/>
      <c r="M373" s="105"/>
      <c r="N373" s="105"/>
      <c r="O373" s="103"/>
      <c r="P373" s="338"/>
      <c r="Q373" s="103"/>
      <c r="R373" s="102"/>
      <c r="S373" s="107">
        <f>+S374+S376</f>
        <v>0</v>
      </c>
      <c r="T373" s="107">
        <f t="shared" ref="T373:AB373" si="161">+T374+T376</f>
        <v>0</v>
      </c>
      <c r="U373" s="107">
        <f t="shared" si="161"/>
        <v>0</v>
      </c>
      <c r="V373" s="107">
        <f t="shared" si="161"/>
        <v>0</v>
      </c>
      <c r="W373" s="107">
        <f t="shared" si="161"/>
        <v>0</v>
      </c>
      <c r="X373" s="107">
        <f t="shared" si="161"/>
        <v>0</v>
      </c>
      <c r="Y373" s="107">
        <f t="shared" si="161"/>
        <v>0</v>
      </c>
      <c r="Z373" s="107">
        <f t="shared" si="161"/>
        <v>0</v>
      </c>
      <c r="AA373" s="107">
        <f t="shared" si="161"/>
        <v>0</v>
      </c>
      <c r="AB373" s="107">
        <f t="shared" si="161"/>
        <v>0</v>
      </c>
      <c r="AC373" s="107">
        <f>+AC374+AC376+AC375</f>
        <v>573825727</v>
      </c>
      <c r="AD373" s="107">
        <f t="shared" ref="AD373:AF373" si="162">+AD374+AD376+AD375</f>
        <v>691162875</v>
      </c>
      <c r="AE373" s="107">
        <f t="shared" si="162"/>
        <v>0</v>
      </c>
      <c r="AF373" s="107">
        <f t="shared" si="162"/>
        <v>1264988602</v>
      </c>
    </row>
    <row r="374" spans="1:38" ht="91.5" customHeight="1" x14ac:dyDescent="0.2">
      <c r="A374" s="352"/>
      <c r="B374" s="355"/>
      <c r="C374" s="289"/>
      <c r="D374" s="289"/>
      <c r="E374" s="1">
        <v>4302</v>
      </c>
      <c r="F374" s="273" t="s">
        <v>1357</v>
      </c>
      <c r="G374" s="221" t="s">
        <v>1250</v>
      </c>
      <c r="H374" s="231">
        <v>4302075</v>
      </c>
      <c r="I374" s="273" t="s">
        <v>1251</v>
      </c>
      <c r="J374" s="221" t="s">
        <v>1252</v>
      </c>
      <c r="K374" s="218">
        <v>430207500</v>
      </c>
      <c r="L374" s="224" t="s">
        <v>1253</v>
      </c>
      <c r="M374" s="282" t="s">
        <v>53</v>
      </c>
      <c r="N374" s="282">
        <v>25</v>
      </c>
      <c r="O374" s="272">
        <v>25</v>
      </c>
      <c r="P374" s="337" t="s">
        <v>179</v>
      </c>
      <c r="Q374" s="272" t="s">
        <v>1254</v>
      </c>
      <c r="R374" s="323" t="s">
        <v>1255</v>
      </c>
      <c r="S374" s="3"/>
      <c r="T374" s="3"/>
      <c r="U374" s="3"/>
      <c r="V374" s="3"/>
      <c r="W374" s="3"/>
      <c r="X374" s="3"/>
      <c r="Y374" s="3"/>
      <c r="Z374" s="3"/>
      <c r="AA374" s="3"/>
      <c r="AB374" s="3"/>
      <c r="AC374" s="349">
        <v>110883174</v>
      </c>
      <c r="AD374" s="349">
        <v>102415591</v>
      </c>
      <c r="AE374" s="263"/>
      <c r="AF374" s="109">
        <f>+S374+T374+U374+V374+W374+X374+Y374+Z374+AA374+AB374+AC374+AD374+AE374</f>
        <v>213298765</v>
      </c>
    </row>
    <row r="375" spans="1:38" ht="91.5" customHeight="1" x14ac:dyDescent="0.2">
      <c r="A375" s="352"/>
      <c r="B375" s="355"/>
      <c r="C375" s="289"/>
      <c r="D375" s="289"/>
      <c r="E375" s="1">
        <v>4302</v>
      </c>
      <c r="F375" s="335" t="s">
        <v>1357</v>
      </c>
      <c r="G375" s="221" t="s">
        <v>1250</v>
      </c>
      <c r="H375" s="231">
        <v>4302075</v>
      </c>
      <c r="I375" s="273" t="s">
        <v>1251</v>
      </c>
      <c r="J375" s="221" t="s">
        <v>1252</v>
      </c>
      <c r="K375" s="218">
        <v>430207500</v>
      </c>
      <c r="L375" s="224" t="s">
        <v>1253</v>
      </c>
      <c r="M375" s="282" t="s">
        <v>53</v>
      </c>
      <c r="N375" s="282">
        <v>25</v>
      </c>
      <c r="O375" s="272">
        <v>25</v>
      </c>
      <c r="P375" s="337" t="s">
        <v>179</v>
      </c>
      <c r="Q375" s="272" t="s">
        <v>1329</v>
      </c>
      <c r="R375" s="324" t="s">
        <v>1466</v>
      </c>
      <c r="S375" s="3"/>
      <c r="T375" s="3"/>
      <c r="U375" s="3"/>
      <c r="V375" s="3"/>
      <c r="W375" s="3"/>
      <c r="X375" s="3"/>
      <c r="Y375" s="3"/>
      <c r="Z375" s="3"/>
      <c r="AA375" s="3"/>
      <c r="AB375" s="3"/>
      <c r="AC375" s="109">
        <v>432942553</v>
      </c>
      <c r="AD375" s="349">
        <f>148924918+58059026+381763340</f>
        <v>588747284</v>
      </c>
      <c r="AE375" s="263"/>
      <c r="AF375" s="109">
        <f>+S375+T375+U375+V375+W375+X375+Y375+Z375+AA375+AB375+AC375+AD375+AE375</f>
        <v>1021689837</v>
      </c>
    </row>
    <row r="376" spans="1:38" ht="97.5" customHeight="1" x14ac:dyDescent="0.2">
      <c r="A376" s="353"/>
      <c r="B376" s="356"/>
      <c r="C376" s="289"/>
      <c r="D376" s="289"/>
      <c r="E376" s="1">
        <v>4302</v>
      </c>
      <c r="F376" s="335" t="s">
        <v>1357</v>
      </c>
      <c r="G376" s="221" t="s">
        <v>1250</v>
      </c>
      <c r="H376" s="231">
        <v>4302075</v>
      </c>
      <c r="I376" s="273" t="s">
        <v>1251</v>
      </c>
      <c r="J376" s="221" t="s">
        <v>1256</v>
      </c>
      <c r="K376" s="225" t="s">
        <v>47</v>
      </c>
      <c r="L376" s="224" t="s">
        <v>1257</v>
      </c>
      <c r="M376" s="282" t="s">
        <v>53</v>
      </c>
      <c r="N376" s="282">
        <v>1</v>
      </c>
      <c r="O376" s="272">
        <v>1</v>
      </c>
      <c r="P376" s="337" t="s">
        <v>179</v>
      </c>
      <c r="Q376" s="272" t="s">
        <v>1358</v>
      </c>
      <c r="R376" s="273" t="s">
        <v>1259</v>
      </c>
      <c r="S376" s="3"/>
      <c r="T376" s="3"/>
      <c r="U376" s="3"/>
      <c r="V376" s="3"/>
      <c r="W376" s="3"/>
      <c r="X376" s="3"/>
      <c r="Y376" s="3"/>
      <c r="Z376" s="3"/>
      <c r="AA376" s="3"/>
      <c r="AB376" s="3"/>
      <c r="AC376" s="109">
        <v>30000000</v>
      </c>
      <c r="AD376" s="325"/>
      <c r="AE376" s="3"/>
      <c r="AF376" s="109">
        <f>+S376+T376+U376+V376+W376+X376+Y376+Z376+AA376+AB376+AC376+AD376+AE376</f>
        <v>30000000</v>
      </c>
    </row>
    <row r="377" spans="1:38" s="176" customFormat="1" ht="15.75" x14ac:dyDescent="0.2">
      <c r="A377" s="357"/>
      <c r="B377" s="358"/>
      <c r="C377" s="358"/>
      <c r="D377" s="359"/>
      <c r="E377" s="360"/>
      <c r="F377" s="360"/>
      <c r="G377" s="361"/>
      <c r="H377" s="361"/>
      <c r="I377" s="362"/>
      <c r="J377" s="363"/>
      <c r="K377" s="363"/>
      <c r="L377" s="362"/>
      <c r="M377" s="361"/>
      <c r="N377" s="361"/>
      <c r="O377" s="363"/>
      <c r="P377" s="361"/>
      <c r="Q377" s="361"/>
      <c r="R377" s="362"/>
      <c r="S377" s="364"/>
      <c r="T377" s="364"/>
      <c r="U377" s="364"/>
      <c r="V377" s="364"/>
      <c r="W377" s="364"/>
      <c r="X377" s="364"/>
      <c r="Y377" s="364"/>
      <c r="Z377" s="364"/>
      <c r="AA377" s="364"/>
      <c r="AB377" s="364"/>
      <c r="AC377" s="365"/>
      <c r="AD377" s="364"/>
      <c r="AE377" s="364"/>
      <c r="AF377" s="434"/>
    </row>
    <row r="378" spans="1:38" s="115" customFormat="1" ht="24.75" customHeight="1" x14ac:dyDescent="0.2">
      <c r="A378" s="145" t="s">
        <v>1260</v>
      </c>
      <c r="B378" s="145"/>
      <c r="C378" s="145"/>
      <c r="D378" s="146"/>
      <c r="E378" s="146"/>
      <c r="F378" s="147"/>
      <c r="G378" s="148"/>
      <c r="H378" s="92"/>
      <c r="I378" s="147"/>
      <c r="J378" s="148"/>
      <c r="K378" s="148"/>
      <c r="L378" s="147"/>
      <c r="M378" s="92"/>
      <c r="N378" s="92"/>
      <c r="O378" s="148"/>
      <c r="P378" s="339"/>
      <c r="Q378" s="148"/>
      <c r="R378" s="147"/>
      <c r="S378" s="124">
        <f>S379+S384+S392</f>
        <v>1117710104</v>
      </c>
      <c r="T378" s="124">
        <f t="shared" ref="T378:AE378" si="163">T379+T384+T392</f>
        <v>0</v>
      </c>
      <c r="U378" s="124">
        <f t="shared" si="163"/>
        <v>0</v>
      </c>
      <c r="V378" s="124">
        <f t="shared" si="163"/>
        <v>0</v>
      </c>
      <c r="W378" s="124">
        <f t="shared" si="163"/>
        <v>0</v>
      </c>
      <c r="X378" s="124">
        <f t="shared" si="163"/>
        <v>0</v>
      </c>
      <c r="Y378" s="124">
        <f t="shared" si="163"/>
        <v>0</v>
      </c>
      <c r="Z378" s="124">
        <f t="shared" si="163"/>
        <v>0</v>
      </c>
      <c r="AA378" s="124">
        <f t="shared" si="163"/>
        <v>0</v>
      </c>
      <c r="AB378" s="124">
        <f t="shared" si="163"/>
        <v>0</v>
      </c>
      <c r="AC378" s="124">
        <f t="shared" si="163"/>
        <v>0</v>
      </c>
      <c r="AD378" s="124">
        <f t="shared" si="163"/>
        <v>785808000</v>
      </c>
      <c r="AE378" s="124">
        <f t="shared" si="163"/>
        <v>0</v>
      </c>
      <c r="AF378" s="124">
        <f>AF379+AF384+AF392</f>
        <v>1903518104</v>
      </c>
      <c r="AG378" s="401"/>
      <c r="AH378" s="401"/>
      <c r="AI378" s="401"/>
      <c r="AJ378" s="401"/>
      <c r="AK378" s="401"/>
      <c r="AL378" s="401"/>
    </row>
    <row r="379" spans="1:38" s="115" customFormat="1" ht="15.75" customHeight="1" x14ac:dyDescent="0.2">
      <c r="A379" s="383"/>
      <c r="B379" s="193">
        <v>1</v>
      </c>
      <c r="C379" s="95" t="s">
        <v>1</v>
      </c>
      <c r="D379" s="95"/>
      <c r="E379" s="95"/>
      <c r="F379" s="95"/>
      <c r="G379" s="96"/>
      <c r="H379" s="326"/>
      <c r="I379" s="97"/>
      <c r="J379" s="98"/>
      <c r="K379" s="98"/>
      <c r="L379" s="97"/>
      <c r="M379" s="327"/>
      <c r="N379" s="327"/>
      <c r="O379" s="98"/>
      <c r="P379" s="97"/>
      <c r="Q379" s="98"/>
      <c r="R379" s="97"/>
      <c r="S379" s="187">
        <f>S381+S383</f>
        <v>745140660</v>
      </c>
      <c r="T379" s="187">
        <f t="shared" ref="T379:AE379" si="164">T381+T383</f>
        <v>0</v>
      </c>
      <c r="U379" s="187">
        <f t="shared" si="164"/>
        <v>0</v>
      </c>
      <c r="V379" s="187">
        <f t="shared" si="164"/>
        <v>0</v>
      </c>
      <c r="W379" s="187">
        <f t="shared" si="164"/>
        <v>0</v>
      </c>
      <c r="X379" s="187">
        <f t="shared" si="164"/>
        <v>0</v>
      </c>
      <c r="Y379" s="187">
        <f t="shared" si="164"/>
        <v>0</v>
      </c>
      <c r="Z379" s="187">
        <f t="shared" si="164"/>
        <v>0</v>
      </c>
      <c r="AA379" s="187">
        <f t="shared" si="164"/>
        <v>0</v>
      </c>
      <c r="AB379" s="187">
        <f t="shared" si="164"/>
        <v>0</v>
      </c>
      <c r="AC379" s="187">
        <f t="shared" si="164"/>
        <v>0</v>
      </c>
      <c r="AD379" s="187">
        <f t="shared" si="164"/>
        <v>189176000</v>
      </c>
      <c r="AE379" s="187">
        <f t="shared" si="164"/>
        <v>0</v>
      </c>
      <c r="AF379" s="187">
        <f>AF381+AF383</f>
        <v>934316660</v>
      </c>
    </row>
    <row r="380" spans="1:38" s="115" customFormat="1" ht="15.75" x14ac:dyDescent="0.2">
      <c r="A380" s="367"/>
      <c r="B380" s="443"/>
      <c r="C380" s="131">
        <v>39</v>
      </c>
      <c r="D380" s="131">
        <v>4301</v>
      </c>
      <c r="E380" s="275" t="s">
        <v>173</v>
      </c>
      <c r="F380" s="102"/>
      <c r="G380" s="103"/>
      <c r="H380" s="154"/>
      <c r="I380" s="139"/>
      <c r="J380" s="188"/>
      <c r="K380" s="188"/>
      <c r="L380" s="139"/>
      <c r="M380" s="189"/>
      <c r="N380" s="190"/>
      <c r="O380" s="103"/>
      <c r="P380" s="139"/>
      <c r="Q380" s="188"/>
      <c r="R380" s="139"/>
      <c r="S380" s="191">
        <f t="shared" ref="S380:AE380" si="165">S381</f>
        <v>372570330</v>
      </c>
      <c r="T380" s="191">
        <f t="shared" si="165"/>
        <v>0</v>
      </c>
      <c r="U380" s="191">
        <f t="shared" si="165"/>
        <v>0</v>
      </c>
      <c r="V380" s="191">
        <f t="shared" si="165"/>
        <v>0</v>
      </c>
      <c r="W380" s="191">
        <f t="shared" si="165"/>
        <v>0</v>
      </c>
      <c r="X380" s="191">
        <f t="shared" si="165"/>
        <v>0</v>
      </c>
      <c r="Y380" s="191">
        <f t="shared" si="165"/>
        <v>0</v>
      </c>
      <c r="Z380" s="191">
        <f t="shared" si="165"/>
        <v>0</v>
      </c>
      <c r="AA380" s="191">
        <f t="shared" si="165"/>
        <v>0</v>
      </c>
      <c r="AB380" s="191">
        <f t="shared" si="165"/>
        <v>0</v>
      </c>
      <c r="AC380" s="191">
        <f t="shared" si="165"/>
        <v>0</v>
      </c>
      <c r="AD380" s="191">
        <f t="shared" si="165"/>
        <v>0</v>
      </c>
      <c r="AE380" s="191">
        <f t="shared" si="165"/>
        <v>0</v>
      </c>
      <c r="AF380" s="191">
        <f>AF381</f>
        <v>372570330</v>
      </c>
    </row>
    <row r="381" spans="1:38" s="115" customFormat="1" ht="197.25" customHeight="1" x14ac:dyDescent="0.2">
      <c r="A381" s="367"/>
      <c r="B381" s="444"/>
      <c r="C381" s="289"/>
      <c r="D381" s="290"/>
      <c r="E381" s="282">
        <v>4301</v>
      </c>
      <c r="F381" s="129" t="s">
        <v>174</v>
      </c>
      <c r="G381" s="333" t="s">
        <v>175</v>
      </c>
      <c r="H381" s="272" t="s">
        <v>47</v>
      </c>
      <c r="I381" s="7" t="s">
        <v>176</v>
      </c>
      <c r="J381" s="135" t="s">
        <v>177</v>
      </c>
      <c r="K381" s="135" t="s">
        <v>47</v>
      </c>
      <c r="L381" s="7" t="s">
        <v>1448</v>
      </c>
      <c r="M381" s="272" t="s">
        <v>143</v>
      </c>
      <c r="N381" s="272">
        <v>12</v>
      </c>
      <c r="O381" s="135">
        <v>3</v>
      </c>
      <c r="P381" s="335" t="s">
        <v>179</v>
      </c>
      <c r="Q381" s="272" t="s">
        <v>1261</v>
      </c>
      <c r="R381" s="328" t="s">
        <v>1418</v>
      </c>
      <c r="S381" s="134">
        <f>413967000-41396670</f>
        <v>372570330</v>
      </c>
      <c r="T381" s="3"/>
      <c r="U381" s="3"/>
      <c r="V381" s="3"/>
      <c r="W381" s="3"/>
      <c r="X381" s="3"/>
      <c r="Y381" s="3"/>
      <c r="Z381" s="3"/>
      <c r="AA381" s="3"/>
      <c r="AB381" s="3"/>
      <c r="AC381" s="21"/>
      <c r="AD381" s="329"/>
      <c r="AE381" s="3"/>
      <c r="AF381" s="109">
        <f>+S381+T381+U381+V381+W381+X381+Y381+Z381+AA381+AB381+AC381+AD381+AE381</f>
        <v>372570330</v>
      </c>
    </row>
    <row r="382" spans="1:38" s="115" customFormat="1" ht="15.75" customHeight="1" x14ac:dyDescent="0.2">
      <c r="A382" s="367"/>
      <c r="B382" s="388"/>
      <c r="C382" s="131">
        <v>15</v>
      </c>
      <c r="D382" s="131">
        <v>2201</v>
      </c>
      <c r="E382" s="275" t="s">
        <v>155</v>
      </c>
      <c r="F382" s="275"/>
      <c r="G382" s="106"/>
      <c r="H382" s="154"/>
      <c r="I382" s="102"/>
      <c r="J382" s="103"/>
      <c r="K382" s="103"/>
      <c r="L382" s="102"/>
      <c r="M382" s="190"/>
      <c r="N382" s="190"/>
      <c r="O382" s="103"/>
      <c r="P382" s="102"/>
      <c r="Q382" s="103"/>
      <c r="R382" s="102"/>
      <c r="S382" s="191">
        <f t="shared" ref="S382:AE382" si="166">S383</f>
        <v>372570330</v>
      </c>
      <c r="T382" s="191">
        <f t="shared" si="166"/>
        <v>0</v>
      </c>
      <c r="U382" s="191">
        <f t="shared" si="166"/>
        <v>0</v>
      </c>
      <c r="V382" s="191">
        <f t="shared" si="166"/>
        <v>0</v>
      </c>
      <c r="W382" s="191">
        <f t="shared" si="166"/>
        <v>0</v>
      </c>
      <c r="X382" s="191">
        <f t="shared" si="166"/>
        <v>0</v>
      </c>
      <c r="Y382" s="191">
        <f t="shared" si="166"/>
        <v>0</v>
      </c>
      <c r="Z382" s="191">
        <f t="shared" si="166"/>
        <v>0</v>
      </c>
      <c r="AA382" s="191">
        <f t="shared" si="166"/>
        <v>0</v>
      </c>
      <c r="AB382" s="191">
        <f t="shared" si="166"/>
        <v>0</v>
      </c>
      <c r="AC382" s="191">
        <f t="shared" si="166"/>
        <v>0</v>
      </c>
      <c r="AD382" s="191">
        <f t="shared" si="166"/>
        <v>189176000</v>
      </c>
      <c r="AE382" s="191">
        <f t="shared" si="166"/>
        <v>0</v>
      </c>
      <c r="AF382" s="191">
        <f>AF383</f>
        <v>561746330</v>
      </c>
    </row>
    <row r="383" spans="1:38" s="115" customFormat="1" ht="99.75" customHeight="1" x14ac:dyDescent="0.2">
      <c r="A383" s="367"/>
      <c r="B383" s="356"/>
      <c r="C383" s="289"/>
      <c r="D383" s="290"/>
      <c r="E383" s="282">
        <v>2201</v>
      </c>
      <c r="F383" s="274" t="s">
        <v>157</v>
      </c>
      <c r="G383" s="255" t="s">
        <v>158</v>
      </c>
      <c r="H383" s="135" t="s">
        <v>47</v>
      </c>
      <c r="I383" s="273" t="s">
        <v>159</v>
      </c>
      <c r="J383" s="272" t="s">
        <v>160</v>
      </c>
      <c r="K383" s="272" t="s">
        <v>47</v>
      </c>
      <c r="L383" s="273" t="s">
        <v>161</v>
      </c>
      <c r="M383" s="272" t="s">
        <v>143</v>
      </c>
      <c r="N383" s="272">
        <v>54</v>
      </c>
      <c r="O383" s="272">
        <v>9</v>
      </c>
      <c r="P383" s="341" t="s">
        <v>162</v>
      </c>
      <c r="Q383" s="272" t="s">
        <v>1261</v>
      </c>
      <c r="R383" s="328" t="s">
        <v>1418</v>
      </c>
      <c r="S383" s="134">
        <f>413967000-41396670</f>
        <v>372570330</v>
      </c>
      <c r="T383" s="3"/>
      <c r="U383" s="3"/>
      <c r="V383" s="3"/>
      <c r="W383" s="3"/>
      <c r="X383" s="3"/>
      <c r="Y383" s="3"/>
      <c r="Z383" s="3"/>
      <c r="AA383" s="3"/>
      <c r="AB383" s="3"/>
      <c r="AC383" s="21"/>
      <c r="AD383" s="3">
        <f>218280000-29104000</f>
        <v>189176000</v>
      </c>
      <c r="AE383" s="6"/>
      <c r="AF383" s="109">
        <f>+S383+T383+U383+V383+W383+X383+Y383+Z383+AA383+AB383+AC383+AD383+AE383</f>
        <v>561746330</v>
      </c>
    </row>
    <row r="384" spans="1:38" s="115" customFormat="1" ht="15.75" customHeight="1" x14ac:dyDescent="0.2">
      <c r="A384" s="367"/>
      <c r="B384" s="193">
        <v>3</v>
      </c>
      <c r="C384" s="95" t="s">
        <v>3</v>
      </c>
      <c r="D384" s="95"/>
      <c r="E384" s="95"/>
      <c r="F384" s="95"/>
      <c r="G384" s="96"/>
      <c r="H384" s="326"/>
      <c r="I384" s="97"/>
      <c r="J384" s="98"/>
      <c r="K384" s="98"/>
      <c r="L384" s="97"/>
      <c r="M384" s="327"/>
      <c r="N384" s="327"/>
      <c r="O384" s="98"/>
      <c r="P384" s="97"/>
      <c r="Q384" s="98"/>
      <c r="R384" s="97"/>
      <c r="S384" s="187">
        <f t="shared" ref="S384:AF384" si="167">S385+S387</f>
        <v>372569444</v>
      </c>
      <c r="T384" s="187">
        <f t="shared" si="167"/>
        <v>0</v>
      </c>
      <c r="U384" s="187">
        <f t="shared" si="167"/>
        <v>0</v>
      </c>
      <c r="V384" s="187">
        <f t="shared" si="167"/>
        <v>0</v>
      </c>
      <c r="W384" s="187">
        <f t="shared" si="167"/>
        <v>0</v>
      </c>
      <c r="X384" s="187">
        <f t="shared" si="167"/>
        <v>0</v>
      </c>
      <c r="Y384" s="187">
        <f t="shared" si="167"/>
        <v>0</v>
      </c>
      <c r="Z384" s="187">
        <f t="shared" si="167"/>
        <v>0</v>
      </c>
      <c r="AA384" s="187">
        <f t="shared" si="167"/>
        <v>0</v>
      </c>
      <c r="AB384" s="187">
        <f t="shared" si="167"/>
        <v>0</v>
      </c>
      <c r="AC384" s="187">
        <f t="shared" si="167"/>
        <v>0</v>
      </c>
      <c r="AD384" s="187">
        <f t="shared" si="167"/>
        <v>407456000</v>
      </c>
      <c r="AE384" s="187">
        <f t="shared" si="167"/>
        <v>0</v>
      </c>
      <c r="AF384" s="187">
        <f t="shared" si="167"/>
        <v>780025444</v>
      </c>
    </row>
    <row r="385" spans="1:38" s="115" customFormat="1" ht="15.75" customHeight="1" x14ac:dyDescent="0.2">
      <c r="A385" s="367"/>
      <c r="B385" s="443"/>
      <c r="C385" s="131">
        <v>18</v>
      </c>
      <c r="D385" s="131">
        <v>2402</v>
      </c>
      <c r="E385" s="275" t="s">
        <v>197</v>
      </c>
      <c r="F385" s="275"/>
      <c r="G385" s="106"/>
      <c r="H385" s="154"/>
      <c r="I385" s="102"/>
      <c r="J385" s="103"/>
      <c r="K385" s="103"/>
      <c r="L385" s="102"/>
      <c r="M385" s="190"/>
      <c r="N385" s="190"/>
      <c r="O385" s="103"/>
      <c r="P385" s="102"/>
      <c r="Q385" s="103"/>
      <c r="R385" s="102"/>
      <c r="S385" s="191">
        <f>S386</f>
        <v>0</v>
      </c>
      <c r="T385" s="191">
        <f t="shared" ref="T385:AF385" si="168">T386</f>
        <v>0</v>
      </c>
      <c r="U385" s="191">
        <f t="shared" si="168"/>
        <v>0</v>
      </c>
      <c r="V385" s="191">
        <f t="shared" si="168"/>
        <v>0</v>
      </c>
      <c r="W385" s="191">
        <f t="shared" si="168"/>
        <v>0</v>
      </c>
      <c r="X385" s="191">
        <f t="shared" si="168"/>
        <v>0</v>
      </c>
      <c r="Y385" s="191">
        <f t="shared" si="168"/>
        <v>0</v>
      </c>
      <c r="Z385" s="191">
        <f t="shared" si="168"/>
        <v>0</v>
      </c>
      <c r="AA385" s="191">
        <f t="shared" si="168"/>
        <v>0</v>
      </c>
      <c r="AB385" s="191">
        <f t="shared" si="168"/>
        <v>0</v>
      </c>
      <c r="AC385" s="191">
        <f t="shared" si="168"/>
        <v>0</v>
      </c>
      <c r="AD385" s="191">
        <f t="shared" si="168"/>
        <v>218280000</v>
      </c>
      <c r="AE385" s="191">
        <f t="shared" si="168"/>
        <v>0</v>
      </c>
      <c r="AF385" s="191">
        <f t="shared" si="168"/>
        <v>218280000</v>
      </c>
    </row>
    <row r="386" spans="1:38" s="115" customFormat="1" ht="82.5" customHeight="1" x14ac:dyDescent="0.2">
      <c r="A386" s="367"/>
      <c r="B386" s="444"/>
      <c r="C386" s="289"/>
      <c r="D386" s="290"/>
      <c r="E386" s="282">
        <v>2402</v>
      </c>
      <c r="F386" s="7" t="s">
        <v>1419</v>
      </c>
      <c r="G386" s="160" t="s">
        <v>198</v>
      </c>
      <c r="H386" s="135" t="s">
        <v>47</v>
      </c>
      <c r="I386" s="273" t="s">
        <v>199</v>
      </c>
      <c r="J386" s="272" t="s">
        <v>200</v>
      </c>
      <c r="K386" s="272" t="s">
        <v>47</v>
      </c>
      <c r="L386" s="273" t="s">
        <v>1447</v>
      </c>
      <c r="M386" s="272" t="s">
        <v>53</v>
      </c>
      <c r="N386" s="272">
        <v>130</v>
      </c>
      <c r="O386" s="272">
        <v>130</v>
      </c>
      <c r="P386" s="335" t="s">
        <v>201</v>
      </c>
      <c r="Q386" s="272" t="s">
        <v>1261</v>
      </c>
      <c r="R386" s="328" t="s">
        <v>1418</v>
      </c>
      <c r="S386" s="3"/>
      <c r="T386" s="3"/>
      <c r="U386" s="21"/>
      <c r="V386" s="3"/>
      <c r="W386" s="3"/>
      <c r="X386" s="3"/>
      <c r="Y386" s="3"/>
      <c r="Z386" s="3"/>
      <c r="AA386" s="3"/>
      <c r="AB386" s="3"/>
      <c r="AC386" s="21"/>
      <c r="AD386" s="329">
        <v>218280000</v>
      </c>
      <c r="AE386" s="3"/>
      <c r="AF386" s="109">
        <f>+S386+T386+U386+V386+W386+X386+Y386+Z386+AA386+AB386+AC386+AD386+AE386</f>
        <v>218280000</v>
      </c>
    </row>
    <row r="387" spans="1:38" s="115" customFormat="1" ht="15.75" customHeight="1" x14ac:dyDescent="0.2">
      <c r="A387" s="367"/>
      <c r="B387" s="388"/>
      <c r="C387" s="131">
        <v>33</v>
      </c>
      <c r="D387" s="131">
        <v>4001</v>
      </c>
      <c r="E387" s="275" t="s">
        <v>214</v>
      </c>
      <c r="F387" s="275"/>
      <c r="G387" s="106"/>
      <c r="H387" s="154"/>
      <c r="I387" s="102"/>
      <c r="J387" s="103"/>
      <c r="K387" s="103"/>
      <c r="L387" s="102"/>
      <c r="M387" s="190"/>
      <c r="N387" s="190"/>
      <c r="O387" s="103"/>
      <c r="P387" s="102"/>
      <c r="Q387" s="103"/>
      <c r="R387" s="102"/>
      <c r="S387" s="191">
        <f t="shared" ref="S387:AE387" si="169">SUM(S388:S391)</f>
        <v>372569444</v>
      </c>
      <c r="T387" s="191">
        <f t="shared" si="169"/>
        <v>0</v>
      </c>
      <c r="U387" s="191">
        <f t="shared" si="169"/>
        <v>0</v>
      </c>
      <c r="V387" s="191">
        <f t="shared" si="169"/>
        <v>0</v>
      </c>
      <c r="W387" s="191">
        <f t="shared" si="169"/>
        <v>0</v>
      </c>
      <c r="X387" s="191">
        <f t="shared" si="169"/>
        <v>0</v>
      </c>
      <c r="Y387" s="191">
        <f t="shared" si="169"/>
        <v>0</v>
      </c>
      <c r="Z387" s="191">
        <f t="shared" si="169"/>
        <v>0</v>
      </c>
      <c r="AA387" s="191">
        <f t="shared" si="169"/>
        <v>0</v>
      </c>
      <c r="AB387" s="191">
        <f t="shared" si="169"/>
        <v>0</v>
      </c>
      <c r="AC387" s="191">
        <f t="shared" si="169"/>
        <v>0</v>
      </c>
      <c r="AD387" s="191">
        <f t="shared" si="169"/>
        <v>189176000</v>
      </c>
      <c r="AE387" s="191">
        <f t="shared" si="169"/>
        <v>0</v>
      </c>
      <c r="AF387" s="191">
        <f>SUM(AF388:AF391)</f>
        <v>561745444</v>
      </c>
    </row>
    <row r="388" spans="1:38" s="115" customFormat="1" ht="58.5" customHeight="1" x14ac:dyDescent="0.2">
      <c r="A388" s="367"/>
      <c r="B388" s="445"/>
      <c r="C388" s="447"/>
      <c r="D388" s="290"/>
      <c r="E388" s="282">
        <v>4001</v>
      </c>
      <c r="F388" s="273" t="s">
        <v>1380</v>
      </c>
      <c r="G388" s="251" t="s">
        <v>1263</v>
      </c>
      <c r="H388" s="192">
        <v>4001001</v>
      </c>
      <c r="I388" s="273" t="s">
        <v>1264</v>
      </c>
      <c r="J388" s="218" t="s">
        <v>1265</v>
      </c>
      <c r="K388" s="218" t="s">
        <v>1266</v>
      </c>
      <c r="L388" s="224" t="s">
        <v>1267</v>
      </c>
      <c r="M388" s="272" t="s">
        <v>1354</v>
      </c>
      <c r="N388" s="272">
        <v>12</v>
      </c>
      <c r="O388" s="279">
        <v>3</v>
      </c>
      <c r="P388" s="440" t="s">
        <v>1268</v>
      </c>
      <c r="Q388" s="441" t="s">
        <v>1261</v>
      </c>
      <c r="R388" s="439" t="s">
        <v>1418</v>
      </c>
      <c r="S388" s="134"/>
      <c r="T388" s="3"/>
      <c r="U388" s="3"/>
      <c r="V388" s="3"/>
      <c r="W388" s="3"/>
      <c r="X388" s="3"/>
      <c r="Y388" s="3"/>
      <c r="Z388" s="3"/>
      <c r="AA388" s="3"/>
      <c r="AB388" s="3"/>
      <c r="AC388" s="21"/>
      <c r="AD388" s="294">
        <v>89176000</v>
      </c>
      <c r="AE388" s="6"/>
      <c r="AF388" s="109">
        <f>+S388+T388+U388+V388+W388+X388+Y388+Z388+AA388+AB388+AC388+AD388+AE388</f>
        <v>89176000</v>
      </c>
    </row>
    <row r="389" spans="1:38" s="115" customFormat="1" ht="58.5" customHeight="1" x14ac:dyDescent="0.2">
      <c r="A389" s="367"/>
      <c r="B389" s="445"/>
      <c r="C389" s="447"/>
      <c r="D389" s="290"/>
      <c r="E389" s="282">
        <v>4001</v>
      </c>
      <c r="F389" s="273" t="s">
        <v>1420</v>
      </c>
      <c r="G389" s="251" t="s">
        <v>1269</v>
      </c>
      <c r="H389" s="192">
        <v>4001017</v>
      </c>
      <c r="I389" s="273" t="s">
        <v>1421</v>
      </c>
      <c r="J389" s="218" t="s">
        <v>1270</v>
      </c>
      <c r="K389" s="218" t="s">
        <v>1271</v>
      </c>
      <c r="L389" s="224" t="s">
        <v>1272</v>
      </c>
      <c r="M389" s="272" t="s">
        <v>143</v>
      </c>
      <c r="N389" s="272">
        <v>100</v>
      </c>
      <c r="O389" s="279">
        <v>25</v>
      </c>
      <c r="P389" s="440"/>
      <c r="Q389" s="441"/>
      <c r="R389" s="439"/>
      <c r="S389" s="134"/>
      <c r="T389" s="3"/>
      <c r="U389" s="3"/>
      <c r="V389" s="3"/>
      <c r="W389" s="3"/>
      <c r="X389" s="3"/>
      <c r="Y389" s="3"/>
      <c r="Z389" s="3"/>
      <c r="AA389" s="3"/>
      <c r="AB389" s="3"/>
      <c r="AC389" s="21"/>
      <c r="AD389" s="294">
        <v>100000000</v>
      </c>
      <c r="AE389" s="6"/>
      <c r="AF389" s="109">
        <f>+S389+T389+U389+V389+W389+X389+Y389+Z389+AA389+AB389+AC389+AD389+AE389</f>
        <v>100000000</v>
      </c>
    </row>
    <row r="390" spans="1:38" s="115" customFormat="1" ht="58.5" customHeight="1" x14ac:dyDescent="0.2">
      <c r="A390" s="367"/>
      <c r="B390" s="445"/>
      <c r="C390" s="447"/>
      <c r="D390" s="290"/>
      <c r="E390" s="282">
        <v>4001</v>
      </c>
      <c r="F390" s="273" t="s">
        <v>1380</v>
      </c>
      <c r="G390" s="251" t="s">
        <v>1273</v>
      </c>
      <c r="H390" s="192">
        <v>4001018</v>
      </c>
      <c r="I390" s="273" t="s">
        <v>1274</v>
      </c>
      <c r="J390" s="218" t="s">
        <v>1275</v>
      </c>
      <c r="K390" s="218" t="s">
        <v>1276</v>
      </c>
      <c r="L390" s="224" t="s">
        <v>1277</v>
      </c>
      <c r="M390" s="272" t="s">
        <v>143</v>
      </c>
      <c r="N390" s="272">
        <v>300</v>
      </c>
      <c r="O390" s="279">
        <v>75</v>
      </c>
      <c r="P390" s="440"/>
      <c r="Q390" s="441"/>
      <c r="R390" s="439"/>
      <c r="S390" s="134">
        <v>172569444</v>
      </c>
      <c r="T390" s="3"/>
      <c r="U390" s="3"/>
      <c r="V390" s="3"/>
      <c r="W390" s="3"/>
      <c r="X390" s="3"/>
      <c r="Y390" s="3"/>
      <c r="Z390" s="3"/>
      <c r="AA390" s="3"/>
      <c r="AB390" s="3"/>
      <c r="AC390" s="21"/>
      <c r="AD390" s="294"/>
      <c r="AE390" s="6"/>
      <c r="AF390" s="109">
        <f>+S390+T390+U390+V390+W390+X390+Y390+Z390+AA390+AB390+AC390+AD390+AE390</f>
        <v>172569444</v>
      </c>
    </row>
    <row r="391" spans="1:38" s="115" customFormat="1" ht="43.5" customHeight="1" x14ac:dyDescent="0.2">
      <c r="A391" s="367"/>
      <c r="B391" s="446"/>
      <c r="C391" s="447"/>
      <c r="D391" s="290"/>
      <c r="E391" s="282">
        <v>4001</v>
      </c>
      <c r="F391" s="273" t="s">
        <v>1380</v>
      </c>
      <c r="G391" s="251" t="s">
        <v>1278</v>
      </c>
      <c r="H391" s="192">
        <v>4001030</v>
      </c>
      <c r="I391" s="273" t="s">
        <v>1279</v>
      </c>
      <c r="J391" s="218" t="s">
        <v>1280</v>
      </c>
      <c r="K391" s="218" t="s">
        <v>1281</v>
      </c>
      <c r="L391" s="224" t="s">
        <v>244</v>
      </c>
      <c r="M391" s="272" t="s">
        <v>1354</v>
      </c>
      <c r="N391" s="272">
        <v>12</v>
      </c>
      <c r="O391" s="279">
        <v>3</v>
      </c>
      <c r="P391" s="440"/>
      <c r="Q391" s="441"/>
      <c r="R391" s="439"/>
      <c r="S391" s="134">
        <v>200000000</v>
      </c>
      <c r="T391" s="3"/>
      <c r="U391" s="3"/>
      <c r="V391" s="3"/>
      <c r="W391" s="3"/>
      <c r="X391" s="3"/>
      <c r="Y391" s="3"/>
      <c r="Z391" s="3"/>
      <c r="AA391" s="3"/>
      <c r="AB391" s="3"/>
      <c r="AC391" s="278"/>
      <c r="AD391" s="294"/>
      <c r="AE391" s="6"/>
      <c r="AF391" s="109">
        <f>+S391+T391+U391+V391+W391+X391+Y391+Z391+AA391+AB391+AC391+AD391+AE391</f>
        <v>200000000</v>
      </c>
    </row>
    <row r="392" spans="1:38" s="115" customFormat="1" ht="15.75" customHeight="1" x14ac:dyDescent="0.2">
      <c r="A392" s="367"/>
      <c r="B392" s="193">
        <v>4</v>
      </c>
      <c r="C392" s="95" t="s">
        <v>72</v>
      </c>
      <c r="D392" s="95"/>
      <c r="E392" s="95"/>
      <c r="F392" s="95"/>
      <c r="G392" s="96"/>
      <c r="H392" s="326"/>
      <c r="I392" s="97"/>
      <c r="J392" s="98"/>
      <c r="K392" s="98"/>
      <c r="L392" s="97"/>
      <c r="M392" s="327"/>
      <c r="N392" s="327"/>
      <c r="O392" s="98"/>
      <c r="P392" s="97"/>
      <c r="Q392" s="98"/>
      <c r="R392" s="97"/>
      <c r="S392" s="187">
        <f>S393</f>
        <v>0</v>
      </c>
      <c r="T392" s="187">
        <f t="shared" ref="T392:AF393" si="170">T393</f>
        <v>0</v>
      </c>
      <c r="U392" s="187">
        <f t="shared" si="170"/>
        <v>0</v>
      </c>
      <c r="V392" s="187">
        <f t="shared" si="170"/>
        <v>0</v>
      </c>
      <c r="W392" s="187">
        <f t="shared" si="170"/>
        <v>0</v>
      </c>
      <c r="X392" s="187">
        <f t="shared" si="170"/>
        <v>0</v>
      </c>
      <c r="Y392" s="187">
        <f t="shared" si="170"/>
        <v>0</v>
      </c>
      <c r="Z392" s="187">
        <f t="shared" si="170"/>
        <v>0</v>
      </c>
      <c r="AA392" s="187">
        <f t="shared" si="170"/>
        <v>0</v>
      </c>
      <c r="AB392" s="187">
        <f t="shared" si="170"/>
        <v>0</v>
      </c>
      <c r="AC392" s="187">
        <f t="shared" si="170"/>
        <v>0</v>
      </c>
      <c r="AD392" s="187">
        <f t="shared" si="170"/>
        <v>189176000</v>
      </c>
      <c r="AE392" s="187">
        <f t="shared" si="170"/>
        <v>0</v>
      </c>
      <c r="AF392" s="187">
        <f t="shared" si="170"/>
        <v>189176000</v>
      </c>
    </row>
    <row r="393" spans="1:38" s="115" customFormat="1" ht="15.75" customHeight="1" x14ac:dyDescent="0.2">
      <c r="A393" s="367"/>
      <c r="B393" s="389"/>
      <c r="C393" s="131">
        <v>45</v>
      </c>
      <c r="D393" s="103" t="s">
        <v>47</v>
      </c>
      <c r="E393" s="275" t="s">
        <v>48</v>
      </c>
      <c r="F393" s="275"/>
      <c r="G393" s="106"/>
      <c r="H393" s="154"/>
      <c r="I393" s="102"/>
      <c r="J393" s="103"/>
      <c r="K393" s="103"/>
      <c r="L393" s="102"/>
      <c r="M393" s="190"/>
      <c r="N393" s="190"/>
      <c r="O393" s="103"/>
      <c r="P393" s="102"/>
      <c r="Q393" s="103"/>
      <c r="R393" s="102"/>
      <c r="S393" s="191">
        <f>S394</f>
        <v>0</v>
      </c>
      <c r="T393" s="191">
        <f t="shared" si="170"/>
        <v>0</v>
      </c>
      <c r="U393" s="191">
        <f t="shared" si="170"/>
        <v>0</v>
      </c>
      <c r="V393" s="191">
        <f t="shared" si="170"/>
        <v>0</v>
      </c>
      <c r="W393" s="191">
        <f t="shared" si="170"/>
        <v>0</v>
      </c>
      <c r="X393" s="191">
        <f t="shared" si="170"/>
        <v>0</v>
      </c>
      <c r="Y393" s="191">
        <f t="shared" si="170"/>
        <v>0</v>
      </c>
      <c r="Z393" s="191">
        <f t="shared" si="170"/>
        <v>0</v>
      </c>
      <c r="AA393" s="191">
        <f t="shared" si="170"/>
        <v>0</v>
      </c>
      <c r="AB393" s="191">
        <f t="shared" si="170"/>
        <v>0</v>
      </c>
      <c r="AC393" s="191">
        <f t="shared" si="170"/>
        <v>0</v>
      </c>
      <c r="AD393" s="191">
        <f t="shared" si="170"/>
        <v>189176000</v>
      </c>
      <c r="AE393" s="191">
        <f t="shared" si="170"/>
        <v>0</v>
      </c>
      <c r="AF393" s="191">
        <f t="shared" si="170"/>
        <v>189176000</v>
      </c>
    </row>
    <row r="394" spans="1:38" s="115" customFormat="1" ht="112.5" customHeight="1" x14ac:dyDescent="0.2">
      <c r="A394" s="385"/>
      <c r="B394" s="356"/>
      <c r="C394" s="289"/>
      <c r="D394" s="290"/>
      <c r="E394" s="282" t="s">
        <v>47</v>
      </c>
      <c r="F394" s="274" t="s">
        <v>49</v>
      </c>
      <c r="G394" s="334" t="s">
        <v>245</v>
      </c>
      <c r="H394" s="135" t="s">
        <v>47</v>
      </c>
      <c r="I394" s="10" t="s">
        <v>1422</v>
      </c>
      <c r="J394" s="299" t="s">
        <v>247</v>
      </c>
      <c r="K394" s="299" t="s">
        <v>47</v>
      </c>
      <c r="L394" s="10" t="s">
        <v>248</v>
      </c>
      <c r="M394" s="272" t="s">
        <v>53</v>
      </c>
      <c r="N394" s="272">
        <v>4</v>
      </c>
      <c r="O394" s="135">
        <v>4</v>
      </c>
      <c r="P394" s="337" t="s">
        <v>54</v>
      </c>
      <c r="Q394" s="272" t="s">
        <v>1261</v>
      </c>
      <c r="R394" s="328" t="s">
        <v>1418</v>
      </c>
      <c r="S394" s="134"/>
      <c r="T394" s="3"/>
      <c r="U394" s="3"/>
      <c r="V394" s="3"/>
      <c r="W394" s="3"/>
      <c r="X394" s="3"/>
      <c r="Y394" s="3"/>
      <c r="Z394" s="3"/>
      <c r="AA394" s="3"/>
      <c r="AB394" s="3"/>
      <c r="AC394" s="21"/>
      <c r="AD394" s="294">
        <f>218280000-29104000</f>
        <v>189176000</v>
      </c>
      <c r="AE394" s="6"/>
      <c r="AF394" s="109">
        <f>+S394+T394+U394+V394+W394+X394+Y394+Z394+AA394+AB394+AC394+AD394+AE394</f>
        <v>189176000</v>
      </c>
    </row>
    <row r="395" spans="1:38" s="176" customFormat="1" ht="15.75" x14ac:dyDescent="0.2">
      <c r="A395" s="357"/>
      <c r="B395" s="358"/>
      <c r="C395" s="358"/>
      <c r="D395" s="359"/>
      <c r="E395" s="360"/>
      <c r="F395" s="360"/>
      <c r="G395" s="361"/>
      <c r="H395" s="361"/>
      <c r="I395" s="362"/>
      <c r="J395" s="363"/>
      <c r="K395" s="363"/>
      <c r="L395" s="362"/>
      <c r="M395" s="361"/>
      <c r="N395" s="361"/>
      <c r="O395" s="363"/>
      <c r="P395" s="361"/>
      <c r="Q395" s="361"/>
      <c r="R395" s="362"/>
      <c r="S395" s="364"/>
      <c r="T395" s="364"/>
      <c r="U395" s="364"/>
      <c r="V395" s="364"/>
      <c r="W395" s="364"/>
      <c r="X395" s="364"/>
      <c r="Y395" s="364"/>
      <c r="Z395" s="364"/>
      <c r="AA395" s="364"/>
      <c r="AB395" s="364"/>
      <c r="AC395" s="365"/>
      <c r="AD395" s="364"/>
      <c r="AE395" s="364"/>
      <c r="AF395" s="434"/>
    </row>
    <row r="396" spans="1:38" ht="15.75" x14ac:dyDescent="0.2">
      <c r="A396" s="145" t="s">
        <v>1282</v>
      </c>
      <c r="B396" s="145"/>
      <c r="C396" s="145"/>
      <c r="D396" s="146"/>
      <c r="E396" s="146"/>
      <c r="F396" s="147"/>
      <c r="G396" s="148"/>
      <c r="H396" s="92"/>
      <c r="I396" s="147"/>
      <c r="J396" s="148"/>
      <c r="K396" s="148"/>
      <c r="L396" s="147"/>
      <c r="M396" s="92"/>
      <c r="N396" s="92"/>
      <c r="O396" s="148"/>
      <c r="P396" s="339"/>
      <c r="Q396" s="148"/>
      <c r="R396" s="147"/>
      <c r="S396" s="124">
        <f t="shared" ref="S396:AE397" si="171">S397</f>
        <v>0</v>
      </c>
      <c r="T396" s="124">
        <f t="shared" si="171"/>
        <v>0</v>
      </c>
      <c r="U396" s="124">
        <f t="shared" si="171"/>
        <v>0</v>
      </c>
      <c r="V396" s="124">
        <f t="shared" si="171"/>
        <v>0</v>
      </c>
      <c r="W396" s="124">
        <f t="shared" si="171"/>
        <v>0</v>
      </c>
      <c r="X396" s="124">
        <f t="shared" si="171"/>
        <v>0</v>
      </c>
      <c r="Y396" s="124">
        <f t="shared" si="171"/>
        <v>0</v>
      </c>
      <c r="Z396" s="124">
        <f t="shared" si="171"/>
        <v>0</v>
      </c>
      <c r="AA396" s="124">
        <f t="shared" si="171"/>
        <v>0</v>
      </c>
      <c r="AB396" s="124">
        <f t="shared" si="171"/>
        <v>0</v>
      </c>
      <c r="AC396" s="124">
        <f t="shared" si="171"/>
        <v>0</v>
      </c>
      <c r="AD396" s="124">
        <f t="shared" si="171"/>
        <v>107000000</v>
      </c>
      <c r="AE396" s="124">
        <f t="shared" si="171"/>
        <v>0</v>
      </c>
      <c r="AF396" s="124">
        <f t="shared" ref="AF396:AF397" si="172">AF397</f>
        <v>107000000</v>
      </c>
      <c r="AG396" s="401"/>
      <c r="AH396" s="401"/>
      <c r="AI396" s="401"/>
      <c r="AJ396" s="401"/>
      <c r="AK396" s="401"/>
      <c r="AL396" s="401"/>
    </row>
    <row r="397" spans="1:38" ht="15.75" x14ac:dyDescent="0.2">
      <c r="A397" s="366"/>
      <c r="B397" s="193">
        <v>3</v>
      </c>
      <c r="C397" s="95" t="s">
        <v>1283</v>
      </c>
      <c r="D397" s="96"/>
      <c r="E397" s="96"/>
      <c r="F397" s="97"/>
      <c r="G397" s="98"/>
      <c r="H397" s="326"/>
      <c r="I397" s="97"/>
      <c r="J397" s="98"/>
      <c r="K397" s="98"/>
      <c r="L397" s="97"/>
      <c r="M397" s="327"/>
      <c r="N397" s="327"/>
      <c r="O397" s="98"/>
      <c r="P397" s="97"/>
      <c r="Q397" s="98"/>
      <c r="R397" s="97"/>
      <c r="S397" s="187">
        <f t="shared" si="171"/>
        <v>0</v>
      </c>
      <c r="T397" s="187">
        <f t="shared" si="171"/>
        <v>0</v>
      </c>
      <c r="U397" s="187">
        <f t="shared" si="171"/>
        <v>0</v>
      </c>
      <c r="V397" s="187">
        <f t="shared" si="171"/>
        <v>0</v>
      </c>
      <c r="W397" s="187">
        <f t="shared" si="171"/>
        <v>0</v>
      </c>
      <c r="X397" s="187">
        <f t="shared" si="171"/>
        <v>0</v>
      </c>
      <c r="Y397" s="187">
        <f t="shared" si="171"/>
        <v>0</v>
      </c>
      <c r="Z397" s="187">
        <f t="shared" si="171"/>
        <v>0</v>
      </c>
      <c r="AA397" s="187">
        <f t="shared" si="171"/>
        <v>0</v>
      </c>
      <c r="AB397" s="187">
        <f t="shared" si="171"/>
        <v>0</v>
      </c>
      <c r="AC397" s="187">
        <f t="shared" si="171"/>
        <v>0</v>
      </c>
      <c r="AD397" s="187">
        <f t="shared" si="171"/>
        <v>107000000</v>
      </c>
      <c r="AE397" s="187">
        <f t="shared" si="171"/>
        <v>0</v>
      </c>
      <c r="AF397" s="187">
        <f t="shared" si="172"/>
        <v>107000000</v>
      </c>
    </row>
    <row r="398" spans="1:38" ht="15.75" x14ac:dyDescent="0.2">
      <c r="A398" s="352"/>
      <c r="B398" s="354"/>
      <c r="C398" s="131">
        <v>19</v>
      </c>
      <c r="D398" s="131">
        <v>2409</v>
      </c>
      <c r="E398" s="275" t="s">
        <v>1284</v>
      </c>
      <c r="F398" s="102"/>
      <c r="G398" s="103"/>
      <c r="H398" s="104"/>
      <c r="I398" s="102"/>
      <c r="J398" s="103"/>
      <c r="K398" s="103"/>
      <c r="L398" s="102"/>
      <c r="M398" s="190"/>
      <c r="N398" s="190"/>
      <c r="O398" s="103"/>
      <c r="P398" s="102"/>
      <c r="Q398" s="103"/>
      <c r="R398" s="102"/>
      <c r="S398" s="191">
        <f t="shared" ref="S398:AE398" si="173">SUM(S399:S402)</f>
        <v>0</v>
      </c>
      <c r="T398" s="191">
        <f t="shared" si="173"/>
        <v>0</v>
      </c>
      <c r="U398" s="191">
        <f t="shared" si="173"/>
        <v>0</v>
      </c>
      <c r="V398" s="191">
        <f t="shared" si="173"/>
        <v>0</v>
      </c>
      <c r="W398" s="191">
        <f t="shared" si="173"/>
        <v>0</v>
      </c>
      <c r="X398" s="191">
        <f t="shared" si="173"/>
        <v>0</v>
      </c>
      <c r="Y398" s="191">
        <f t="shared" si="173"/>
        <v>0</v>
      </c>
      <c r="Z398" s="191">
        <f t="shared" si="173"/>
        <v>0</v>
      </c>
      <c r="AA398" s="191">
        <f t="shared" si="173"/>
        <v>0</v>
      </c>
      <c r="AB398" s="191">
        <f t="shared" si="173"/>
        <v>0</v>
      </c>
      <c r="AC398" s="191">
        <f t="shared" si="173"/>
        <v>0</v>
      </c>
      <c r="AD398" s="191">
        <f t="shared" si="173"/>
        <v>107000000</v>
      </c>
      <c r="AE398" s="191">
        <f t="shared" si="173"/>
        <v>0</v>
      </c>
      <c r="AF398" s="191">
        <f>SUM(AF399:AF402)</f>
        <v>107000000</v>
      </c>
    </row>
    <row r="399" spans="1:38" ht="111" customHeight="1" x14ac:dyDescent="0.2">
      <c r="A399" s="352"/>
      <c r="B399" s="355"/>
      <c r="C399" s="90"/>
      <c r="D399" s="308"/>
      <c r="E399" s="272">
        <v>2409</v>
      </c>
      <c r="F399" s="273" t="s">
        <v>1463</v>
      </c>
      <c r="G399" s="238" t="s">
        <v>1285</v>
      </c>
      <c r="H399" s="272" t="s">
        <v>47</v>
      </c>
      <c r="I399" s="274" t="s">
        <v>1286</v>
      </c>
      <c r="J399" s="238" t="s">
        <v>1287</v>
      </c>
      <c r="K399" s="218" t="s">
        <v>47</v>
      </c>
      <c r="L399" s="226" t="s">
        <v>1288</v>
      </c>
      <c r="M399" s="272" t="s">
        <v>53</v>
      </c>
      <c r="N399" s="272">
        <v>1</v>
      </c>
      <c r="O399" s="281">
        <v>1</v>
      </c>
      <c r="P399" s="440" t="s">
        <v>1289</v>
      </c>
      <c r="Q399" s="441" t="s">
        <v>1290</v>
      </c>
      <c r="R399" s="442" t="s">
        <v>1291</v>
      </c>
      <c r="S399" s="3"/>
      <c r="T399" s="3"/>
      <c r="U399" s="3"/>
      <c r="V399" s="3"/>
      <c r="W399" s="3"/>
      <c r="X399" s="3"/>
      <c r="Y399" s="3"/>
      <c r="Z399" s="3"/>
      <c r="AA399" s="3"/>
      <c r="AB399" s="3"/>
      <c r="AC399" s="21"/>
      <c r="AD399" s="21">
        <v>26400000</v>
      </c>
      <c r="AE399" s="3"/>
      <c r="AF399" s="109">
        <f>+S399+T399+U399+V399+W399+X399+Y399+Z399+AA399+AB399+AC399+AD399+AE399</f>
        <v>26400000</v>
      </c>
    </row>
    <row r="400" spans="1:38" ht="105" customHeight="1" x14ac:dyDescent="0.2">
      <c r="A400" s="352"/>
      <c r="B400" s="355"/>
      <c r="C400" s="90"/>
      <c r="D400" s="308"/>
      <c r="E400" s="272">
        <v>2409</v>
      </c>
      <c r="F400" s="273" t="s">
        <v>1463</v>
      </c>
      <c r="G400" s="238" t="s">
        <v>1292</v>
      </c>
      <c r="H400" s="272" t="s">
        <v>47</v>
      </c>
      <c r="I400" s="274" t="s">
        <v>1293</v>
      </c>
      <c r="J400" s="238" t="s">
        <v>1294</v>
      </c>
      <c r="K400" s="218" t="s">
        <v>47</v>
      </c>
      <c r="L400" s="226" t="s">
        <v>1295</v>
      </c>
      <c r="M400" s="272" t="s">
        <v>53</v>
      </c>
      <c r="N400" s="272">
        <v>1</v>
      </c>
      <c r="O400" s="281">
        <v>1</v>
      </c>
      <c r="P400" s="440"/>
      <c r="Q400" s="441"/>
      <c r="R400" s="442"/>
      <c r="S400" s="3"/>
      <c r="T400" s="12"/>
      <c r="U400" s="12"/>
      <c r="V400" s="12"/>
      <c r="W400" s="12"/>
      <c r="X400" s="12"/>
      <c r="Y400" s="12"/>
      <c r="Z400" s="12"/>
      <c r="AA400" s="12"/>
      <c r="AB400" s="12"/>
      <c r="AC400" s="330"/>
      <c r="AD400" s="330">
        <v>8400000</v>
      </c>
      <c r="AE400" s="12"/>
      <c r="AF400" s="109">
        <f>+S400+T400+U400+V400+W400+X400+Y400+Z400+AA400+AB400+AC400+AD400+AE400</f>
        <v>8400000</v>
      </c>
    </row>
    <row r="401" spans="1:32" ht="60" x14ac:dyDescent="0.2">
      <c r="A401" s="352"/>
      <c r="B401" s="355"/>
      <c r="C401" s="90"/>
      <c r="D401" s="308"/>
      <c r="E401" s="272">
        <v>2409</v>
      </c>
      <c r="F401" s="273" t="s">
        <v>1463</v>
      </c>
      <c r="G401" s="238" t="s">
        <v>1296</v>
      </c>
      <c r="H401" s="272" t="s">
        <v>47</v>
      </c>
      <c r="I401" s="274" t="s">
        <v>1297</v>
      </c>
      <c r="J401" s="238" t="s">
        <v>1298</v>
      </c>
      <c r="K401" s="218" t="s">
        <v>47</v>
      </c>
      <c r="L401" s="226" t="s">
        <v>1299</v>
      </c>
      <c r="M401" s="272" t="s">
        <v>53</v>
      </c>
      <c r="N401" s="272">
        <v>1</v>
      </c>
      <c r="O401" s="281">
        <v>1</v>
      </c>
      <c r="P401" s="440"/>
      <c r="Q401" s="441"/>
      <c r="R401" s="442"/>
      <c r="S401" s="3"/>
      <c r="T401" s="12"/>
      <c r="U401" s="12"/>
      <c r="V401" s="12"/>
      <c r="W401" s="12"/>
      <c r="X401" s="12"/>
      <c r="Y401" s="12"/>
      <c r="Z401" s="12"/>
      <c r="AA401" s="12"/>
      <c r="AB401" s="12"/>
      <c r="AC401" s="330"/>
      <c r="AD401" s="330">
        <v>25200000</v>
      </c>
      <c r="AE401" s="12"/>
      <c r="AF401" s="109">
        <f>+S401+T401+U401+V401+W401+X401+Y401+Z401+AA401+AB401+AC401+AD401+AE401</f>
        <v>25200000</v>
      </c>
    </row>
    <row r="402" spans="1:32" ht="84.75" customHeight="1" x14ac:dyDescent="0.2">
      <c r="A402" s="353"/>
      <c r="B402" s="356"/>
      <c r="C402" s="90"/>
      <c r="D402" s="308"/>
      <c r="E402" s="272">
        <v>2409</v>
      </c>
      <c r="F402" s="273" t="s">
        <v>1463</v>
      </c>
      <c r="G402" s="238" t="s">
        <v>1300</v>
      </c>
      <c r="H402" s="272" t="s">
        <v>47</v>
      </c>
      <c r="I402" s="274" t="s">
        <v>1301</v>
      </c>
      <c r="J402" s="238" t="s">
        <v>1302</v>
      </c>
      <c r="K402" s="218" t="s">
        <v>47</v>
      </c>
      <c r="L402" s="226" t="s">
        <v>1303</v>
      </c>
      <c r="M402" s="272" t="s">
        <v>53</v>
      </c>
      <c r="N402" s="272">
        <v>1</v>
      </c>
      <c r="O402" s="281">
        <v>1</v>
      </c>
      <c r="P402" s="440"/>
      <c r="Q402" s="441"/>
      <c r="R402" s="442"/>
      <c r="S402" s="12"/>
      <c r="T402" s="12"/>
      <c r="U402" s="12"/>
      <c r="V402" s="12"/>
      <c r="W402" s="12"/>
      <c r="X402" s="12"/>
      <c r="Y402" s="12"/>
      <c r="Z402" s="12"/>
      <c r="AA402" s="12"/>
      <c r="AB402" s="12"/>
      <c r="AC402" s="330"/>
      <c r="AD402" s="330">
        <v>47000000</v>
      </c>
      <c r="AE402" s="12"/>
      <c r="AF402" s="109">
        <f>+S402+T402+U402+V402+W402+X402+Y402+Z402+AA402+AB402+AC402+AD402+AE402</f>
        <v>47000000</v>
      </c>
    </row>
    <row r="403" spans="1:32" s="395" customFormat="1" ht="15.75" x14ac:dyDescent="0.25">
      <c r="A403" s="390" t="s">
        <v>1304</v>
      </c>
      <c r="B403" s="390"/>
      <c r="C403" s="390"/>
      <c r="D403" s="391"/>
      <c r="E403" s="392"/>
      <c r="F403" s="393"/>
      <c r="G403" s="271"/>
      <c r="H403" s="392"/>
      <c r="I403" s="393"/>
      <c r="J403" s="271"/>
      <c r="K403" s="271"/>
      <c r="L403" s="393"/>
      <c r="M403" s="392"/>
      <c r="N403" s="392"/>
      <c r="O403" s="271"/>
      <c r="P403" s="392"/>
      <c r="Q403" s="394"/>
      <c r="R403" s="393"/>
      <c r="S403" s="398">
        <f t="shared" ref="S403" si="174">+S396+S378+S358</f>
        <v>1117710104</v>
      </c>
      <c r="T403" s="398">
        <f t="shared" ref="T403:AF403" si="175">+T396+T378+T358</f>
        <v>0</v>
      </c>
      <c r="U403" s="398">
        <f t="shared" si="175"/>
        <v>0</v>
      </c>
      <c r="V403" s="398">
        <f t="shared" si="175"/>
        <v>0</v>
      </c>
      <c r="W403" s="398">
        <f t="shared" si="175"/>
        <v>0</v>
      </c>
      <c r="X403" s="398">
        <f t="shared" si="175"/>
        <v>0</v>
      </c>
      <c r="Y403" s="398">
        <f t="shared" si="175"/>
        <v>0</v>
      </c>
      <c r="Z403" s="398">
        <f t="shared" si="175"/>
        <v>0</v>
      </c>
      <c r="AA403" s="398">
        <f t="shared" si="175"/>
        <v>0</v>
      </c>
      <c r="AB403" s="398">
        <f t="shared" si="175"/>
        <v>0</v>
      </c>
      <c r="AC403" s="398">
        <f t="shared" si="175"/>
        <v>759313093.42000008</v>
      </c>
      <c r="AD403" s="398">
        <f t="shared" si="175"/>
        <v>4474984217.3600006</v>
      </c>
      <c r="AE403" s="398">
        <f t="shared" si="175"/>
        <v>0</v>
      </c>
      <c r="AF403" s="398">
        <f t="shared" si="175"/>
        <v>6352007414.7799997</v>
      </c>
    </row>
    <row r="404" spans="1:32" s="138" customFormat="1" ht="15.75" x14ac:dyDescent="0.25">
      <c r="A404" s="466" t="s">
        <v>1305</v>
      </c>
      <c r="B404" s="466"/>
      <c r="C404" s="466"/>
      <c r="D404" s="466"/>
      <c r="E404" s="466"/>
      <c r="F404" s="345"/>
      <c r="G404" s="346"/>
      <c r="H404" s="396"/>
      <c r="I404" s="345"/>
      <c r="J404" s="346"/>
      <c r="K404" s="346"/>
      <c r="L404" s="345"/>
      <c r="M404" s="396"/>
      <c r="N404" s="396"/>
      <c r="O404" s="346"/>
      <c r="P404" s="396"/>
      <c r="Q404" s="397"/>
      <c r="R404" s="345"/>
      <c r="S404" s="399">
        <f t="shared" ref="S404" si="176">+S356+S403</f>
        <v>9491441231.0799999</v>
      </c>
      <c r="T404" s="399">
        <f t="shared" ref="T404:AF404" si="177">+T356+T403</f>
        <v>2192073558.0099998</v>
      </c>
      <c r="U404" s="399">
        <f t="shared" si="177"/>
        <v>184304077.94</v>
      </c>
      <c r="V404" s="399">
        <f t="shared" si="177"/>
        <v>2849173512.6999998</v>
      </c>
      <c r="W404" s="399">
        <f t="shared" si="177"/>
        <v>6648246009.5</v>
      </c>
      <c r="X404" s="399">
        <f t="shared" si="177"/>
        <v>27454768746.280003</v>
      </c>
      <c r="Y404" s="399">
        <f t="shared" si="177"/>
        <v>134989913515.46001</v>
      </c>
      <c r="Z404" s="399">
        <f t="shared" si="177"/>
        <v>23500000000</v>
      </c>
      <c r="AA404" s="399">
        <f t="shared" si="177"/>
        <v>13759826753.450001</v>
      </c>
      <c r="AB404" s="399">
        <f t="shared" si="177"/>
        <v>2686652877.1199999</v>
      </c>
      <c r="AC404" s="399">
        <f t="shared" si="177"/>
        <v>22264651692.770004</v>
      </c>
      <c r="AD404" s="399">
        <f t="shared" si="177"/>
        <v>5395360353.4700003</v>
      </c>
      <c r="AE404" s="399">
        <f t="shared" si="177"/>
        <v>2397768825.3000002</v>
      </c>
      <c r="AF404" s="399">
        <f t="shared" si="177"/>
        <v>253814181153.08002</v>
      </c>
    </row>
    <row r="406" spans="1:32" x14ac:dyDescent="0.2">
      <c r="AF406" s="194"/>
    </row>
    <row r="407" spans="1:32" x14ac:dyDescent="0.2">
      <c r="AF407" s="350"/>
    </row>
    <row r="408" spans="1:32" x14ac:dyDescent="0.2">
      <c r="AF408" s="400"/>
    </row>
  </sheetData>
  <sheetProtection password="A60F" sheet="1" objects="1" scenarios="1"/>
  <mergeCells count="189">
    <mergeCell ref="A404:E404"/>
    <mergeCell ref="P105:P106"/>
    <mergeCell ref="Q105:Q106"/>
    <mergeCell ref="P121:P122"/>
    <mergeCell ref="P24:P29"/>
    <mergeCell ref="Q24:Q29"/>
    <mergeCell ref="Q121:Q122"/>
    <mergeCell ref="P156:P158"/>
    <mergeCell ref="Q156:Q158"/>
    <mergeCell ref="P183:P184"/>
    <mergeCell ref="Q183:Q184"/>
    <mergeCell ref="F220:F221"/>
    <mergeCell ref="G220:G221"/>
    <mergeCell ref="H220:H221"/>
    <mergeCell ref="I220:I221"/>
    <mergeCell ref="Q220:Q221"/>
    <mergeCell ref="P251:P252"/>
    <mergeCell ref="Q251:Q252"/>
    <mergeCell ref="P285:P286"/>
    <mergeCell ref="Q285:Q286"/>
    <mergeCell ref="P301:P302"/>
    <mergeCell ref="Q301:Q302"/>
    <mergeCell ref="P315:P316"/>
    <mergeCell ref="Q315:Q316"/>
    <mergeCell ref="R24:R29"/>
    <mergeCell ref="P67:P71"/>
    <mergeCell ref="Q67:Q71"/>
    <mergeCell ref="R67:R71"/>
    <mergeCell ref="R121:R122"/>
    <mergeCell ref="P126:P127"/>
    <mergeCell ref="Q126:Q127"/>
    <mergeCell ref="R126:R127"/>
    <mergeCell ref="P112:P113"/>
    <mergeCell ref="Q112:Q113"/>
    <mergeCell ref="R112:R113"/>
    <mergeCell ref="P119:P120"/>
    <mergeCell ref="Q119:Q120"/>
    <mergeCell ref="R119:R120"/>
    <mergeCell ref="R105:R106"/>
    <mergeCell ref="P110:P111"/>
    <mergeCell ref="Q110:Q111"/>
    <mergeCell ref="R110:R111"/>
    <mergeCell ref="P89:P93"/>
    <mergeCell ref="Q89:Q93"/>
    <mergeCell ref="R89:R93"/>
    <mergeCell ref="P102:P103"/>
    <mergeCell ref="Q102:Q103"/>
    <mergeCell ref="R102:R103"/>
    <mergeCell ref="R136:R138"/>
    <mergeCell ref="C141:C144"/>
    <mergeCell ref="P141:P144"/>
    <mergeCell ref="Q141:Q144"/>
    <mergeCell ref="R141:R144"/>
    <mergeCell ref="P149:P150"/>
    <mergeCell ref="Q149:Q150"/>
    <mergeCell ref="R149:R150"/>
    <mergeCell ref="B131:B144"/>
    <mergeCell ref="P132:P133"/>
    <mergeCell ref="Q132:Q133"/>
    <mergeCell ref="R132:R133"/>
    <mergeCell ref="C134:C139"/>
    <mergeCell ref="P134:P135"/>
    <mergeCell ref="Q134:Q135"/>
    <mergeCell ref="R134:R135"/>
    <mergeCell ref="P136:P138"/>
    <mergeCell ref="Q136:Q138"/>
    <mergeCell ref="R156:R158"/>
    <mergeCell ref="P163:P164"/>
    <mergeCell ref="Q163:Q164"/>
    <mergeCell ref="R163:R164"/>
    <mergeCell ref="P152:P153"/>
    <mergeCell ref="Q152:Q153"/>
    <mergeCell ref="R152:R153"/>
    <mergeCell ref="P154:P155"/>
    <mergeCell ref="Q154:Q155"/>
    <mergeCell ref="R154:R155"/>
    <mergeCell ref="R183:R184"/>
    <mergeCell ref="E196:I196"/>
    <mergeCell ref="P205:P206"/>
    <mergeCell ref="Q205:Q206"/>
    <mergeCell ref="R205:R206"/>
    <mergeCell ref="P173:P174"/>
    <mergeCell ref="Q173:Q174"/>
    <mergeCell ref="R173:R174"/>
    <mergeCell ref="P176:P177"/>
    <mergeCell ref="Q176:Q177"/>
    <mergeCell ref="R176:R177"/>
    <mergeCell ref="R220:R221"/>
    <mergeCell ref="P207:P208"/>
    <mergeCell ref="Q207:Q208"/>
    <mergeCell ref="R207:R208"/>
    <mergeCell ref="P211:P216"/>
    <mergeCell ref="Q211:Q216"/>
    <mergeCell ref="R211:R216"/>
    <mergeCell ref="P238:P239"/>
    <mergeCell ref="Q238:Q239"/>
    <mergeCell ref="R238:R239"/>
    <mergeCell ref="R251:R252"/>
    <mergeCell ref="P222:P224"/>
    <mergeCell ref="Q222:Q224"/>
    <mergeCell ref="R222:R224"/>
    <mergeCell ref="P233:P234"/>
    <mergeCell ref="Q233:Q234"/>
    <mergeCell ref="R233:R234"/>
    <mergeCell ref="P278:P284"/>
    <mergeCell ref="Q278:Q284"/>
    <mergeCell ref="R278:R284"/>
    <mergeCell ref="R285:R286"/>
    <mergeCell ref="P255:P256"/>
    <mergeCell ref="Q255:Q256"/>
    <mergeCell ref="R255:R256"/>
    <mergeCell ref="P260:P262"/>
    <mergeCell ref="Q260:Q262"/>
    <mergeCell ref="R260:R262"/>
    <mergeCell ref="P296:P299"/>
    <mergeCell ref="Q296:Q299"/>
    <mergeCell ref="R296:R299"/>
    <mergeCell ref="R301:R302"/>
    <mergeCell ref="P287:P289"/>
    <mergeCell ref="Q287:Q289"/>
    <mergeCell ref="R287:R289"/>
    <mergeCell ref="P292:P295"/>
    <mergeCell ref="Q292:Q295"/>
    <mergeCell ref="R292:R295"/>
    <mergeCell ref="P312:P314"/>
    <mergeCell ref="Q312:Q314"/>
    <mergeCell ref="R312:R314"/>
    <mergeCell ref="R315:R316"/>
    <mergeCell ref="P303:P309"/>
    <mergeCell ref="Q303:Q309"/>
    <mergeCell ref="R303:R309"/>
    <mergeCell ref="P310:P311"/>
    <mergeCell ref="Q310:Q311"/>
    <mergeCell ref="R310:R311"/>
    <mergeCell ref="P322:P323"/>
    <mergeCell ref="Q322:Q323"/>
    <mergeCell ref="R322:R323"/>
    <mergeCell ref="Q325:Q326"/>
    <mergeCell ref="R325:R326"/>
    <mergeCell ref="P332:P333"/>
    <mergeCell ref="Q332:Q333"/>
    <mergeCell ref="R332:R333"/>
    <mergeCell ref="P317:P319"/>
    <mergeCell ref="Q317:Q319"/>
    <mergeCell ref="R317:R319"/>
    <mergeCell ref="P320:P321"/>
    <mergeCell ref="Q320:Q321"/>
    <mergeCell ref="R320:R321"/>
    <mergeCell ref="R364:R365"/>
    <mergeCell ref="B354:B355"/>
    <mergeCell ref="C354:C355"/>
    <mergeCell ref="P354:P355"/>
    <mergeCell ref="Q354:Q355"/>
    <mergeCell ref="R354:R355"/>
    <mergeCell ref="R334:R337"/>
    <mergeCell ref="B342:B344"/>
    <mergeCell ref="C343:C344"/>
    <mergeCell ref="G334:G335"/>
    <mergeCell ref="H334:H335"/>
    <mergeCell ref="I334:I335"/>
    <mergeCell ref="P334:P337"/>
    <mergeCell ref="Q334:Q337"/>
    <mergeCell ref="P343:P344"/>
    <mergeCell ref="Q343:Q344"/>
    <mergeCell ref="R343:R344"/>
    <mergeCell ref="A1:AD4"/>
    <mergeCell ref="R388:R391"/>
    <mergeCell ref="P399:P402"/>
    <mergeCell ref="Q399:Q402"/>
    <mergeCell ref="R399:R402"/>
    <mergeCell ref="B380:B381"/>
    <mergeCell ref="B385:B386"/>
    <mergeCell ref="B388:B391"/>
    <mergeCell ref="C388:C391"/>
    <mergeCell ref="P388:P391"/>
    <mergeCell ref="Q388:Q391"/>
    <mergeCell ref="Q366:Q367"/>
    <mergeCell ref="R366:R367"/>
    <mergeCell ref="P369:P372"/>
    <mergeCell ref="Q369:Q372"/>
    <mergeCell ref="R369:R372"/>
    <mergeCell ref="G370:G371"/>
    <mergeCell ref="H370:H371"/>
    <mergeCell ref="I370:I371"/>
    <mergeCell ref="P361:P362"/>
    <mergeCell ref="Q361:Q362"/>
    <mergeCell ref="R361:R362"/>
    <mergeCell ref="P364:P365"/>
    <mergeCell ref="Q364:Q365"/>
  </mergeCells>
  <conditionalFormatting sqref="K278">
    <cfRule type="duplicateValues" dxfId="28" priority="33"/>
  </conditionalFormatting>
  <conditionalFormatting sqref="K278">
    <cfRule type="duplicateValues" dxfId="27" priority="34"/>
  </conditionalFormatting>
  <conditionalFormatting sqref="K285">
    <cfRule type="duplicateValues" dxfId="26" priority="31"/>
  </conditionalFormatting>
  <conditionalFormatting sqref="K285">
    <cfRule type="duplicateValues" dxfId="25" priority="32"/>
  </conditionalFormatting>
  <conditionalFormatting sqref="K293">
    <cfRule type="duplicateValues" dxfId="24" priority="29"/>
  </conditionalFormatting>
  <conditionalFormatting sqref="K293">
    <cfRule type="duplicateValues" dxfId="23" priority="30"/>
  </conditionalFormatting>
  <conditionalFormatting sqref="K122">
    <cfRule type="duplicateValues" dxfId="22" priority="27"/>
  </conditionalFormatting>
  <conditionalFormatting sqref="K123">
    <cfRule type="duplicateValues" dxfId="21" priority="28"/>
  </conditionalFormatting>
  <conditionalFormatting sqref="K150">
    <cfRule type="duplicateValues" dxfId="20" priority="26"/>
  </conditionalFormatting>
  <conditionalFormatting sqref="K156">
    <cfRule type="duplicateValues" dxfId="19" priority="22"/>
  </conditionalFormatting>
  <conditionalFormatting sqref="K157">
    <cfRule type="duplicateValues" dxfId="18" priority="21"/>
  </conditionalFormatting>
  <conditionalFormatting sqref="K158">
    <cfRule type="duplicateValues" dxfId="17" priority="18"/>
  </conditionalFormatting>
  <conditionalFormatting sqref="K158">
    <cfRule type="duplicateValues" dxfId="16" priority="19"/>
  </conditionalFormatting>
  <conditionalFormatting sqref="K158">
    <cfRule type="duplicateValues" dxfId="15" priority="20"/>
  </conditionalFormatting>
  <conditionalFormatting sqref="K155">
    <cfRule type="duplicateValues" dxfId="14" priority="16"/>
  </conditionalFormatting>
  <conditionalFormatting sqref="K155">
    <cfRule type="duplicateValues" dxfId="13" priority="17"/>
  </conditionalFormatting>
  <conditionalFormatting sqref="K159">
    <cfRule type="duplicateValues" dxfId="12" priority="14"/>
  </conditionalFormatting>
  <conditionalFormatting sqref="K159">
    <cfRule type="duplicateValues" dxfId="11" priority="15"/>
  </conditionalFormatting>
  <conditionalFormatting sqref="K151">
    <cfRule type="duplicateValues" dxfId="10" priority="13"/>
  </conditionalFormatting>
  <conditionalFormatting sqref="K161">
    <cfRule type="duplicateValues" dxfId="9" priority="11"/>
  </conditionalFormatting>
  <conditionalFormatting sqref="K161">
    <cfRule type="duplicateValues" dxfId="8" priority="12"/>
  </conditionalFormatting>
  <conditionalFormatting sqref="K170:K171">
    <cfRule type="duplicateValues" dxfId="7" priority="9"/>
  </conditionalFormatting>
  <conditionalFormatting sqref="K170:K171">
    <cfRule type="duplicateValues" dxfId="6" priority="10"/>
  </conditionalFormatting>
  <conditionalFormatting sqref="K173">
    <cfRule type="duplicateValues" dxfId="5" priority="7"/>
  </conditionalFormatting>
  <conditionalFormatting sqref="K173">
    <cfRule type="duplicateValues" dxfId="4" priority="8"/>
  </conditionalFormatting>
  <conditionalFormatting sqref="K174">
    <cfRule type="duplicateValues" dxfId="3" priority="5"/>
  </conditionalFormatting>
  <conditionalFormatting sqref="K174">
    <cfRule type="duplicateValues" dxfId="2" priority="6"/>
  </conditionalFormatting>
  <conditionalFormatting sqref="K294">
    <cfRule type="duplicateValues" dxfId="1" priority="3"/>
  </conditionalFormatting>
  <conditionalFormatting sqref="K294">
    <cfRule type="duplicateValues" dxfId="0" priority="4"/>
  </conditionalFormatting>
  <pageMargins left="0.7" right="0.7" top="0.75" bottom="0.75" header="0.3" footer="0.3"/>
  <pageSetup orientation="portrait" verticalDpi="0" r:id="rId1"/>
  <ignoredErrors>
    <ignoredError sqref="G315 G317 G319 G326:G327 G332:G334 G337:G338 G329:G330" numberStoredAsText="1"/>
    <ignoredError sqref="AC1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8"/>
  <sheetViews>
    <sheetView showGridLines="0" zoomScaleNormal="100" workbookViewId="0">
      <pane ySplit="5" topLeftCell="A6" activePane="bottomLeft" state="frozen"/>
      <selection pane="bottomLeft" activeCell="A6" sqref="A6"/>
    </sheetView>
  </sheetViews>
  <sheetFormatPr baseColWidth="10" defaultColWidth="11.42578125" defaultRowHeight="11.25" x14ac:dyDescent="0.2"/>
  <cols>
    <col min="1" max="1" width="3.85546875" style="26" customWidth="1"/>
    <col min="2" max="2" width="15.28515625" style="55" customWidth="1"/>
    <col min="3" max="3" width="25.5703125" style="55" customWidth="1"/>
    <col min="4" max="4" width="16.140625" style="56" customWidth="1"/>
    <col min="5" max="5" width="39.5703125" style="55" customWidth="1"/>
    <col min="6" max="6" width="16.85546875" style="57" customWidth="1"/>
    <col min="7" max="7" width="15.5703125" style="26" bestFit="1" customWidth="1"/>
    <col min="8" max="8" width="15.85546875" style="26" customWidth="1"/>
    <col min="9" max="9" width="15.42578125" style="26" customWidth="1"/>
    <col min="10" max="16384" width="11.42578125" style="26"/>
  </cols>
  <sheetData>
    <row r="1" spans="1:9" ht="11.25" customHeight="1" x14ac:dyDescent="0.2">
      <c r="A1" s="78"/>
      <c r="B1" s="476" t="s">
        <v>1470</v>
      </c>
      <c r="C1" s="477"/>
      <c r="D1" s="477"/>
      <c r="E1" s="477"/>
      <c r="F1" s="478"/>
    </row>
    <row r="2" spans="1:9" ht="9.75" customHeight="1" x14ac:dyDescent="0.2">
      <c r="A2" s="79"/>
      <c r="B2" s="479"/>
      <c r="C2" s="480"/>
      <c r="D2" s="480"/>
      <c r="E2" s="480"/>
      <c r="F2" s="481"/>
    </row>
    <row r="3" spans="1:9" ht="16.5" customHeight="1" thickBot="1" x14ac:dyDescent="0.25">
      <c r="A3" s="79"/>
      <c r="B3" s="479"/>
      <c r="C3" s="480"/>
      <c r="D3" s="480"/>
      <c r="E3" s="480"/>
      <c r="F3" s="481"/>
    </row>
    <row r="4" spans="1:9" ht="18.75" customHeight="1" thickBot="1" x14ac:dyDescent="0.25">
      <c r="A4" s="79"/>
      <c r="B4" s="482" t="s">
        <v>1360</v>
      </c>
      <c r="C4" s="483"/>
      <c r="D4" s="483"/>
      <c r="E4" s="483"/>
      <c r="F4" s="484"/>
    </row>
    <row r="5" spans="1:9" s="27" customFormat="1" ht="25.5" customHeight="1" thickBot="1" x14ac:dyDescent="0.3">
      <c r="A5" s="80"/>
      <c r="B5" s="427" t="s">
        <v>1337</v>
      </c>
      <c r="C5" s="215" t="s">
        <v>21</v>
      </c>
      <c r="D5" s="428" t="s">
        <v>1306</v>
      </c>
      <c r="E5" s="215" t="s">
        <v>1307</v>
      </c>
      <c r="F5" s="429" t="s">
        <v>1308</v>
      </c>
    </row>
    <row r="6" spans="1:9" s="27" customFormat="1" ht="16.5" customHeight="1" thickBot="1" x14ac:dyDescent="0.3">
      <c r="A6" s="80"/>
      <c r="B6" s="202" t="s">
        <v>1309</v>
      </c>
      <c r="C6" s="42"/>
      <c r="D6" s="42"/>
      <c r="E6" s="42"/>
      <c r="F6" s="81"/>
    </row>
    <row r="7" spans="1:9" s="28" customFormat="1" ht="17.25" customHeight="1" thickBot="1" x14ac:dyDescent="0.3">
      <c r="A7" s="82"/>
      <c r="B7" s="469" t="s">
        <v>1310</v>
      </c>
      <c r="C7" s="470"/>
      <c r="D7" s="470"/>
      <c r="E7" s="470"/>
      <c r="F7" s="70">
        <f>SUM(F8:F10)</f>
        <v>75702140</v>
      </c>
      <c r="G7" s="195"/>
      <c r="H7" s="195"/>
      <c r="I7" s="195"/>
    </row>
    <row r="8" spans="1:9" ht="34.5" customHeight="1" x14ac:dyDescent="0.2">
      <c r="A8" s="83">
        <v>1</v>
      </c>
      <c r="B8" s="471" t="s">
        <v>46</v>
      </c>
      <c r="C8" s="474" t="s">
        <v>48</v>
      </c>
      <c r="D8" s="59" t="s">
        <v>55</v>
      </c>
      <c r="E8" s="66" t="s">
        <v>1311</v>
      </c>
      <c r="F8" s="64">
        <f>'SGTO POAI SEPT 30'!AF10</f>
        <v>30000000</v>
      </c>
    </row>
    <row r="9" spans="1:9" ht="34.5" customHeight="1" x14ac:dyDescent="0.2">
      <c r="A9" s="83">
        <v>2</v>
      </c>
      <c r="B9" s="472"/>
      <c r="C9" s="475"/>
      <c r="D9" s="29" t="s">
        <v>61</v>
      </c>
      <c r="E9" s="58" t="s">
        <v>62</v>
      </c>
      <c r="F9" s="30">
        <f>'SGTO POAI SEPT 30'!AF11</f>
        <v>15702140</v>
      </c>
    </row>
    <row r="10" spans="1:9" ht="45.75" thickBot="1" x14ac:dyDescent="0.25">
      <c r="A10" s="83">
        <v>3</v>
      </c>
      <c r="B10" s="473"/>
      <c r="C10" s="420" t="s">
        <v>63</v>
      </c>
      <c r="D10" s="34" t="s">
        <v>70</v>
      </c>
      <c r="E10" s="68" t="s">
        <v>0</v>
      </c>
      <c r="F10" s="69">
        <f>'SGTO POAI SEPT 30'!AF13</f>
        <v>30000000</v>
      </c>
    </row>
    <row r="11" spans="1:9" s="28" customFormat="1" ht="17.25" customHeight="1" thickBot="1" x14ac:dyDescent="0.3">
      <c r="A11" s="80"/>
      <c r="B11" s="469" t="s">
        <v>1312</v>
      </c>
      <c r="C11" s="470"/>
      <c r="D11" s="470"/>
      <c r="E11" s="470"/>
      <c r="F11" s="70">
        <f>SUM(F12:F18)</f>
        <v>677628511</v>
      </c>
      <c r="G11" s="31"/>
      <c r="H11" s="31"/>
      <c r="I11" s="31"/>
    </row>
    <row r="12" spans="1:9" ht="49.5" customHeight="1" x14ac:dyDescent="0.2">
      <c r="A12" s="83">
        <v>4</v>
      </c>
      <c r="B12" s="471" t="s">
        <v>72</v>
      </c>
      <c r="C12" s="419" t="s">
        <v>63</v>
      </c>
      <c r="D12" s="59" t="s">
        <v>78</v>
      </c>
      <c r="E12" s="66" t="s">
        <v>79</v>
      </c>
      <c r="F12" s="64">
        <f>'SGTO POAI SEPT 30'!AF18</f>
        <v>102285179</v>
      </c>
    </row>
    <row r="13" spans="1:9" ht="22.5" x14ac:dyDescent="0.2">
      <c r="A13" s="83">
        <v>5</v>
      </c>
      <c r="B13" s="472"/>
      <c r="C13" s="485" t="s">
        <v>80</v>
      </c>
      <c r="D13" s="29" t="s">
        <v>84</v>
      </c>
      <c r="E13" s="58" t="s">
        <v>85</v>
      </c>
      <c r="F13" s="30">
        <f>'SGTO POAI SEPT 30'!AF20</f>
        <v>153233333</v>
      </c>
    </row>
    <row r="14" spans="1:9" s="32" customFormat="1" ht="33.75" customHeight="1" x14ac:dyDescent="0.2">
      <c r="A14" s="83">
        <v>6</v>
      </c>
      <c r="B14" s="472"/>
      <c r="C14" s="474"/>
      <c r="D14" s="29" t="s">
        <v>87</v>
      </c>
      <c r="E14" s="58" t="s">
        <v>88</v>
      </c>
      <c r="F14" s="203">
        <f>'SGTO POAI SEPT 30'!AF21</f>
        <v>93916667</v>
      </c>
    </row>
    <row r="15" spans="1:9" ht="22.5" x14ac:dyDescent="0.2">
      <c r="A15" s="83">
        <v>7</v>
      </c>
      <c r="B15" s="472"/>
      <c r="C15" s="474"/>
      <c r="D15" s="29" t="s">
        <v>93</v>
      </c>
      <c r="E15" s="58" t="s">
        <v>94</v>
      </c>
      <c r="F15" s="30">
        <f>'SGTO POAI SEPT 30'!AF22</f>
        <v>24906666</v>
      </c>
    </row>
    <row r="16" spans="1:9" ht="33.75" x14ac:dyDescent="0.2">
      <c r="A16" s="83">
        <v>8</v>
      </c>
      <c r="B16" s="472"/>
      <c r="C16" s="474"/>
      <c r="D16" s="29" t="s">
        <v>99</v>
      </c>
      <c r="E16" s="58" t="s">
        <v>100</v>
      </c>
      <c r="F16" s="30">
        <f>'SGTO POAI SEPT 30'!AF23</f>
        <v>148786666</v>
      </c>
    </row>
    <row r="17" spans="1:9" ht="33.75" x14ac:dyDescent="0.2">
      <c r="A17" s="83">
        <v>9</v>
      </c>
      <c r="B17" s="472"/>
      <c r="C17" s="474"/>
      <c r="D17" s="29" t="s">
        <v>106</v>
      </c>
      <c r="E17" s="58" t="s">
        <v>107</v>
      </c>
      <c r="F17" s="30">
        <f>SUM('SGTO POAI SEPT 30'!AF24:AF29)</f>
        <v>118500000</v>
      </c>
    </row>
    <row r="18" spans="1:9" ht="36.75" customHeight="1" thickBot="1" x14ac:dyDescent="0.25">
      <c r="A18" s="83">
        <v>10</v>
      </c>
      <c r="B18" s="473"/>
      <c r="C18" s="474"/>
      <c r="D18" s="34" t="s">
        <v>124</v>
      </c>
      <c r="E18" s="68" t="s">
        <v>125</v>
      </c>
      <c r="F18" s="69">
        <f>'SGTO POAI SEPT 30'!AF30</f>
        <v>36000000</v>
      </c>
    </row>
    <row r="19" spans="1:9" ht="17.25" customHeight="1" thickBot="1" x14ac:dyDescent="0.25">
      <c r="A19" s="83"/>
      <c r="B19" s="469" t="s">
        <v>1313</v>
      </c>
      <c r="C19" s="470"/>
      <c r="D19" s="470"/>
      <c r="E19" s="486"/>
      <c r="F19" s="67">
        <f>SUM(F20:F21)</f>
        <v>2541134000</v>
      </c>
      <c r="G19" s="33"/>
      <c r="H19" s="33"/>
      <c r="I19" s="33"/>
    </row>
    <row r="20" spans="1:9" ht="33.75" x14ac:dyDescent="0.2">
      <c r="A20" s="83">
        <v>11</v>
      </c>
      <c r="B20" s="487" t="s">
        <v>72</v>
      </c>
      <c r="C20" s="475" t="s">
        <v>48</v>
      </c>
      <c r="D20" s="59" t="s">
        <v>130</v>
      </c>
      <c r="E20" s="419" t="s">
        <v>1314</v>
      </c>
      <c r="F20" s="64">
        <f>'SGTO POAI SEPT 30'!AF35</f>
        <v>1970270000</v>
      </c>
    </row>
    <row r="21" spans="1:9" ht="45.75" thickBot="1" x14ac:dyDescent="0.25">
      <c r="A21" s="83">
        <v>12</v>
      </c>
      <c r="B21" s="488"/>
      <c r="C21" s="485"/>
      <c r="D21" s="34" t="s">
        <v>136</v>
      </c>
      <c r="E21" s="420" t="s">
        <v>1315</v>
      </c>
      <c r="F21" s="69">
        <f>'SGTO POAI SEPT 30'!AF36</f>
        <v>570864000</v>
      </c>
    </row>
    <row r="22" spans="1:9" ht="18" customHeight="1" thickBot="1" x14ac:dyDescent="0.25">
      <c r="A22" s="83"/>
      <c r="B22" s="469" t="s">
        <v>1316</v>
      </c>
      <c r="C22" s="470"/>
      <c r="D22" s="470"/>
      <c r="E22" s="486"/>
      <c r="F22" s="67">
        <f>SUM(F23:F37)</f>
        <v>5387573974.4699993</v>
      </c>
      <c r="G22" s="33"/>
      <c r="H22" s="33"/>
      <c r="I22" s="33"/>
    </row>
    <row r="23" spans="1:9" ht="33.75" x14ac:dyDescent="0.2">
      <c r="A23" s="83">
        <v>13</v>
      </c>
      <c r="B23" s="492" t="s">
        <v>1</v>
      </c>
      <c r="C23" s="419" t="s">
        <v>137</v>
      </c>
      <c r="D23" s="59" t="s">
        <v>144</v>
      </c>
      <c r="E23" s="419" t="s">
        <v>145</v>
      </c>
      <c r="F23" s="64">
        <f>'SGTO POAI SEPT 30'!AF41</f>
        <v>3000000</v>
      </c>
    </row>
    <row r="24" spans="1:9" ht="33.75" x14ac:dyDescent="0.2">
      <c r="A24" s="83">
        <v>14</v>
      </c>
      <c r="B24" s="492"/>
      <c r="C24" s="425" t="s">
        <v>146</v>
      </c>
      <c r="D24" s="29" t="s">
        <v>153</v>
      </c>
      <c r="E24" s="425" t="s">
        <v>154</v>
      </c>
      <c r="F24" s="30">
        <f>'SGTO POAI SEPT 30'!AF43</f>
        <v>2000000</v>
      </c>
    </row>
    <row r="25" spans="1:9" ht="56.25" customHeight="1" x14ac:dyDescent="0.2">
      <c r="A25" s="489">
        <v>15</v>
      </c>
      <c r="B25" s="492"/>
      <c r="C25" s="425" t="s">
        <v>155</v>
      </c>
      <c r="D25" s="29" t="s">
        <v>163</v>
      </c>
      <c r="E25" s="425" t="s">
        <v>164</v>
      </c>
      <c r="F25" s="30">
        <f>'SGTO POAI SEPT 30'!AF45</f>
        <v>628874337</v>
      </c>
    </row>
    <row r="26" spans="1:9" ht="33.75" customHeight="1" x14ac:dyDescent="0.2">
      <c r="A26" s="489"/>
      <c r="B26" s="492"/>
      <c r="C26" s="425" t="s">
        <v>165</v>
      </c>
      <c r="D26" s="29" t="s">
        <v>163</v>
      </c>
      <c r="E26" s="425" t="s">
        <v>164</v>
      </c>
      <c r="F26" s="30">
        <f>'SGTO POAI SEPT 30'!AF47</f>
        <v>50000000</v>
      </c>
    </row>
    <row r="27" spans="1:9" ht="33.75" x14ac:dyDescent="0.2">
      <c r="A27" s="489"/>
      <c r="B27" s="492"/>
      <c r="C27" s="425" t="s">
        <v>173</v>
      </c>
      <c r="D27" s="29" t="s">
        <v>163</v>
      </c>
      <c r="E27" s="425" t="s">
        <v>164</v>
      </c>
      <c r="F27" s="30">
        <f>'SGTO POAI SEPT 30'!AF49</f>
        <v>977810591.28999996</v>
      </c>
    </row>
    <row r="28" spans="1:9" s="28" customFormat="1" ht="36.75" customHeight="1" x14ac:dyDescent="0.25">
      <c r="A28" s="489"/>
      <c r="B28" s="492"/>
      <c r="C28" s="425" t="s">
        <v>180</v>
      </c>
      <c r="D28" s="29" t="s">
        <v>163</v>
      </c>
      <c r="E28" s="425" t="s">
        <v>164</v>
      </c>
      <c r="F28" s="30">
        <f>'SGTO POAI SEPT 30'!AF51</f>
        <v>64725314.580000043</v>
      </c>
    </row>
    <row r="29" spans="1:9" ht="39.75" customHeight="1" x14ac:dyDescent="0.2">
      <c r="A29" s="489">
        <v>16</v>
      </c>
      <c r="B29" s="472" t="s">
        <v>2</v>
      </c>
      <c r="C29" s="425" t="s">
        <v>184</v>
      </c>
      <c r="D29" s="29" t="s">
        <v>190</v>
      </c>
      <c r="E29" s="425" t="s">
        <v>191</v>
      </c>
      <c r="F29" s="30">
        <f>'SGTO POAI SEPT 30'!AF54</f>
        <v>2000000</v>
      </c>
    </row>
    <row r="30" spans="1:9" ht="39.75" customHeight="1" x14ac:dyDescent="0.2">
      <c r="A30" s="489"/>
      <c r="B30" s="472"/>
      <c r="C30" s="425" t="s">
        <v>192</v>
      </c>
      <c r="D30" s="29" t="s">
        <v>190</v>
      </c>
      <c r="E30" s="425" t="s">
        <v>196</v>
      </c>
      <c r="F30" s="204">
        <f>'SGTO POAI SEPT 30'!AF56</f>
        <v>1000000</v>
      </c>
    </row>
    <row r="31" spans="1:9" ht="39.75" customHeight="1" x14ac:dyDescent="0.2">
      <c r="A31" s="489">
        <v>17</v>
      </c>
      <c r="B31" s="472" t="s">
        <v>3</v>
      </c>
      <c r="C31" s="425" t="s">
        <v>197</v>
      </c>
      <c r="D31" s="29" t="s">
        <v>202</v>
      </c>
      <c r="E31" s="425" t="s">
        <v>203</v>
      </c>
      <c r="F31" s="30">
        <f>'SGTO POAI SEPT 30'!AF59</f>
        <v>469025413.94</v>
      </c>
    </row>
    <row r="32" spans="1:9" ht="39.75" customHeight="1" x14ac:dyDescent="0.2">
      <c r="A32" s="489"/>
      <c r="B32" s="472"/>
      <c r="C32" s="425" t="s">
        <v>205</v>
      </c>
      <c r="D32" s="29" t="s">
        <v>190</v>
      </c>
      <c r="E32" s="425" t="s">
        <v>191</v>
      </c>
      <c r="F32" s="30">
        <f>'SGTO POAI SEPT 30'!AF61</f>
        <v>1000000</v>
      </c>
    </row>
    <row r="33" spans="1:9" ht="39.75" customHeight="1" x14ac:dyDescent="0.2">
      <c r="A33" s="489"/>
      <c r="B33" s="472"/>
      <c r="C33" s="425" t="s">
        <v>210</v>
      </c>
      <c r="D33" s="29" t="s">
        <v>202</v>
      </c>
      <c r="E33" s="425" t="s">
        <v>203</v>
      </c>
      <c r="F33" s="30">
        <f>'SGTO POAI SEPT 30'!AF63</f>
        <v>170360668</v>
      </c>
    </row>
    <row r="34" spans="1:9" ht="39.75" customHeight="1" x14ac:dyDescent="0.2">
      <c r="A34" s="83"/>
      <c r="B34" s="472"/>
      <c r="C34" s="425" t="s">
        <v>214</v>
      </c>
      <c r="D34" s="29" t="s">
        <v>163</v>
      </c>
      <c r="E34" s="425" t="s">
        <v>164</v>
      </c>
      <c r="F34" s="30">
        <f>'SGTO POAI SEPT 30'!AF65</f>
        <v>129129296.87</v>
      </c>
    </row>
    <row r="35" spans="1:9" ht="45" customHeight="1" x14ac:dyDescent="0.2">
      <c r="A35" s="83">
        <v>18</v>
      </c>
      <c r="B35" s="472"/>
      <c r="C35" s="425" t="s">
        <v>220</v>
      </c>
      <c r="D35" s="29" t="s">
        <v>227</v>
      </c>
      <c r="E35" s="425" t="s">
        <v>228</v>
      </c>
      <c r="F35" s="30">
        <f>'SGTO POAI SEPT 30'!AF66</f>
        <v>2791946111.0500002</v>
      </c>
    </row>
    <row r="36" spans="1:9" ht="47.25" customHeight="1" x14ac:dyDescent="0.2">
      <c r="A36" s="83"/>
      <c r="B36" s="472" t="s">
        <v>72</v>
      </c>
      <c r="C36" s="425" t="s">
        <v>48</v>
      </c>
      <c r="D36" s="29" t="s">
        <v>163</v>
      </c>
      <c r="E36" s="425" t="s">
        <v>164</v>
      </c>
      <c r="F36" s="30">
        <f>'SGTO POAI SEPT 30'!AF74</f>
        <v>72674512.579999998</v>
      </c>
    </row>
    <row r="37" spans="1:9" ht="46.5" customHeight="1" thickBot="1" x14ac:dyDescent="0.25">
      <c r="A37" s="83"/>
      <c r="B37" s="473"/>
      <c r="C37" s="420" t="s">
        <v>63</v>
      </c>
      <c r="D37" s="34" t="s">
        <v>163</v>
      </c>
      <c r="E37" s="420" t="s">
        <v>164</v>
      </c>
      <c r="F37" s="69">
        <f>'SGTO POAI SEPT 30'!AF76</f>
        <v>24027729.16</v>
      </c>
    </row>
    <row r="38" spans="1:9" ht="18" customHeight="1" thickBot="1" x14ac:dyDescent="0.25">
      <c r="A38" s="83"/>
      <c r="B38" s="469" t="s">
        <v>1317</v>
      </c>
      <c r="C38" s="470"/>
      <c r="D38" s="470"/>
      <c r="E38" s="470"/>
      <c r="F38" s="65">
        <f>SUM(F39:F53)</f>
        <v>3830220594.3099999</v>
      </c>
      <c r="G38" s="33"/>
      <c r="H38" s="33"/>
      <c r="I38" s="33"/>
    </row>
    <row r="39" spans="1:9" ht="22.5" x14ac:dyDescent="0.2">
      <c r="A39" s="83">
        <v>19</v>
      </c>
      <c r="B39" s="471" t="s">
        <v>1</v>
      </c>
      <c r="C39" s="419" t="s">
        <v>137</v>
      </c>
      <c r="D39" s="59" t="s">
        <v>257</v>
      </c>
      <c r="E39" s="419" t="s">
        <v>258</v>
      </c>
      <c r="F39" s="64">
        <f>'SGTO POAI SEPT 30'!AF81</f>
        <v>112128400</v>
      </c>
    </row>
    <row r="40" spans="1:9" ht="33.75" x14ac:dyDescent="0.2">
      <c r="A40" s="489">
        <v>20</v>
      </c>
      <c r="B40" s="472"/>
      <c r="C40" s="425" t="s">
        <v>259</v>
      </c>
      <c r="D40" s="29" t="s">
        <v>264</v>
      </c>
      <c r="E40" s="425" t="s">
        <v>265</v>
      </c>
      <c r="F40" s="30">
        <f>'SGTO POAI SEPT 30'!AF83</f>
        <v>15000000</v>
      </c>
    </row>
    <row r="41" spans="1:9" ht="45" x14ac:dyDescent="0.2">
      <c r="A41" s="489"/>
      <c r="B41" s="472"/>
      <c r="C41" s="425" t="s">
        <v>266</v>
      </c>
      <c r="D41" s="29" t="s">
        <v>264</v>
      </c>
      <c r="E41" s="425" t="s">
        <v>265</v>
      </c>
      <c r="F41" s="30">
        <f>'SGTO POAI SEPT 30'!AF85</f>
        <v>15000000</v>
      </c>
    </row>
    <row r="42" spans="1:9" ht="43.5" customHeight="1" x14ac:dyDescent="0.2">
      <c r="A42" s="83">
        <v>21</v>
      </c>
      <c r="B42" s="472"/>
      <c r="C42" s="425" t="s">
        <v>155</v>
      </c>
      <c r="D42" s="29" t="s">
        <v>275</v>
      </c>
      <c r="E42" s="425" t="s">
        <v>276</v>
      </c>
      <c r="F42" s="30">
        <f>'SGTO POAI SEPT 30'!AF87</f>
        <v>201866667</v>
      </c>
    </row>
    <row r="43" spans="1:9" ht="39.75" customHeight="1" x14ac:dyDescent="0.2">
      <c r="A43" s="83">
        <v>22</v>
      </c>
      <c r="B43" s="472"/>
      <c r="C43" s="425" t="s">
        <v>277</v>
      </c>
      <c r="D43" s="29" t="s">
        <v>284</v>
      </c>
      <c r="E43" s="425" t="s">
        <v>285</v>
      </c>
      <c r="F43" s="30">
        <f>'SGTO POAI SEPT 30'!AF88</f>
        <v>522730761</v>
      </c>
    </row>
    <row r="44" spans="1:9" ht="51" customHeight="1" x14ac:dyDescent="0.2">
      <c r="A44" s="83">
        <v>23</v>
      </c>
      <c r="B44" s="472"/>
      <c r="C44" s="425" t="s">
        <v>304</v>
      </c>
      <c r="D44" s="29" t="s">
        <v>310</v>
      </c>
      <c r="E44" s="425" t="s">
        <v>311</v>
      </c>
      <c r="F44" s="30">
        <f>'SGTO POAI SEPT 30'!AF95</f>
        <v>15738667</v>
      </c>
    </row>
    <row r="45" spans="1:9" ht="38.25" customHeight="1" x14ac:dyDescent="0.2">
      <c r="A45" s="83"/>
      <c r="B45" s="472"/>
      <c r="C45" s="491" t="s">
        <v>312</v>
      </c>
      <c r="D45" s="29" t="s">
        <v>264</v>
      </c>
      <c r="E45" s="425" t="s">
        <v>265</v>
      </c>
      <c r="F45" s="30">
        <f>'SGTO POAI SEPT 30'!AF97</f>
        <v>2192073558.0099998</v>
      </c>
    </row>
    <row r="46" spans="1:9" ht="51" customHeight="1" x14ac:dyDescent="0.2">
      <c r="A46" s="83"/>
      <c r="B46" s="472"/>
      <c r="C46" s="491"/>
      <c r="D46" s="29" t="s">
        <v>310</v>
      </c>
      <c r="E46" s="425" t="s">
        <v>311</v>
      </c>
      <c r="F46" s="30">
        <f>'SGTO POAI SEPT 30'!AF98</f>
        <v>94000000</v>
      </c>
    </row>
    <row r="47" spans="1:9" ht="36.75" customHeight="1" x14ac:dyDescent="0.2">
      <c r="A47" s="83">
        <v>24</v>
      </c>
      <c r="B47" s="472"/>
      <c r="C47" s="491"/>
      <c r="D47" s="29" t="s">
        <v>325</v>
      </c>
      <c r="E47" s="425" t="s">
        <v>326</v>
      </c>
      <c r="F47" s="30">
        <f>'SGTO POAI SEPT 30'!AF99</f>
        <v>75000000</v>
      </c>
    </row>
    <row r="48" spans="1:9" ht="33.75" x14ac:dyDescent="0.2">
      <c r="A48" s="489">
        <v>25</v>
      </c>
      <c r="B48" s="490" t="s">
        <v>3</v>
      </c>
      <c r="C48" s="425" t="s">
        <v>210</v>
      </c>
      <c r="D48" s="29" t="s">
        <v>275</v>
      </c>
      <c r="E48" s="425" t="s">
        <v>276</v>
      </c>
      <c r="F48" s="30">
        <f>'SGTO POAI SEPT 30'!AF101</f>
        <v>37702666</v>
      </c>
    </row>
    <row r="49" spans="1:9" ht="33.75" x14ac:dyDescent="0.2">
      <c r="A49" s="489"/>
      <c r="B49" s="490"/>
      <c r="C49" s="491" t="s">
        <v>333</v>
      </c>
      <c r="D49" s="29" t="s">
        <v>275</v>
      </c>
      <c r="E49" s="425" t="s">
        <v>276</v>
      </c>
      <c r="F49" s="30">
        <f>SUM('SGTO POAI SEPT 30'!AF105:AF106)</f>
        <v>325579598</v>
      </c>
    </row>
    <row r="50" spans="1:9" ht="22.5" x14ac:dyDescent="0.2">
      <c r="A50" s="489"/>
      <c r="B50" s="490"/>
      <c r="C50" s="491"/>
      <c r="D50" s="29" t="s">
        <v>346</v>
      </c>
      <c r="E50" s="425" t="s">
        <v>347</v>
      </c>
      <c r="F50" s="30">
        <f>'SGTO POAI SEPT 30'!AF107</f>
        <v>73229610.299999997</v>
      </c>
    </row>
    <row r="51" spans="1:9" ht="32.25" customHeight="1" x14ac:dyDescent="0.2">
      <c r="A51" s="83"/>
      <c r="B51" s="490" t="s">
        <v>72</v>
      </c>
      <c r="C51" s="491" t="s">
        <v>63</v>
      </c>
      <c r="D51" s="29" t="s">
        <v>325</v>
      </c>
      <c r="E51" s="425" t="s">
        <v>326</v>
      </c>
      <c r="F51" s="30">
        <f>SUM('SGTO POAI SEPT 30'!AF110:AF111)</f>
        <v>98270667</v>
      </c>
    </row>
    <row r="52" spans="1:9" ht="35.25" customHeight="1" x14ac:dyDescent="0.2">
      <c r="A52" s="83">
        <v>26</v>
      </c>
      <c r="B52" s="490"/>
      <c r="C52" s="491"/>
      <c r="D52" s="29" t="s">
        <v>359</v>
      </c>
      <c r="E52" s="425" t="s">
        <v>360</v>
      </c>
      <c r="F52" s="30">
        <f>SUM('SGTO POAI SEPT 30'!AF112:AF113)</f>
        <v>29900000</v>
      </c>
    </row>
    <row r="53" spans="1:9" ht="33.75" customHeight="1" thickBot="1" x14ac:dyDescent="0.25">
      <c r="A53" s="83">
        <v>27</v>
      </c>
      <c r="B53" s="494"/>
      <c r="C53" s="485"/>
      <c r="D53" s="34" t="s">
        <v>365</v>
      </c>
      <c r="E53" s="420" t="s">
        <v>366</v>
      </c>
      <c r="F53" s="69">
        <f>'SGTO POAI SEPT 30'!AF114</f>
        <v>22000000</v>
      </c>
    </row>
    <row r="54" spans="1:9" ht="17.25" customHeight="1" thickBot="1" x14ac:dyDescent="0.25">
      <c r="A54" s="83"/>
      <c r="B54" s="469" t="s">
        <v>1318</v>
      </c>
      <c r="C54" s="470"/>
      <c r="D54" s="470"/>
      <c r="E54" s="486"/>
      <c r="F54" s="70">
        <f>SUM(F55:F59)</f>
        <v>3003874935.3200002</v>
      </c>
      <c r="G54" s="33"/>
      <c r="H54" s="33"/>
      <c r="I54" s="33"/>
    </row>
    <row r="55" spans="1:9" ht="22.5" x14ac:dyDescent="0.2">
      <c r="A55" s="83">
        <v>28</v>
      </c>
      <c r="B55" s="487" t="s">
        <v>1</v>
      </c>
      <c r="C55" s="475" t="s">
        <v>165</v>
      </c>
      <c r="D55" s="59" t="s">
        <v>371</v>
      </c>
      <c r="E55" s="419" t="s">
        <v>372</v>
      </c>
      <c r="F55" s="64">
        <f>SUM('SGTO POAI SEPT 30'!AF119:AF120)</f>
        <v>1378852821.0799999</v>
      </c>
    </row>
    <row r="56" spans="1:9" ht="33.75" x14ac:dyDescent="0.2">
      <c r="A56" s="83">
        <v>29</v>
      </c>
      <c r="B56" s="495"/>
      <c r="C56" s="491"/>
      <c r="D56" s="29" t="s">
        <v>382</v>
      </c>
      <c r="E56" s="425" t="s">
        <v>383</v>
      </c>
      <c r="F56" s="30">
        <f>SUM('SGTO POAI SEPT 30'!AF121:AF122)</f>
        <v>204814218.74000001</v>
      </c>
    </row>
    <row r="57" spans="1:9" ht="45" x14ac:dyDescent="0.2">
      <c r="A57" s="83">
        <v>30</v>
      </c>
      <c r="B57" s="495"/>
      <c r="C57" s="491"/>
      <c r="D57" s="29" t="s">
        <v>394</v>
      </c>
      <c r="E57" s="425" t="s">
        <v>395</v>
      </c>
      <c r="F57" s="30">
        <f>'SGTO POAI SEPT 30'!AF123</f>
        <v>18000000</v>
      </c>
    </row>
    <row r="58" spans="1:9" ht="22.5" x14ac:dyDescent="0.2">
      <c r="A58" s="83">
        <v>31</v>
      </c>
      <c r="B58" s="495"/>
      <c r="C58" s="491"/>
      <c r="D58" s="29" t="s">
        <v>401</v>
      </c>
      <c r="E58" s="425" t="s">
        <v>402</v>
      </c>
      <c r="F58" s="30">
        <f>'SGTO POAI SEPT 30'!AF124</f>
        <v>1025653462.2</v>
      </c>
    </row>
    <row r="59" spans="1:9" ht="45.75" thickBot="1" x14ac:dyDescent="0.25">
      <c r="A59" s="83">
        <v>32</v>
      </c>
      <c r="B59" s="488"/>
      <c r="C59" s="420" t="s">
        <v>403</v>
      </c>
      <c r="D59" s="34" t="s">
        <v>409</v>
      </c>
      <c r="E59" s="420" t="s">
        <v>410</v>
      </c>
      <c r="F59" s="69">
        <f>'SGTO POAI SEPT 30'!AF125</f>
        <v>376554433.30000001</v>
      </c>
    </row>
    <row r="60" spans="1:9" ht="18.75" customHeight="1" thickBot="1" x14ac:dyDescent="0.25">
      <c r="A60" s="83"/>
      <c r="B60" s="469" t="s">
        <v>1319</v>
      </c>
      <c r="C60" s="470"/>
      <c r="D60" s="470"/>
      <c r="E60" s="470"/>
      <c r="F60" s="70">
        <f>SUM(F61:F65)</f>
        <v>2722170340.8499999</v>
      </c>
      <c r="G60" s="33"/>
      <c r="H60" s="33"/>
      <c r="I60" s="33"/>
    </row>
    <row r="61" spans="1:9" ht="32.25" customHeight="1" x14ac:dyDescent="0.2">
      <c r="A61" s="83">
        <v>33</v>
      </c>
      <c r="B61" s="493" t="s">
        <v>2</v>
      </c>
      <c r="C61" s="475" t="s">
        <v>192</v>
      </c>
      <c r="D61" s="59" t="s">
        <v>421</v>
      </c>
      <c r="E61" s="419" t="s">
        <v>422</v>
      </c>
      <c r="F61" s="64">
        <f>SUM('SGTO POAI SEPT 30'!AF132:AF133)</f>
        <v>75000000</v>
      </c>
    </row>
    <row r="62" spans="1:9" ht="31.5" customHeight="1" x14ac:dyDescent="0.2">
      <c r="A62" s="83">
        <v>34</v>
      </c>
      <c r="B62" s="493"/>
      <c r="C62" s="491"/>
      <c r="D62" s="29" t="s">
        <v>432</v>
      </c>
      <c r="E62" s="425" t="s">
        <v>433</v>
      </c>
      <c r="F62" s="30">
        <f>SUM('SGTO POAI SEPT 30'!AF134:AF135)</f>
        <v>209600000</v>
      </c>
    </row>
    <row r="63" spans="1:9" ht="35.25" customHeight="1" x14ac:dyDescent="0.2">
      <c r="A63" s="83">
        <v>35</v>
      </c>
      <c r="B63" s="493"/>
      <c r="C63" s="491"/>
      <c r="D63" s="29" t="s">
        <v>443</v>
      </c>
      <c r="E63" s="425" t="s">
        <v>444</v>
      </c>
      <c r="F63" s="30">
        <f>SUM('SGTO POAI SEPT 30'!AF136:AF138)</f>
        <v>325007436</v>
      </c>
    </row>
    <row r="64" spans="1:9" ht="29.25" customHeight="1" x14ac:dyDescent="0.2">
      <c r="A64" s="83">
        <v>36</v>
      </c>
      <c r="B64" s="493"/>
      <c r="C64" s="491"/>
      <c r="D64" s="29" t="s">
        <v>453</v>
      </c>
      <c r="E64" s="425" t="s">
        <v>454</v>
      </c>
      <c r="F64" s="30">
        <f>'SGTO POAI SEPT 30'!AF139</f>
        <v>876877904.85000002</v>
      </c>
    </row>
    <row r="65" spans="1:9" ht="54" customHeight="1" thickBot="1" x14ac:dyDescent="0.25">
      <c r="A65" s="83">
        <v>37</v>
      </c>
      <c r="B65" s="496"/>
      <c r="C65" s="61" t="s">
        <v>455</v>
      </c>
      <c r="D65" s="62" t="s">
        <v>460</v>
      </c>
      <c r="E65" s="61" t="s">
        <v>461</v>
      </c>
      <c r="F65" s="63">
        <f>SUM('SGTO POAI SEPT 30'!AF140)</f>
        <v>1235685000</v>
      </c>
    </row>
    <row r="66" spans="1:9" ht="20.25" customHeight="1" thickBot="1" x14ac:dyDescent="0.25">
      <c r="A66" s="83"/>
      <c r="B66" s="469" t="s">
        <v>1320</v>
      </c>
      <c r="C66" s="470"/>
      <c r="D66" s="470"/>
      <c r="E66" s="486"/>
      <c r="F66" s="60">
        <f>SUM(F67:F87)</f>
        <v>1618563166</v>
      </c>
      <c r="G66" s="33"/>
      <c r="H66" s="33"/>
      <c r="I66" s="33"/>
    </row>
    <row r="67" spans="1:9" ht="33" customHeight="1" x14ac:dyDescent="0.2">
      <c r="A67" s="83">
        <v>38</v>
      </c>
      <c r="B67" s="493" t="s">
        <v>2</v>
      </c>
      <c r="C67" s="474" t="s">
        <v>475</v>
      </c>
      <c r="D67" s="59" t="s">
        <v>481</v>
      </c>
      <c r="E67" s="419" t="s">
        <v>482</v>
      </c>
      <c r="F67" s="64">
        <f>SUM('SGTO POAI SEPT 30'!AF149:AF150)</f>
        <v>303794030</v>
      </c>
    </row>
    <row r="68" spans="1:9" ht="45.75" customHeight="1" x14ac:dyDescent="0.2">
      <c r="A68" s="83">
        <v>39</v>
      </c>
      <c r="B68" s="493"/>
      <c r="C68" s="474"/>
      <c r="D68" s="29" t="s">
        <v>494</v>
      </c>
      <c r="E68" s="425" t="s">
        <v>495</v>
      </c>
      <c r="F68" s="30">
        <f>'SGTO POAI SEPT 30'!AF151</f>
        <v>110000000</v>
      </c>
    </row>
    <row r="69" spans="1:9" ht="40.5" customHeight="1" x14ac:dyDescent="0.2">
      <c r="A69" s="83">
        <v>40</v>
      </c>
      <c r="B69" s="493"/>
      <c r="C69" s="474"/>
      <c r="D69" s="29" t="s">
        <v>501</v>
      </c>
      <c r="E69" s="425" t="s">
        <v>502</v>
      </c>
      <c r="F69" s="30">
        <f>SUM('SGTO POAI SEPT 30'!AF152:AF153)</f>
        <v>61400000</v>
      </c>
    </row>
    <row r="70" spans="1:9" ht="39" customHeight="1" x14ac:dyDescent="0.2">
      <c r="A70" s="83">
        <v>41</v>
      </c>
      <c r="B70" s="493"/>
      <c r="C70" s="474"/>
      <c r="D70" s="29" t="s">
        <v>1359</v>
      </c>
      <c r="E70" s="425" t="s">
        <v>510</v>
      </c>
      <c r="F70" s="30">
        <f>SUM('SGTO POAI SEPT 30'!AF154:AF155)</f>
        <v>50000000</v>
      </c>
    </row>
    <row r="71" spans="1:9" ht="41.25" customHeight="1" x14ac:dyDescent="0.2">
      <c r="A71" s="83">
        <v>42</v>
      </c>
      <c r="B71" s="493"/>
      <c r="C71" s="474"/>
      <c r="D71" s="29" t="s">
        <v>521</v>
      </c>
      <c r="E71" s="425" t="s">
        <v>522</v>
      </c>
      <c r="F71" s="30">
        <f>SUM('SGTO POAI SEPT 30'!AF156:AF158)</f>
        <v>39000000</v>
      </c>
    </row>
    <row r="72" spans="1:9" ht="38.25" customHeight="1" x14ac:dyDescent="0.2">
      <c r="A72" s="83">
        <v>43</v>
      </c>
      <c r="B72" s="493"/>
      <c r="C72" s="475"/>
      <c r="D72" s="29" t="s">
        <v>534</v>
      </c>
      <c r="E72" s="425" t="s">
        <v>535</v>
      </c>
      <c r="F72" s="30">
        <f>SUM('SGTO POAI SEPT 30'!AF159)</f>
        <v>30000000</v>
      </c>
    </row>
    <row r="73" spans="1:9" ht="56.25" customHeight="1" x14ac:dyDescent="0.2">
      <c r="A73" s="83"/>
      <c r="B73" s="493"/>
      <c r="C73" s="425" t="s">
        <v>536</v>
      </c>
      <c r="D73" s="29" t="s">
        <v>521</v>
      </c>
      <c r="E73" s="425" t="s">
        <v>4</v>
      </c>
      <c r="F73" s="30">
        <f>'SGTO POAI SEPT 30'!AF161</f>
        <v>40000000</v>
      </c>
    </row>
    <row r="74" spans="1:9" ht="48" customHeight="1" x14ac:dyDescent="0.2">
      <c r="A74" s="83">
        <v>44</v>
      </c>
      <c r="B74" s="493"/>
      <c r="C74" s="425" t="s">
        <v>542</v>
      </c>
      <c r="D74" s="29" t="s">
        <v>548</v>
      </c>
      <c r="E74" s="425" t="s">
        <v>549</v>
      </c>
      <c r="F74" s="30">
        <f>SUM('SGTO POAI SEPT 30'!AF163:AF164)</f>
        <v>40000000</v>
      </c>
    </row>
    <row r="75" spans="1:9" ht="45" customHeight="1" x14ac:dyDescent="0.2">
      <c r="A75" s="83"/>
      <c r="B75" s="493"/>
      <c r="C75" s="425" t="s">
        <v>555</v>
      </c>
      <c r="D75" s="29" t="s">
        <v>501</v>
      </c>
      <c r="E75" s="425" t="s">
        <v>502</v>
      </c>
      <c r="F75" s="30">
        <f>'SGTO POAI SEPT 30'!AF166</f>
        <v>12800000</v>
      </c>
    </row>
    <row r="76" spans="1:9" ht="42" customHeight="1" x14ac:dyDescent="0.2">
      <c r="A76" s="83"/>
      <c r="B76" s="493"/>
      <c r="C76" s="425" t="s">
        <v>561</v>
      </c>
      <c r="D76" s="29" t="s">
        <v>1359</v>
      </c>
      <c r="E76" s="425" t="s">
        <v>5</v>
      </c>
      <c r="F76" s="30">
        <f>'SGTO POAI SEPT 30'!AF168</f>
        <v>50000000</v>
      </c>
    </row>
    <row r="77" spans="1:9" ht="56.25" customHeight="1" x14ac:dyDescent="0.2">
      <c r="A77" s="83">
        <v>45</v>
      </c>
      <c r="B77" s="493"/>
      <c r="C77" s="425" t="s">
        <v>567</v>
      </c>
      <c r="D77" s="29" t="s">
        <v>572</v>
      </c>
      <c r="E77" s="425" t="s">
        <v>573</v>
      </c>
      <c r="F77" s="30">
        <f>'SGTO POAI SEPT 30'!AF170+'SGTO POAI SEPT 30'!AF171</f>
        <v>30519269</v>
      </c>
    </row>
    <row r="78" spans="1:9" ht="42.75" customHeight="1" x14ac:dyDescent="0.2">
      <c r="A78" s="83"/>
      <c r="B78" s="493"/>
      <c r="C78" s="425" t="s">
        <v>184</v>
      </c>
      <c r="D78" s="29" t="s">
        <v>534</v>
      </c>
      <c r="E78" s="425" t="s">
        <v>578</v>
      </c>
      <c r="F78" s="30">
        <f>SUM('SGTO POAI SEPT 30'!AF173:AF174)</f>
        <v>75000000</v>
      </c>
    </row>
    <row r="79" spans="1:9" ht="42" customHeight="1" x14ac:dyDescent="0.2">
      <c r="A79" s="83"/>
      <c r="B79" s="487"/>
      <c r="C79" s="425" t="s">
        <v>192</v>
      </c>
      <c r="D79" s="29" t="s">
        <v>501</v>
      </c>
      <c r="E79" s="425" t="s">
        <v>502</v>
      </c>
      <c r="F79" s="30">
        <f>SUM('SGTO POAI SEPT 30'!AF176:AF177)</f>
        <v>40000000</v>
      </c>
    </row>
    <row r="80" spans="1:9" ht="56.25" customHeight="1" x14ac:dyDescent="0.2">
      <c r="A80" s="83">
        <v>46</v>
      </c>
      <c r="B80" s="488" t="s">
        <v>3</v>
      </c>
      <c r="C80" s="425" t="s">
        <v>591</v>
      </c>
      <c r="D80" s="29" t="s">
        <v>597</v>
      </c>
      <c r="E80" s="425" t="s">
        <v>598</v>
      </c>
      <c r="F80" s="30">
        <f>SUM('SGTO POAI SEPT 30'!AF180)</f>
        <v>40000000</v>
      </c>
    </row>
    <row r="81" spans="1:9" ht="33" customHeight="1" x14ac:dyDescent="0.2">
      <c r="A81" s="83">
        <v>47</v>
      </c>
      <c r="B81" s="493"/>
      <c r="C81" s="491" t="s">
        <v>205</v>
      </c>
      <c r="D81" s="29" t="s">
        <v>603</v>
      </c>
      <c r="E81" s="425" t="s">
        <v>604</v>
      </c>
      <c r="F81" s="30">
        <f>SUM('SGTO POAI SEPT 30'!AF182)</f>
        <v>80000000</v>
      </c>
    </row>
    <row r="82" spans="1:9" ht="39" customHeight="1" x14ac:dyDescent="0.2">
      <c r="A82" s="83">
        <v>48</v>
      </c>
      <c r="B82" s="493"/>
      <c r="C82" s="491"/>
      <c r="D82" s="29" t="s">
        <v>610</v>
      </c>
      <c r="E82" s="425" t="s">
        <v>611</v>
      </c>
      <c r="F82" s="30">
        <f>SUM('SGTO POAI SEPT 30'!AF183:AF184)</f>
        <v>450049867</v>
      </c>
    </row>
    <row r="83" spans="1:9" ht="38.25" customHeight="1" x14ac:dyDescent="0.2">
      <c r="A83" s="83">
        <v>49</v>
      </c>
      <c r="B83" s="493"/>
      <c r="C83" s="491"/>
      <c r="D83" s="29" t="s">
        <v>619</v>
      </c>
      <c r="E83" s="425" t="s">
        <v>620</v>
      </c>
      <c r="F83" s="30">
        <f>SUM('SGTO POAI SEPT 30'!AF185)</f>
        <v>30000000</v>
      </c>
    </row>
    <row r="84" spans="1:9" ht="22.5" x14ac:dyDescent="0.2">
      <c r="A84" s="83">
        <v>50</v>
      </c>
      <c r="B84" s="493"/>
      <c r="C84" s="491"/>
      <c r="D84" s="29" t="s">
        <v>625</v>
      </c>
      <c r="E84" s="425" t="s">
        <v>626</v>
      </c>
      <c r="F84" s="30">
        <f>SUM('SGTO POAI SEPT 30'!AF186)</f>
        <v>40000000</v>
      </c>
    </row>
    <row r="85" spans="1:9" ht="42.75" customHeight="1" x14ac:dyDescent="0.2">
      <c r="A85" s="83">
        <v>51</v>
      </c>
      <c r="B85" s="493"/>
      <c r="C85" s="425" t="s">
        <v>628</v>
      </c>
      <c r="D85" s="29" t="s">
        <v>634</v>
      </c>
      <c r="E85" s="425" t="s">
        <v>635</v>
      </c>
      <c r="F85" s="30">
        <f>SUM('SGTO POAI SEPT 30'!AF188)</f>
        <v>26000000</v>
      </c>
    </row>
    <row r="86" spans="1:9" ht="41.25" customHeight="1" x14ac:dyDescent="0.2">
      <c r="A86" s="83"/>
      <c r="B86" s="493"/>
      <c r="C86" s="425" t="s">
        <v>210</v>
      </c>
      <c r="D86" s="29" t="s">
        <v>625</v>
      </c>
      <c r="E86" s="425" t="s">
        <v>626</v>
      </c>
      <c r="F86" s="30">
        <f>'SGTO POAI SEPT 30'!AF190</f>
        <v>50000000</v>
      </c>
    </row>
    <row r="87" spans="1:9" ht="56.25" customHeight="1" thickBot="1" x14ac:dyDescent="0.25">
      <c r="A87" s="83">
        <v>52</v>
      </c>
      <c r="B87" s="493"/>
      <c r="C87" s="420" t="s">
        <v>641</v>
      </c>
      <c r="D87" s="34" t="s">
        <v>647</v>
      </c>
      <c r="E87" s="420" t="s">
        <v>6</v>
      </c>
      <c r="F87" s="69">
        <f>'SGTO POAI SEPT 30'!AF192</f>
        <v>20000000</v>
      </c>
    </row>
    <row r="88" spans="1:9" ht="15.75" customHeight="1" thickBot="1" x14ac:dyDescent="0.25">
      <c r="A88" s="83"/>
      <c r="B88" s="469" t="s">
        <v>1321</v>
      </c>
      <c r="C88" s="470"/>
      <c r="D88" s="470"/>
      <c r="E88" s="486"/>
      <c r="F88" s="67">
        <v>1291267429</v>
      </c>
      <c r="G88" s="33"/>
      <c r="H88" s="33"/>
      <c r="I88" s="33"/>
    </row>
    <row r="89" spans="1:9" ht="33.75" customHeight="1" x14ac:dyDescent="0.2">
      <c r="A89" s="83">
        <v>53</v>
      </c>
      <c r="B89" s="493" t="s">
        <v>46</v>
      </c>
      <c r="C89" s="474" t="s">
        <v>649</v>
      </c>
      <c r="D89" s="59" t="s">
        <v>653</v>
      </c>
      <c r="E89" s="419" t="s">
        <v>654</v>
      </c>
      <c r="F89" s="64">
        <f>'SGTO POAI SEPT 30'!AF197</f>
        <v>255021326</v>
      </c>
    </row>
    <row r="90" spans="1:9" ht="33.75" customHeight="1" x14ac:dyDescent="0.2">
      <c r="A90" s="83">
        <v>54</v>
      </c>
      <c r="B90" s="493"/>
      <c r="C90" s="475"/>
      <c r="D90" s="29" t="s">
        <v>659</v>
      </c>
      <c r="E90" s="425" t="s">
        <v>660</v>
      </c>
      <c r="F90" s="30">
        <f>'SGTO POAI SEPT 30'!AF198</f>
        <v>786246103</v>
      </c>
    </row>
    <row r="91" spans="1:9" ht="51.75" customHeight="1" thickBot="1" x14ac:dyDescent="0.25">
      <c r="A91" s="83">
        <v>55</v>
      </c>
      <c r="B91" s="493"/>
      <c r="C91" s="420" t="s">
        <v>63</v>
      </c>
      <c r="D91" s="34" t="s">
        <v>664</v>
      </c>
      <c r="E91" s="420" t="s">
        <v>665</v>
      </c>
      <c r="F91" s="69">
        <f>'SGTO POAI SEPT 30'!AF200</f>
        <v>250000000</v>
      </c>
      <c r="G91" s="197"/>
    </row>
    <row r="92" spans="1:9" s="48" customFormat="1" ht="18" customHeight="1" thickBot="1" x14ac:dyDescent="0.25">
      <c r="A92" s="84"/>
      <c r="B92" s="469" t="s">
        <v>1322</v>
      </c>
      <c r="C92" s="470"/>
      <c r="D92" s="470"/>
      <c r="E92" s="486"/>
      <c r="F92" s="60">
        <f>SUM(F93:F105)</f>
        <v>179058544424.88</v>
      </c>
      <c r="G92" s="196"/>
      <c r="H92" s="196"/>
      <c r="I92" s="196"/>
    </row>
    <row r="93" spans="1:9" s="37" customFormat="1" ht="45" x14ac:dyDescent="0.2">
      <c r="A93" s="201">
        <v>56</v>
      </c>
      <c r="B93" s="492" t="s">
        <v>1</v>
      </c>
      <c r="C93" s="497" t="s">
        <v>155</v>
      </c>
      <c r="D93" s="71" t="s">
        <v>672</v>
      </c>
      <c r="E93" s="423" t="s">
        <v>673</v>
      </c>
      <c r="F93" s="205">
        <f>SUM('SGTO POAI SEPT 30'!AF205:AF206)</f>
        <v>20161748384.630001</v>
      </c>
    </row>
    <row r="94" spans="1:9" s="37" customFormat="1" ht="33.75" x14ac:dyDescent="0.2">
      <c r="A94" s="201">
        <v>57</v>
      </c>
      <c r="B94" s="492"/>
      <c r="C94" s="497"/>
      <c r="D94" s="35" t="s">
        <v>684</v>
      </c>
      <c r="E94" s="36" t="s">
        <v>685</v>
      </c>
      <c r="F94" s="206">
        <f>SUM('SGTO POAI SEPT 30'!AF207:AF208)</f>
        <v>1632000000</v>
      </c>
    </row>
    <row r="95" spans="1:9" s="37" customFormat="1" ht="22.5" x14ac:dyDescent="0.2">
      <c r="A95" s="201">
        <v>58</v>
      </c>
      <c r="B95" s="492"/>
      <c r="C95" s="497"/>
      <c r="D95" s="35" t="s">
        <v>696</v>
      </c>
      <c r="E95" s="36" t="s">
        <v>8</v>
      </c>
      <c r="F95" s="206">
        <f>SUM('SGTO POAI SEPT 30'!AF209)</f>
        <v>151921135464.94</v>
      </c>
    </row>
    <row r="96" spans="1:9" s="37" customFormat="1" ht="33.75" x14ac:dyDescent="0.2">
      <c r="A96" s="201">
        <v>59</v>
      </c>
      <c r="B96" s="492"/>
      <c r="C96" s="497"/>
      <c r="D96" s="35" t="s">
        <v>697</v>
      </c>
      <c r="E96" s="36" t="s">
        <v>698</v>
      </c>
      <c r="F96" s="206">
        <f>SUM('SGTO POAI SEPT 30'!AF210)</f>
        <v>3762000000</v>
      </c>
    </row>
    <row r="97" spans="1:9" s="37" customFormat="1" ht="45" x14ac:dyDescent="0.2">
      <c r="A97" s="201">
        <v>60</v>
      </c>
      <c r="B97" s="492"/>
      <c r="C97" s="497"/>
      <c r="D97" s="35" t="s">
        <v>704</v>
      </c>
      <c r="E97" s="36" t="s">
        <v>705</v>
      </c>
      <c r="F97" s="206">
        <f>SUM('SGTO POAI SEPT 30'!AF211:AF216)</f>
        <v>471822075.30999994</v>
      </c>
    </row>
    <row r="98" spans="1:9" s="37" customFormat="1" ht="45" x14ac:dyDescent="0.2">
      <c r="A98" s="201">
        <v>61</v>
      </c>
      <c r="B98" s="492"/>
      <c r="C98" s="497"/>
      <c r="D98" s="35" t="s">
        <v>714</v>
      </c>
      <c r="E98" s="36" t="s">
        <v>715</v>
      </c>
      <c r="F98" s="206">
        <f>SUM('SGTO POAI SEPT 30'!AF217)</f>
        <v>20000000</v>
      </c>
    </row>
    <row r="99" spans="1:9" s="37" customFormat="1" ht="33.75" x14ac:dyDescent="0.2">
      <c r="A99" s="201">
        <v>62</v>
      </c>
      <c r="B99" s="492"/>
      <c r="C99" s="497"/>
      <c r="D99" s="35" t="s">
        <v>716</v>
      </c>
      <c r="E99" s="36" t="s">
        <v>717</v>
      </c>
      <c r="F99" s="206">
        <f>SUM('SGTO POAI SEPT 30'!AF218)</f>
        <v>76000000</v>
      </c>
    </row>
    <row r="100" spans="1:9" s="37" customFormat="1" ht="22.5" x14ac:dyDescent="0.2">
      <c r="A100" s="201">
        <v>63</v>
      </c>
      <c r="B100" s="492"/>
      <c r="C100" s="497"/>
      <c r="D100" s="35" t="s">
        <v>723</v>
      </c>
      <c r="E100" s="36" t="s">
        <v>724</v>
      </c>
      <c r="F100" s="206">
        <f>SUM('SGTO POAI SEPT 30'!AF219)</f>
        <v>40000000</v>
      </c>
    </row>
    <row r="101" spans="1:9" ht="33.75" x14ac:dyDescent="0.2">
      <c r="A101" s="201">
        <v>64</v>
      </c>
      <c r="B101" s="492"/>
      <c r="C101" s="497"/>
      <c r="D101" s="35" t="s">
        <v>729</v>
      </c>
      <c r="E101" s="36" t="s">
        <v>730</v>
      </c>
      <c r="F101" s="206">
        <f>SUM('SGTO POAI SEPT 30'!AF220:AF221)</f>
        <v>700000000</v>
      </c>
    </row>
    <row r="102" spans="1:9" ht="45" x14ac:dyDescent="0.2">
      <c r="A102" s="201">
        <v>65</v>
      </c>
      <c r="B102" s="492"/>
      <c r="C102" s="497"/>
      <c r="D102" s="35" t="s">
        <v>737</v>
      </c>
      <c r="E102" s="36" t="s">
        <v>738</v>
      </c>
      <c r="F102" s="206">
        <f>SUM('SGTO POAI SEPT 30'!AF222:AF224)</f>
        <v>20000000</v>
      </c>
    </row>
    <row r="103" spans="1:9" ht="33.75" x14ac:dyDescent="0.2">
      <c r="A103" s="201">
        <v>66</v>
      </c>
      <c r="B103" s="492"/>
      <c r="C103" s="498"/>
      <c r="D103" s="35" t="s">
        <v>749</v>
      </c>
      <c r="E103" s="36" t="s">
        <v>7</v>
      </c>
      <c r="F103" s="206">
        <f>SUM('SGTO POAI SEPT 30'!AF225)</f>
        <v>10000000</v>
      </c>
    </row>
    <row r="104" spans="1:9" ht="33.75" x14ac:dyDescent="0.2">
      <c r="A104" s="201">
        <v>67</v>
      </c>
      <c r="B104" s="492"/>
      <c r="C104" s="499" t="s">
        <v>750</v>
      </c>
      <c r="D104" s="35" t="s">
        <v>716</v>
      </c>
      <c r="E104" s="36" t="s">
        <v>756</v>
      </c>
      <c r="F104" s="206">
        <f>SUM('SGTO POAI SEPT 30'!AF227)</f>
        <v>43838500</v>
      </c>
    </row>
    <row r="105" spans="1:9" ht="45.75" thickBot="1" x14ac:dyDescent="0.25">
      <c r="A105" s="201">
        <v>68</v>
      </c>
      <c r="B105" s="492"/>
      <c r="C105" s="497"/>
      <c r="D105" s="72" t="s">
        <v>757</v>
      </c>
      <c r="E105" s="424" t="s">
        <v>758</v>
      </c>
      <c r="F105" s="207">
        <f>SUM('SGTO POAI SEPT 30'!AF228)</f>
        <v>200000000</v>
      </c>
    </row>
    <row r="106" spans="1:9" ht="19.5" customHeight="1" thickBot="1" x14ac:dyDescent="0.25">
      <c r="A106" s="83"/>
      <c r="B106" s="469" t="s">
        <v>1323</v>
      </c>
      <c r="C106" s="470"/>
      <c r="D106" s="470"/>
      <c r="E106" s="470"/>
      <c r="F106" s="70">
        <f>SUM(F107:F131)</f>
        <v>5743774901.3899994</v>
      </c>
      <c r="G106" s="33"/>
      <c r="H106" s="33"/>
      <c r="I106" s="33"/>
    </row>
    <row r="107" spans="1:9" ht="45" x14ac:dyDescent="0.2">
      <c r="A107" s="83">
        <v>69</v>
      </c>
      <c r="B107" s="493" t="s">
        <v>760</v>
      </c>
      <c r="C107" s="419" t="s">
        <v>761</v>
      </c>
      <c r="D107" s="59" t="s">
        <v>767</v>
      </c>
      <c r="E107" s="419" t="s">
        <v>768</v>
      </c>
      <c r="F107" s="64">
        <f>'SGTO POAI SEPT 30'!AF232</f>
        <v>54477635</v>
      </c>
    </row>
    <row r="108" spans="1:9" ht="33.75" x14ac:dyDescent="0.2">
      <c r="A108" s="83">
        <v>70</v>
      </c>
      <c r="B108" s="493"/>
      <c r="C108" s="425" t="s">
        <v>165</v>
      </c>
      <c r="D108" s="29" t="s">
        <v>777</v>
      </c>
      <c r="E108" s="425" t="s">
        <v>778</v>
      </c>
      <c r="F108" s="30">
        <f>'SGTO POAI SEPT 30'!AF236</f>
        <v>47000000</v>
      </c>
    </row>
    <row r="109" spans="1:9" ht="33.75" x14ac:dyDescent="0.2">
      <c r="A109" s="83">
        <v>71</v>
      </c>
      <c r="B109" s="493"/>
      <c r="C109" s="491" t="s">
        <v>779</v>
      </c>
      <c r="D109" s="29" t="s">
        <v>784</v>
      </c>
      <c r="E109" s="425" t="s">
        <v>785</v>
      </c>
      <c r="F109" s="30">
        <f>SUM('SGTO POAI SEPT 30'!AF238:AF239)</f>
        <v>55000000</v>
      </c>
    </row>
    <row r="110" spans="1:9" ht="22.5" x14ac:dyDescent="0.2">
      <c r="A110" s="83">
        <v>72</v>
      </c>
      <c r="B110" s="493"/>
      <c r="C110" s="491"/>
      <c r="D110" s="29" t="s">
        <v>796</v>
      </c>
      <c r="E110" s="425" t="s">
        <v>797</v>
      </c>
      <c r="F110" s="30">
        <f>'SGTO POAI SEPT 30'!AF240</f>
        <v>79896166</v>
      </c>
    </row>
    <row r="111" spans="1:9" ht="33.75" x14ac:dyDescent="0.2">
      <c r="A111" s="83">
        <v>73</v>
      </c>
      <c r="B111" s="493"/>
      <c r="C111" s="491"/>
      <c r="D111" s="29" t="s">
        <v>803</v>
      </c>
      <c r="E111" s="425" t="s">
        <v>804</v>
      </c>
      <c r="F111" s="30">
        <f>'SGTO POAI SEPT 30'!AF241</f>
        <v>240000000</v>
      </c>
    </row>
    <row r="112" spans="1:9" ht="33.75" x14ac:dyDescent="0.2">
      <c r="A112" s="83"/>
      <c r="B112" s="493"/>
      <c r="C112" s="491"/>
      <c r="D112" s="29" t="s">
        <v>777</v>
      </c>
      <c r="E112" s="425" t="s">
        <v>778</v>
      </c>
      <c r="F112" s="30">
        <f>'SGTO POAI SEPT 30'!AF242</f>
        <v>40401666</v>
      </c>
    </row>
    <row r="113" spans="1:6" s="38" customFormat="1" ht="56.25" x14ac:dyDescent="0.25">
      <c r="A113" s="83">
        <v>74</v>
      </c>
      <c r="B113" s="493"/>
      <c r="C113" s="491"/>
      <c r="D113" s="29" t="s">
        <v>815</v>
      </c>
      <c r="E113" s="425" t="s">
        <v>816</v>
      </c>
      <c r="F113" s="30">
        <f>SUM('SGTO POAI SEPT 30'!AF243)</f>
        <v>13000000</v>
      </c>
    </row>
    <row r="114" spans="1:6" s="38" customFormat="1" ht="45" x14ac:dyDescent="0.25">
      <c r="A114" s="83">
        <v>75</v>
      </c>
      <c r="B114" s="493"/>
      <c r="C114" s="491"/>
      <c r="D114" s="39" t="s">
        <v>822</v>
      </c>
      <c r="E114" s="425" t="s">
        <v>823</v>
      </c>
      <c r="F114" s="30">
        <f>'SGTO POAI SEPT 30'!AF244</f>
        <v>55000000</v>
      </c>
    </row>
    <row r="115" spans="1:6" s="38" customFormat="1" ht="56.25" x14ac:dyDescent="0.25">
      <c r="A115" s="83">
        <v>76</v>
      </c>
      <c r="B115" s="493"/>
      <c r="C115" s="491"/>
      <c r="D115" s="29" t="s">
        <v>829</v>
      </c>
      <c r="E115" s="425" t="s">
        <v>830</v>
      </c>
      <c r="F115" s="30">
        <f>'SGTO POAI SEPT 30'!AF245</f>
        <v>14000000</v>
      </c>
    </row>
    <row r="116" spans="1:6" s="38" customFormat="1" ht="33.75" x14ac:dyDescent="0.25">
      <c r="A116" s="83"/>
      <c r="B116" s="493"/>
      <c r="C116" s="491" t="s">
        <v>304</v>
      </c>
      <c r="D116" s="29" t="s">
        <v>777</v>
      </c>
      <c r="E116" s="425" t="s">
        <v>778</v>
      </c>
      <c r="F116" s="30">
        <f>'SGTO POAI SEPT 30'!AF247</f>
        <v>27000000</v>
      </c>
    </row>
    <row r="117" spans="1:6" ht="33.75" x14ac:dyDescent="0.2">
      <c r="A117" s="83">
        <v>77</v>
      </c>
      <c r="B117" s="493"/>
      <c r="C117" s="491"/>
      <c r="D117" s="29" t="s">
        <v>838</v>
      </c>
      <c r="E117" s="40" t="s">
        <v>839</v>
      </c>
      <c r="F117" s="30">
        <f>'SGTO POAI SEPT 30'!AF248</f>
        <v>44520000</v>
      </c>
    </row>
    <row r="118" spans="1:6" ht="56.25" x14ac:dyDescent="0.2">
      <c r="A118" s="83"/>
      <c r="B118" s="493"/>
      <c r="C118" s="491"/>
      <c r="D118" s="29" t="s">
        <v>815</v>
      </c>
      <c r="E118" s="425" t="s">
        <v>816</v>
      </c>
      <c r="F118" s="30">
        <f>'SGTO POAI SEPT 30'!AF249</f>
        <v>25000000</v>
      </c>
    </row>
    <row r="119" spans="1:6" ht="33.75" x14ac:dyDescent="0.2">
      <c r="A119" s="83">
        <v>78</v>
      </c>
      <c r="B119" s="493"/>
      <c r="C119" s="491"/>
      <c r="D119" s="39" t="s">
        <v>849</v>
      </c>
      <c r="E119" s="425" t="s">
        <v>850</v>
      </c>
      <c r="F119" s="30">
        <f>'SGTO POAI SEPT 30'!AF250</f>
        <v>27000000</v>
      </c>
    </row>
    <row r="120" spans="1:6" ht="45" x14ac:dyDescent="0.2">
      <c r="A120" s="83">
        <v>79</v>
      </c>
      <c r="B120" s="493"/>
      <c r="C120" s="491"/>
      <c r="D120" s="39" t="s">
        <v>856</v>
      </c>
      <c r="E120" s="425" t="s">
        <v>857</v>
      </c>
      <c r="F120" s="30">
        <f>SUM('SGTO POAI SEPT 30'!AF251:AF252)</f>
        <v>79500000</v>
      </c>
    </row>
    <row r="121" spans="1:6" ht="33.75" x14ac:dyDescent="0.2">
      <c r="A121" s="83">
        <v>80</v>
      </c>
      <c r="B121" s="493"/>
      <c r="C121" s="491"/>
      <c r="D121" s="39" t="s">
        <v>866</v>
      </c>
      <c r="E121" s="425" t="s">
        <v>867</v>
      </c>
      <c r="F121" s="30">
        <f>'SGTO POAI SEPT 30'!AF253</f>
        <v>30000000</v>
      </c>
    </row>
    <row r="122" spans="1:6" ht="33.75" x14ac:dyDescent="0.2">
      <c r="A122" s="83"/>
      <c r="B122" s="493"/>
      <c r="C122" s="485" t="s">
        <v>868</v>
      </c>
      <c r="D122" s="39" t="s">
        <v>849</v>
      </c>
      <c r="E122" s="425" t="s">
        <v>850</v>
      </c>
      <c r="F122" s="30">
        <f>SUM('SGTO POAI SEPT 30'!AF255:AF256)</f>
        <v>39000000</v>
      </c>
    </row>
    <row r="123" spans="1:6" ht="33.75" x14ac:dyDescent="0.2">
      <c r="A123" s="83">
        <v>81</v>
      </c>
      <c r="B123" s="493"/>
      <c r="C123" s="474"/>
      <c r="D123" s="39" t="s">
        <v>882</v>
      </c>
      <c r="E123" s="425" t="s">
        <v>883</v>
      </c>
      <c r="F123" s="30">
        <f>'SGTO POAI SEPT 30'!AF257</f>
        <v>18000000</v>
      </c>
    </row>
    <row r="124" spans="1:6" ht="22.5" x14ac:dyDescent="0.2">
      <c r="A124" s="83">
        <v>82</v>
      </c>
      <c r="B124" s="493"/>
      <c r="C124" s="474"/>
      <c r="D124" s="39" t="s">
        <v>889</v>
      </c>
      <c r="E124" s="425" t="s">
        <v>890</v>
      </c>
      <c r="F124" s="30">
        <f>'SGTO POAI SEPT 30'!AF258</f>
        <v>83980000</v>
      </c>
    </row>
    <row r="125" spans="1:6" ht="22.5" x14ac:dyDescent="0.2">
      <c r="A125" s="83">
        <v>83</v>
      </c>
      <c r="B125" s="493"/>
      <c r="C125" s="474"/>
      <c r="D125" s="39" t="s">
        <v>896</v>
      </c>
      <c r="E125" s="425" t="s">
        <v>897</v>
      </c>
      <c r="F125" s="30">
        <f>'SGTO POAI SEPT 30'!AF259</f>
        <v>79725000</v>
      </c>
    </row>
    <row r="126" spans="1:6" ht="22.5" x14ac:dyDescent="0.2">
      <c r="A126" s="83">
        <v>84</v>
      </c>
      <c r="B126" s="493"/>
      <c r="C126" s="474"/>
      <c r="D126" s="39" t="s">
        <v>902</v>
      </c>
      <c r="E126" s="425" t="s">
        <v>903</v>
      </c>
      <c r="F126" s="30">
        <f>SUM('SGTO POAI SEPT 30'!AF260:AF262)</f>
        <v>4382727592.3899994</v>
      </c>
    </row>
    <row r="127" spans="1:6" ht="33.75" x14ac:dyDescent="0.2">
      <c r="A127" s="83">
        <v>85</v>
      </c>
      <c r="B127" s="493"/>
      <c r="C127" s="475"/>
      <c r="D127" s="39" t="s">
        <v>917</v>
      </c>
      <c r="E127" s="425" t="s">
        <v>918</v>
      </c>
      <c r="F127" s="30">
        <f>'SGTO POAI SEPT 30'!AF263</f>
        <v>188546842</v>
      </c>
    </row>
    <row r="128" spans="1:6" ht="67.5" x14ac:dyDescent="0.2">
      <c r="A128" s="83">
        <v>86</v>
      </c>
      <c r="B128" s="493"/>
      <c r="C128" s="485" t="s">
        <v>312</v>
      </c>
      <c r="D128" s="39" t="s">
        <v>922</v>
      </c>
      <c r="E128" s="425" t="s">
        <v>923</v>
      </c>
      <c r="F128" s="30">
        <f>'SGTO POAI SEPT 30'!AF265</f>
        <v>40000000</v>
      </c>
    </row>
    <row r="129" spans="1:9" ht="22.5" x14ac:dyDescent="0.2">
      <c r="A129" s="83">
        <v>87</v>
      </c>
      <c r="B129" s="493"/>
      <c r="C129" s="474"/>
      <c r="D129" s="41" t="s">
        <v>926</v>
      </c>
      <c r="E129" s="420" t="s">
        <v>927</v>
      </c>
      <c r="F129" s="69">
        <f>'SGTO POAI SEPT 30'!AF266</f>
        <v>40000000</v>
      </c>
    </row>
    <row r="130" spans="1:9" ht="45" x14ac:dyDescent="0.2">
      <c r="A130" s="83"/>
      <c r="B130" s="426" t="s">
        <v>2</v>
      </c>
      <c r="C130" s="425" t="s">
        <v>928</v>
      </c>
      <c r="D130" s="39" t="s">
        <v>822</v>
      </c>
      <c r="E130" s="425" t="s">
        <v>934</v>
      </c>
      <c r="F130" s="30">
        <f>'SGTO POAI SEPT 30'!AF269</f>
        <v>25000000</v>
      </c>
    </row>
    <row r="131" spans="1:9" ht="68.25" thickBot="1" x14ac:dyDescent="0.25">
      <c r="A131" s="83"/>
      <c r="B131" s="426" t="s">
        <v>72</v>
      </c>
      <c r="C131" s="420" t="s">
        <v>63</v>
      </c>
      <c r="D131" s="41" t="s">
        <v>922</v>
      </c>
      <c r="E131" s="420" t="s">
        <v>923</v>
      </c>
      <c r="F131" s="69">
        <f>'SGTO POAI SEPT 30'!AF272</f>
        <v>15000000</v>
      </c>
    </row>
    <row r="132" spans="1:9" ht="20.25" customHeight="1" thickBot="1" x14ac:dyDescent="0.25">
      <c r="A132" s="83"/>
      <c r="B132" s="70" t="s">
        <v>1324</v>
      </c>
      <c r="C132" s="214"/>
      <c r="D132" s="65"/>
      <c r="E132" s="65"/>
      <c r="F132" s="70">
        <f>SUM(F133:F157)</f>
        <v>40878834321.080002</v>
      </c>
      <c r="G132" s="33"/>
      <c r="H132" s="33"/>
      <c r="I132" s="33"/>
    </row>
    <row r="133" spans="1:9" ht="22.5" x14ac:dyDescent="0.2">
      <c r="A133" s="83">
        <v>88</v>
      </c>
      <c r="B133" s="500" t="s">
        <v>939</v>
      </c>
      <c r="C133" s="474" t="s">
        <v>940</v>
      </c>
      <c r="D133" s="59" t="s">
        <v>945</v>
      </c>
      <c r="E133" s="419" t="s">
        <v>10</v>
      </c>
      <c r="F133" s="64">
        <f>'SGTO POAI SEPT 30'!AF277</f>
        <v>50000000</v>
      </c>
    </row>
    <row r="134" spans="1:9" ht="22.5" x14ac:dyDescent="0.2">
      <c r="A134" s="83">
        <v>89</v>
      </c>
      <c r="B134" s="500"/>
      <c r="C134" s="474"/>
      <c r="D134" s="29" t="s">
        <v>950</v>
      </c>
      <c r="E134" s="425" t="s">
        <v>951</v>
      </c>
      <c r="F134" s="30">
        <f>SUM('SGTO POAI SEPT 30'!AF278:AF284)</f>
        <v>1314628216.8600001</v>
      </c>
    </row>
    <row r="135" spans="1:9" ht="33.75" x14ac:dyDescent="0.2">
      <c r="A135" s="83">
        <v>90</v>
      </c>
      <c r="B135" s="500"/>
      <c r="C135" s="474"/>
      <c r="D135" s="29" t="s">
        <v>980</v>
      </c>
      <c r="E135" s="425" t="s">
        <v>981</v>
      </c>
      <c r="F135" s="30">
        <f>SUM('SGTO POAI SEPT 30'!AF285:AF286)</f>
        <v>315470000</v>
      </c>
    </row>
    <row r="136" spans="1:9" ht="33.75" x14ac:dyDescent="0.2">
      <c r="A136" s="83">
        <v>91</v>
      </c>
      <c r="B136" s="500"/>
      <c r="C136" s="474"/>
      <c r="D136" s="29" t="s">
        <v>991</v>
      </c>
      <c r="E136" s="425" t="s">
        <v>992</v>
      </c>
      <c r="F136" s="30">
        <f>SUM('SGTO POAI SEPT 30'!AF287:AF289)</f>
        <v>1079211718</v>
      </c>
    </row>
    <row r="137" spans="1:9" ht="22.5" x14ac:dyDescent="0.2">
      <c r="A137" s="83">
        <v>92</v>
      </c>
      <c r="B137" s="500"/>
      <c r="C137" s="474"/>
      <c r="D137" s="29" t="s">
        <v>1003</v>
      </c>
      <c r="E137" s="425" t="s">
        <v>1004</v>
      </c>
      <c r="F137" s="30">
        <f>SUM('SGTO POAI SEPT 30'!AF290)</f>
        <v>636000000</v>
      </c>
    </row>
    <row r="138" spans="1:9" ht="33.75" x14ac:dyDescent="0.2">
      <c r="A138" s="83">
        <v>93</v>
      </c>
      <c r="B138" s="500"/>
      <c r="C138" s="474"/>
      <c r="D138" s="29" t="s">
        <v>1008</v>
      </c>
      <c r="E138" s="425" t="s">
        <v>1009</v>
      </c>
      <c r="F138" s="30">
        <f>SUM('SGTO POAI SEPT 30'!AF291)</f>
        <v>96954000</v>
      </c>
    </row>
    <row r="139" spans="1:9" ht="33.75" x14ac:dyDescent="0.2">
      <c r="A139" s="83">
        <v>94</v>
      </c>
      <c r="B139" s="500"/>
      <c r="C139" s="474"/>
      <c r="D139" s="29" t="s">
        <v>1013</v>
      </c>
      <c r="E139" s="425" t="s">
        <v>1014</v>
      </c>
      <c r="F139" s="30">
        <f>SUM('SGTO POAI SEPT 30'!AF292:AF295)</f>
        <v>64636000</v>
      </c>
    </row>
    <row r="140" spans="1:9" ht="22.5" x14ac:dyDescent="0.2">
      <c r="A140" s="83">
        <v>95</v>
      </c>
      <c r="B140" s="500"/>
      <c r="C140" s="475"/>
      <c r="D140" s="29" t="s">
        <v>1026</v>
      </c>
      <c r="E140" s="425" t="s">
        <v>1027</v>
      </c>
      <c r="F140" s="30">
        <f>SUM('SGTO POAI SEPT 30'!AF296:AF299)</f>
        <v>150000000</v>
      </c>
    </row>
    <row r="141" spans="1:9" ht="22.5" x14ac:dyDescent="0.2">
      <c r="A141" s="83"/>
      <c r="B141" s="500"/>
      <c r="C141" s="485" t="s">
        <v>761</v>
      </c>
      <c r="D141" s="29" t="s">
        <v>945</v>
      </c>
      <c r="E141" s="425" t="s">
        <v>10</v>
      </c>
      <c r="F141" s="30">
        <f>SUM('SGTO POAI SEPT 30'!AF301:AF302)</f>
        <v>68000000</v>
      </c>
    </row>
    <row r="142" spans="1:9" ht="23.25" customHeight="1" x14ac:dyDescent="0.2">
      <c r="A142" s="83">
        <v>96</v>
      </c>
      <c r="B142" s="500"/>
      <c r="C142" s="474"/>
      <c r="D142" s="29" t="s">
        <v>1051</v>
      </c>
      <c r="E142" s="425" t="s">
        <v>1052</v>
      </c>
      <c r="F142" s="30">
        <f>SUM('SGTO POAI SEPT 30'!AF303:AF309)</f>
        <v>155000000</v>
      </c>
    </row>
    <row r="143" spans="1:9" ht="33.75" x14ac:dyDescent="0.2">
      <c r="A143" s="83">
        <v>97</v>
      </c>
      <c r="B143" s="500"/>
      <c r="C143" s="474"/>
      <c r="D143" s="29" t="s">
        <v>1078</v>
      </c>
      <c r="E143" s="425" t="s">
        <v>1079</v>
      </c>
      <c r="F143" s="30">
        <f>SUM('SGTO POAI SEPT 30'!AF310:AF311)</f>
        <v>118000000</v>
      </c>
    </row>
    <row r="144" spans="1:9" ht="33.75" x14ac:dyDescent="0.2">
      <c r="A144" s="83">
        <v>98</v>
      </c>
      <c r="B144" s="500"/>
      <c r="C144" s="474"/>
      <c r="D144" s="29" t="s">
        <v>1085</v>
      </c>
      <c r="E144" s="425" t="s">
        <v>1086</v>
      </c>
      <c r="F144" s="30">
        <f>SUM('SGTO POAI SEPT 30'!AF312:AF314)</f>
        <v>122500000</v>
      </c>
    </row>
    <row r="145" spans="1:9" ht="33.75" x14ac:dyDescent="0.2">
      <c r="A145" s="83">
        <v>99</v>
      </c>
      <c r="B145" s="500"/>
      <c r="C145" s="474"/>
      <c r="D145" s="29" t="s">
        <v>1094</v>
      </c>
      <c r="E145" s="425" t="s">
        <v>1095</v>
      </c>
      <c r="F145" s="30">
        <f>SUM('SGTO POAI SEPT 30'!AF315:AF316)</f>
        <v>169000000</v>
      </c>
    </row>
    <row r="146" spans="1:9" ht="33.75" x14ac:dyDescent="0.2">
      <c r="A146" s="83">
        <v>100</v>
      </c>
      <c r="B146" s="500"/>
      <c r="C146" s="474"/>
      <c r="D146" s="29" t="s">
        <v>1100</v>
      </c>
      <c r="E146" s="425" t="s">
        <v>1101</v>
      </c>
      <c r="F146" s="30">
        <f>SUM('SGTO POAI SEPT 30'!AF317:AF319)</f>
        <v>120000000</v>
      </c>
    </row>
    <row r="147" spans="1:9" ht="33.75" x14ac:dyDescent="0.2">
      <c r="A147" s="83">
        <v>101</v>
      </c>
      <c r="B147" s="500"/>
      <c r="C147" s="474"/>
      <c r="D147" s="29" t="s">
        <v>1113</v>
      </c>
      <c r="E147" s="425" t="s">
        <v>1114</v>
      </c>
      <c r="F147" s="30">
        <f>SUM('SGTO POAI SEPT 30'!AF320:AF321)</f>
        <v>525751228.61000001</v>
      </c>
    </row>
    <row r="148" spans="1:9" ht="33.75" x14ac:dyDescent="0.2">
      <c r="A148" s="83">
        <v>102</v>
      </c>
      <c r="B148" s="500"/>
      <c r="C148" s="474"/>
      <c r="D148" s="29" t="s">
        <v>1117</v>
      </c>
      <c r="E148" s="425" t="s">
        <v>1118</v>
      </c>
      <c r="F148" s="30">
        <f>SUM('SGTO POAI SEPT 30'!AF322:AF323)</f>
        <v>221841713</v>
      </c>
    </row>
    <row r="149" spans="1:9" ht="18.75" customHeight="1" x14ac:dyDescent="0.2">
      <c r="A149" s="83">
        <v>103</v>
      </c>
      <c r="B149" s="500"/>
      <c r="C149" s="474"/>
      <c r="D149" s="29" t="s">
        <v>1120</v>
      </c>
      <c r="E149" s="425" t="s">
        <v>1121</v>
      </c>
      <c r="F149" s="30">
        <f>SUM('SGTO POAI SEPT 30'!AF324)</f>
        <v>2929870740</v>
      </c>
    </row>
    <row r="150" spans="1:9" ht="33.75" x14ac:dyDescent="0.2">
      <c r="A150" s="83">
        <v>104</v>
      </c>
      <c r="B150" s="500"/>
      <c r="C150" s="474"/>
      <c r="D150" s="29" t="s">
        <v>1126</v>
      </c>
      <c r="E150" s="425" t="s">
        <v>1127</v>
      </c>
      <c r="F150" s="30">
        <f>SUM('SGTO POAI SEPT 30'!AF325:AF326)</f>
        <v>18000000</v>
      </c>
    </row>
    <row r="151" spans="1:9" ht="22.5" x14ac:dyDescent="0.2">
      <c r="A151" s="83">
        <v>105</v>
      </c>
      <c r="B151" s="500"/>
      <c r="C151" s="474"/>
      <c r="D151" s="29" t="s">
        <v>1132</v>
      </c>
      <c r="E151" s="425" t="s">
        <v>1133</v>
      </c>
      <c r="F151" s="30">
        <f>SUM('SGTO POAI SEPT 30'!AF327)</f>
        <v>75200000</v>
      </c>
    </row>
    <row r="152" spans="1:9" ht="22.5" x14ac:dyDescent="0.2">
      <c r="A152" s="83">
        <v>106</v>
      </c>
      <c r="B152" s="500"/>
      <c r="C152" s="474"/>
      <c r="D152" s="29" t="s">
        <v>1003</v>
      </c>
      <c r="E152" s="425" t="s">
        <v>1004</v>
      </c>
      <c r="F152" s="30">
        <f>SUM('SGTO POAI SEPT 30'!AF328)</f>
        <v>100126107.14</v>
      </c>
    </row>
    <row r="153" spans="1:9" ht="22.5" x14ac:dyDescent="0.2">
      <c r="A153" s="83">
        <v>107</v>
      </c>
      <c r="B153" s="500"/>
      <c r="C153" s="474"/>
      <c r="D153" s="29" t="s">
        <v>1141</v>
      </c>
      <c r="E153" s="425" t="s">
        <v>1325</v>
      </c>
      <c r="F153" s="30">
        <f>SUM('SGTO POAI SEPT 30'!AF329)</f>
        <v>450000000</v>
      </c>
    </row>
    <row r="154" spans="1:9" ht="33.75" x14ac:dyDescent="0.2">
      <c r="A154" s="83">
        <v>108</v>
      </c>
      <c r="B154" s="500"/>
      <c r="C154" s="475"/>
      <c r="D154" s="29" t="s">
        <v>1143</v>
      </c>
      <c r="E154" s="425" t="s">
        <v>11</v>
      </c>
      <c r="F154" s="30">
        <f>SUM('SGTO POAI SEPT 30'!AF330)</f>
        <v>1400126107.49</v>
      </c>
    </row>
    <row r="155" spans="1:9" ht="33.75" x14ac:dyDescent="0.2">
      <c r="A155" s="83">
        <v>109</v>
      </c>
      <c r="B155" s="500"/>
      <c r="C155" s="485" t="s">
        <v>146</v>
      </c>
      <c r="D155" s="29" t="s">
        <v>1148</v>
      </c>
      <c r="E155" s="425" t="s">
        <v>1149</v>
      </c>
      <c r="F155" s="30">
        <f>SUM('SGTO POAI SEPT 30'!AF332:AF333)</f>
        <v>21660622878.040001</v>
      </c>
    </row>
    <row r="156" spans="1:9" ht="45" x14ac:dyDescent="0.2">
      <c r="A156" s="83">
        <v>110</v>
      </c>
      <c r="B156" s="500"/>
      <c r="C156" s="474"/>
      <c r="D156" s="29" t="s">
        <v>1159</v>
      </c>
      <c r="E156" s="425" t="s">
        <v>9</v>
      </c>
      <c r="F156" s="30">
        <f>SUM('SGTO POAI SEPT 30'!AF334:AF337)</f>
        <v>7639959611.9399996</v>
      </c>
    </row>
    <row r="157" spans="1:9" ht="23.25" thickBot="1" x14ac:dyDescent="0.25">
      <c r="A157" s="83">
        <v>111</v>
      </c>
      <c r="B157" s="500"/>
      <c r="C157" s="474"/>
      <c r="D157" s="34" t="s">
        <v>1175</v>
      </c>
      <c r="E157" s="420" t="s">
        <v>1176</v>
      </c>
      <c r="F157" s="69">
        <f>SUM('SGTO POAI SEPT 30'!AF338)</f>
        <v>1397936000</v>
      </c>
    </row>
    <row r="158" spans="1:9" ht="17.25" customHeight="1" thickBot="1" x14ac:dyDescent="0.25">
      <c r="A158" s="83"/>
      <c r="B158" s="469" t="s">
        <v>1326</v>
      </c>
      <c r="C158" s="470"/>
      <c r="D158" s="470"/>
      <c r="E158" s="486"/>
      <c r="F158" s="70">
        <f>SUM(F159:F163)</f>
        <v>632885000</v>
      </c>
      <c r="G158" s="33"/>
      <c r="H158" s="33"/>
      <c r="I158" s="33"/>
    </row>
    <row r="159" spans="1:9" ht="56.25" x14ac:dyDescent="0.2">
      <c r="A159" s="83">
        <v>112</v>
      </c>
      <c r="B159" s="500" t="s">
        <v>1</v>
      </c>
      <c r="C159" s="418" t="s">
        <v>1177</v>
      </c>
      <c r="D159" s="59" t="s">
        <v>1183</v>
      </c>
      <c r="E159" s="419" t="s">
        <v>1184</v>
      </c>
      <c r="F159" s="64">
        <f>'SGTO POAI SEPT 30'!AF342</f>
        <v>200000000</v>
      </c>
    </row>
    <row r="160" spans="1:9" ht="90" x14ac:dyDescent="0.2">
      <c r="A160" s="83">
        <v>113</v>
      </c>
      <c r="B160" s="500"/>
      <c r="C160" s="418" t="s">
        <v>1189</v>
      </c>
      <c r="D160" s="29" t="s">
        <v>1194</v>
      </c>
      <c r="E160" s="425" t="s">
        <v>1195</v>
      </c>
      <c r="F160" s="30">
        <f>'SGTO POAI SEPT 30'!AF346</f>
        <v>7164000</v>
      </c>
    </row>
    <row r="161" spans="1:9" ht="33.75" x14ac:dyDescent="0.2">
      <c r="A161" s="83">
        <v>114</v>
      </c>
      <c r="B161" s="500" t="s">
        <v>1196</v>
      </c>
      <c r="C161" s="419" t="s">
        <v>1198</v>
      </c>
      <c r="D161" s="29" t="s">
        <v>1204</v>
      </c>
      <c r="E161" s="425" t="s">
        <v>1205</v>
      </c>
      <c r="F161" s="30">
        <f>SUM('SGTO POAI SEPT 30'!AF349)</f>
        <v>54000000</v>
      </c>
    </row>
    <row r="162" spans="1:9" ht="33.75" x14ac:dyDescent="0.2">
      <c r="A162" s="83">
        <v>115</v>
      </c>
      <c r="B162" s="471"/>
      <c r="C162" s="425" t="s">
        <v>1206</v>
      </c>
      <c r="D162" s="29" t="s">
        <v>1211</v>
      </c>
      <c r="E162" s="425" t="s">
        <v>1212</v>
      </c>
      <c r="F162" s="30">
        <f>SUM('SGTO POAI SEPT 30'!AF351)</f>
        <v>18000000</v>
      </c>
    </row>
    <row r="163" spans="1:9" ht="90.75" thickBot="1" x14ac:dyDescent="0.25">
      <c r="A163" s="83">
        <v>116</v>
      </c>
      <c r="B163" s="422" t="s">
        <v>72</v>
      </c>
      <c r="C163" s="420" t="s">
        <v>1189</v>
      </c>
      <c r="D163" s="34" t="s">
        <v>1218</v>
      </c>
      <c r="E163" s="420" t="s">
        <v>1219</v>
      </c>
      <c r="F163" s="69">
        <f>SUM('SGTO POAI SEPT 30'!AF353)</f>
        <v>353721000</v>
      </c>
      <c r="G163" s="197"/>
    </row>
    <row r="164" spans="1:9" s="44" customFormat="1" ht="12" thickBot="1" x14ac:dyDescent="0.25">
      <c r="A164" s="83"/>
      <c r="B164" s="501" t="s">
        <v>1338</v>
      </c>
      <c r="C164" s="502"/>
      <c r="D164" s="211"/>
      <c r="E164" s="212"/>
      <c r="F164" s="213">
        <f>+F158+F132+F106+F92+F88+F66+F60+F54+F38+F22+F19+F11+F7</f>
        <v>247462173738.30002</v>
      </c>
      <c r="G164" s="43"/>
      <c r="H164" s="43"/>
      <c r="I164" s="43"/>
    </row>
    <row r="165" spans="1:9" ht="12" thickBot="1" x14ac:dyDescent="0.25">
      <c r="A165" s="83"/>
      <c r="B165" s="503" t="s">
        <v>1327</v>
      </c>
      <c r="C165" s="504"/>
      <c r="D165" s="504"/>
      <c r="E165" s="504"/>
      <c r="F165" s="505"/>
    </row>
    <row r="166" spans="1:9" ht="15.75" customHeight="1" thickBot="1" x14ac:dyDescent="0.25">
      <c r="A166" s="83"/>
      <c r="B166" s="469" t="s">
        <v>1328</v>
      </c>
      <c r="C166" s="470"/>
      <c r="D166" s="470"/>
      <c r="E166" s="486"/>
      <c r="F166" s="70">
        <f>SUM(F167:F175)</f>
        <v>4341489310.7799997</v>
      </c>
      <c r="G166" s="33"/>
      <c r="H166" s="33"/>
      <c r="I166" s="33"/>
    </row>
    <row r="167" spans="1:9" ht="22.5" x14ac:dyDescent="0.2">
      <c r="A167" s="83">
        <v>117</v>
      </c>
      <c r="B167" s="471" t="s">
        <v>1</v>
      </c>
      <c r="C167" s="474" t="s">
        <v>173</v>
      </c>
      <c r="D167" s="59" t="s">
        <v>1230</v>
      </c>
      <c r="E167" s="210" t="s">
        <v>1231</v>
      </c>
      <c r="F167" s="64">
        <f>SUM('SGTO POAI SEPT 30'!AF361:AF362)</f>
        <v>175589000</v>
      </c>
    </row>
    <row r="168" spans="1:9" ht="22.5" x14ac:dyDescent="0.2">
      <c r="A168" s="83">
        <v>118</v>
      </c>
      <c r="B168" s="472"/>
      <c r="C168" s="474"/>
      <c r="D168" s="29" t="s">
        <v>1239</v>
      </c>
      <c r="E168" s="45" t="s">
        <v>1240</v>
      </c>
      <c r="F168" s="30">
        <f>SUM('SGTO POAI SEPT 30'!AF363)</f>
        <v>49227426</v>
      </c>
    </row>
    <row r="169" spans="1:9" ht="22.5" x14ac:dyDescent="0.2">
      <c r="A169" s="83">
        <v>119</v>
      </c>
      <c r="B169" s="472"/>
      <c r="C169" s="474"/>
      <c r="D169" s="29" t="s">
        <v>1241</v>
      </c>
      <c r="E169" s="40" t="s">
        <v>1242</v>
      </c>
      <c r="F169" s="30">
        <f>SUM('SGTO POAI SEPT 30'!AF364:AF365)</f>
        <v>69300000</v>
      </c>
    </row>
    <row r="170" spans="1:9" ht="22.5" x14ac:dyDescent="0.2">
      <c r="A170" s="83">
        <v>120</v>
      </c>
      <c r="B170" s="472"/>
      <c r="C170" s="474"/>
      <c r="D170" s="29" t="s">
        <v>1246</v>
      </c>
      <c r="E170" s="40" t="s">
        <v>1247</v>
      </c>
      <c r="F170" s="30">
        <f>SUM('SGTO POAI SEPT 30'!AF366:AF367)</f>
        <v>367085598</v>
      </c>
    </row>
    <row r="171" spans="1:9" ht="22.5" customHeight="1" x14ac:dyDescent="0.2">
      <c r="A171" s="83">
        <v>121</v>
      </c>
      <c r="B171" s="472"/>
      <c r="C171" s="474"/>
      <c r="D171" s="29" t="s">
        <v>1248</v>
      </c>
      <c r="E171" s="40" t="s">
        <v>1249</v>
      </c>
      <c r="F171" s="30">
        <f>SUM('SGTO POAI SEPT 30'!AF368)</f>
        <v>91585083</v>
      </c>
    </row>
    <row r="172" spans="1:9" ht="22.5" customHeight="1" x14ac:dyDescent="0.2">
      <c r="A172" s="83"/>
      <c r="B172" s="472"/>
      <c r="C172" s="418"/>
      <c r="D172" s="29" t="s">
        <v>1258</v>
      </c>
      <c r="E172" s="40" t="s">
        <v>1356</v>
      </c>
      <c r="F172" s="30">
        <f>SUM('SGTO POAI SEPT 30'!AF369:AF372)</f>
        <v>2323713601.7799997</v>
      </c>
    </row>
    <row r="173" spans="1:9" ht="29.25" customHeight="1" x14ac:dyDescent="0.2">
      <c r="A173" s="83">
        <v>123</v>
      </c>
      <c r="B173" s="472"/>
      <c r="C173" s="485" t="s">
        <v>180</v>
      </c>
      <c r="D173" s="29" t="s">
        <v>1254</v>
      </c>
      <c r="E173" s="46" t="s">
        <v>1255</v>
      </c>
      <c r="F173" s="30">
        <f>'SGTO POAI SEPT 30'!AF374</f>
        <v>213298765</v>
      </c>
    </row>
    <row r="174" spans="1:9" ht="38.25" customHeight="1" x14ac:dyDescent="0.2">
      <c r="A174" s="83">
        <v>124</v>
      </c>
      <c r="B174" s="473"/>
      <c r="C174" s="474"/>
      <c r="D174" s="29" t="s">
        <v>1329</v>
      </c>
      <c r="E174" s="40" t="s">
        <v>1330</v>
      </c>
      <c r="F174" s="30">
        <f>'SGTO POAI SEPT 30'!AF375</f>
        <v>1021689837</v>
      </c>
    </row>
    <row r="175" spans="1:9" ht="38.25" customHeight="1" thickBot="1" x14ac:dyDescent="0.25">
      <c r="A175" s="83"/>
      <c r="B175" s="198"/>
      <c r="C175" s="474"/>
      <c r="D175" s="199" t="str">
        <f>'SGTO POAI SEPT 30'!Q376</f>
        <v>202000363-0040</v>
      </c>
      <c r="E175" s="73" t="str">
        <f>'SGTO POAI SEPT 30'!R376</f>
        <v>Desarrollo de los  XXII JUEGOS DEPORTIVOS NACIONALES Y VI JUEGOS PARANACIONALES   2023</v>
      </c>
      <c r="F175" s="69">
        <f>'SGTO POAI SEPT 30'!AF376</f>
        <v>30000000</v>
      </c>
    </row>
    <row r="176" spans="1:9" ht="16.5" customHeight="1" thickBot="1" x14ac:dyDescent="0.25">
      <c r="A176" s="83"/>
      <c r="B176" s="469" t="s">
        <v>1331</v>
      </c>
      <c r="C176" s="470"/>
      <c r="D176" s="470"/>
      <c r="E176" s="486"/>
      <c r="F176" s="75">
        <f>+F177+F181+F178+F179+F180</f>
        <v>1903518104</v>
      </c>
      <c r="G176" s="33"/>
      <c r="H176" s="33"/>
      <c r="I176" s="33"/>
    </row>
    <row r="177" spans="1:9" ht="33.75" x14ac:dyDescent="0.2">
      <c r="A177" s="489">
        <v>126</v>
      </c>
      <c r="B177" s="471" t="s">
        <v>1</v>
      </c>
      <c r="C177" s="419" t="s">
        <v>173</v>
      </c>
      <c r="D177" s="59" t="s">
        <v>1261</v>
      </c>
      <c r="E177" s="74" t="s">
        <v>1262</v>
      </c>
      <c r="F177" s="64">
        <f>SUM('SGTO POAI SEPT 30'!AF381)</f>
        <v>372570330</v>
      </c>
    </row>
    <row r="178" spans="1:9" ht="45" x14ac:dyDescent="0.2">
      <c r="A178" s="489"/>
      <c r="B178" s="472"/>
      <c r="C178" s="425" t="s">
        <v>155</v>
      </c>
      <c r="D178" s="29" t="s">
        <v>1261</v>
      </c>
      <c r="E178" s="47" t="s">
        <v>1262</v>
      </c>
      <c r="F178" s="30">
        <f>'SGTO POAI SEPT 30'!AF383</f>
        <v>561746330</v>
      </c>
    </row>
    <row r="179" spans="1:9" ht="33.75" x14ac:dyDescent="0.2">
      <c r="A179" s="489"/>
      <c r="B179" s="472" t="s">
        <v>3</v>
      </c>
      <c r="C179" s="425" t="s">
        <v>197</v>
      </c>
      <c r="D179" s="29" t="s">
        <v>1261</v>
      </c>
      <c r="E179" s="47" t="s">
        <v>1262</v>
      </c>
      <c r="F179" s="30">
        <f>'SGTO POAI SEPT 30'!AF386</f>
        <v>218280000</v>
      </c>
    </row>
    <row r="180" spans="1:9" ht="33.75" x14ac:dyDescent="0.2">
      <c r="A180" s="489"/>
      <c r="B180" s="472"/>
      <c r="C180" s="425" t="s">
        <v>214</v>
      </c>
      <c r="D180" s="29" t="s">
        <v>1261</v>
      </c>
      <c r="E180" s="47" t="s">
        <v>1262</v>
      </c>
      <c r="F180" s="30">
        <f>SUM('SGTO POAI SEPT 30'!AF387)</f>
        <v>561745444</v>
      </c>
    </row>
    <row r="181" spans="1:9" ht="45.75" thickBot="1" x14ac:dyDescent="0.25">
      <c r="A181" s="489"/>
      <c r="B181" s="422" t="s">
        <v>72</v>
      </c>
      <c r="C181" s="420" t="s">
        <v>48</v>
      </c>
      <c r="D181" s="34" t="s">
        <v>1261</v>
      </c>
      <c r="E181" s="208" t="s">
        <v>1262</v>
      </c>
      <c r="F181" s="69">
        <f>'SGTO POAI SEPT 30'!AF394</f>
        <v>189176000</v>
      </c>
    </row>
    <row r="182" spans="1:9" ht="15" customHeight="1" thickBot="1" x14ac:dyDescent="0.25">
      <c r="A182" s="83"/>
      <c r="B182" s="469" t="s">
        <v>1332</v>
      </c>
      <c r="C182" s="470"/>
      <c r="D182" s="470"/>
      <c r="E182" s="486"/>
      <c r="F182" s="70">
        <f>+F183</f>
        <v>107000000</v>
      </c>
      <c r="G182" s="33"/>
      <c r="H182" s="33"/>
      <c r="I182" s="33"/>
    </row>
    <row r="183" spans="1:9" ht="57.75" customHeight="1" thickBot="1" x14ac:dyDescent="0.25">
      <c r="A183" s="83">
        <v>127</v>
      </c>
      <c r="B183" s="421" t="s">
        <v>1283</v>
      </c>
      <c r="C183" s="418" t="s">
        <v>1284</v>
      </c>
      <c r="D183" s="200" t="s">
        <v>1290</v>
      </c>
      <c r="E183" s="418" t="s">
        <v>1291</v>
      </c>
      <c r="F183" s="209">
        <f>'SGTO POAI SEPT 30'!AF396</f>
        <v>107000000</v>
      </c>
    </row>
    <row r="184" spans="1:9" s="28" customFormat="1" ht="15" customHeight="1" thickBot="1" x14ac:dyDescent="0.3">
      <c r="A184" s="82"/>
      <c r="B184" s="501" t="s">
        <v>1333</v>
      </c>
      <c r="C184" s="502"/>
      <c r="D184" s="211"/>
      <c r="E184" s="212"/>
      <c r="F184" s="76">
        <f>+F166+F176+F182</f>
        <v>6352007414.7799997</v>
      </c>
    </row>
    <row r="185" spans="1:9" s="48" customFormat="1" ht="18" customHeight="1" thickBot="1" x14ac:dyDescent="0.25">
      <c r="A185" s="85"/>
      <c r="B185" s="510" t="s">
        <v>1334</v>
      </c>
      <c r="C185" s="511"/>
      <c r="D185" s="428"/>
      <c r="E185" s="49"/>
      <c r="F185" s="77">
        <f>+F184+F164</f>
        <v>253814181153.08002</v>
      </c>
    </row>
    <row r="186" spans="1:9" s="44" customFormat="1" ht="18.75" customHeight="1" x14ac:dyDescent="0.2">
      <c r="B186" s="50"/>
      <c r="C186" s="50"/>
      <c r="D186" s="51"/>
      <c r="E186" s="50"/>
      <c r="F186" s="52"/>
      <c r="G186" s="43"/>
    </row>
    <row r="187" spans="1:9" s="44" customFormat="1" x14ac:dyDescent="0.2">
      <c r="B187" s="50"/>
      <c r="C187" s="50"/>
      <c r="D187" s="51"/>
      <c r="E187" s="50"/>
      <c r="F187" s="53"/>
    </row>
    <row r="188" spans="1:9" s="44" customFormat="1" x14ac:dyDescent="0.2">
      <c r="B188" s="50"/>
      <c r="C188" s="50"/>
      <c r="D188" s="51"/>
      <c r="E188" s="50"/>
      <c r="F188" s="402"/>
    </row>
    <row r="189" spans="1:9" s="44" customFormat="1" x14ac:dyDescent="0.2">
      <c r="B189" s="50"/>
      <c r="C189" s="50"/>
      <c r="D189" s="51"/>
      <c r="E189" s="50"/>
      <c r="F189" s="54"/>
    </row>
    <row r="190" spans="1:9" s="44" customFormat="1" x14ac:dyDescent="0.2">
      <c r="B190" s="50"/>
      <c r="C190" s="50"/>
      <c r="D190" s="51"/>
      <c r="E190" s="50"/>
      <c r="F190" s="54"/>
    </row>
    <row r="191" spans="1:9" s="44" customFormat="1" ht="15.75" customHeight="1" x14ac:dyDescent="0.2">
      <c r="B191" s="506" t="s">
        <v>1335</v>
      </c>
      <c r="C191" s="506"/>
      <c r="D191" s="506"/>
      <c r="E191" s="506"/>
      <c r="F191" s="506"/>
    </row>
    <row r="192" spans="1:9" s="44" customFormat="1" ht="12" customHeight="1" x14ac:dyDescent="0.2">
      <c r="B192" s="507" t="s">
        <v>1336</v>
      </c>
      <c r="C192" s="507"/>
      <c r="D192" s="507"/>
      <c r="E192" s="507"/>
      <c r="F192" s="507"/>
    </row>
    <row r="193" spans="2:6" s="44" customFormat="1" x14ac:dyDescent="0.2">
      <c r="B193" s="50"/>
      <c r="C193" s="50"/>
      <c r="D193" s="51"/>
      <c r="E193" s="50"/>
      <c r="F193" s="54"/>
    </row>
    <row r="194" spans="2:6" s="44" customFormat="1" x14ac:dyDescent="0.2">
      <c r="B194" s="508"/>
      <c r="C194" s="508"/>
      <c r="D194" s="51"/>
      <c r="E194" s="50"/>
      <c r="F194" s="54"/>
    </row>
    <row r="195" spans="2:6" s="44" customFormat="1" ht="33.75" customHeight="1" x14ac:dyDescent="0.2">
      <c r="B195" s="509"/>
      <c r="C195" s="509"/>
      <c r="D195" s="51"/>
      <c r="E195" s="50"/>
      <c r="F195" s="54"/>
    </row>
    <row r="196" spans="2:6" s="44" customFormat="1" x14ac:dyDescent="0.2">
      <c r="B196" s="50"/>
      <c r="C196" s="50"/>
      <c r="D196" s="51"/>
      <c r="E196" s="50"/>
      <c r="F196" s="54"/>
    </row>
    <row r="197" spans="2:6" s="44" customFormat="1" x14ac:dyDescent="0.2">
      <c r="B197" s="50"/>
      <c r="C197" s="50"/>
      <c r="D197" s="51"/>
      <c r="E197" s="50"/>
      <c r="F197" s="54"/>
    </row>
    <row r="198" spans="2:6" s="44" customFormat="1" x14ac:dyDescent="0.2">
      <c r="B198" s="50"/>
      <c r="C198" s="50"/>
      <c r="D198" s="51"/>
      <c r="E198" s="50"/>
      <c r="F198" s="54"/>
    </row>
    <row r="199" spans="2:6" s="44" customFormat="1" x14ac:dyDescent="0.2">
      <c r="B199" s="50"/>
      <c r="C199" s="50"/>
      <c r="D199" s="51"/>
      <c r="E199" s="50"/>
      <c r="F199" s="54"/>
    </row>
    <row r="200" spans="2:6" s="44" customFormat="1" x14ac:dyDescent="0.2">
      <c r="B200" s="50"/>
      <c r="C200" s="50"/>
      <c r="D200" s="51"/>
      <c r="E200" s="50"/>
      <c r="F200" s="54"/>
    </row>
    <row r="201" spans="2:6" s="44" customFormat="1" x14ac:dyDescent="0.2">
      <c r="B201" s="50"/>
      <c r="C201" s="50"/>
      <c r="D201" s="51"/>
      <c r="E201" s="50"/>
      <c r="F201" s="54"/>
    </row>
    <row r="202" spans="2:6" s="44" customFormat="1" x14ac:dyDescent="0.2">
      <c r="B202" s="50"/>
      <c r="C202" s="50"/>
      <c r="D202" s="51"/>
      <c r="E202" s="50"/>
      <c r="F202" s="54"/>
    </row>
    <row r="203" spans="2:6" s="44" customFormat="1" x14ac:dyDescent="0.2">
      <c r="B203" s="50"/>
      <c r="C203" s="50"/>
      <c r="D203" s="51"/>
      <c r="E203" s="50"/>
      <c r="F203" s="54"/>
    </row>
    <row r="204" spans="2:6" s="44" customFormat="1" x14ac:dyDescent="0.2">
      <c r="B204" s="50"/>
      <c r="C204" s="50"/>
      <c r="D204" s="51"/>
      <c r="E204" s="50"/>
      <c r="F204" s="54"/>
    </row>
    <row r="205" spans="2:6" s="44" customFormat="1" x14ac:dyDescent="0.2">
      <c r="B205" s="50"/>
      <c r="C205" s="50"/>
      <c r="D205" s="51"/>
      <c r="E205" s="50"/>
      <c r="F205" s="54"/>
    </row>
    <row r="206" spans="2:6" s="44" customFormat="1" x14ac:dyDescent="0.2">
      <c r="B206" s="50"/>
      <c r="C206" s="50"/>
      <c r="D206" s="51"/>
      <c r="E206" s="50"/>
      <c r="F206" s="54"/>
    </row>
    <row r="207" spans="2:6" s="44" customFormat="1" x14ac:dyDescent="0.2">
      <c r="B207" s="50"/>
      <c r="C207" s="50"/>
      <c r="D207" s="51"/>
      <c r="E207" s="50"/>
      <c r="F207" s="54"/>
    </row>
    <row r="208" spans="2:6" s="44" customFormat="1" x14ac:dyDescent="0.2">
      <c r="B208" s="50"/>
      <c r="C208" s="50"/>
      <c r="D208" s="51"/>
      <c r="E208" s="50"/>
      <c r="F208" s="54"/>
    </row>
    <row r="209" spans="2:6" s="44" customFormat="1" x14ac:dyDescent="0.2">
      <c r="B209" s="50"/>
      <c r="C209" s="50"/>
      <c r="D209" s="51"/>
      <c r="E209" s="50"/>
      <c r="F209" s="54"/>
    </row>
    <row r="210" spans="2:6" s="44" customFormat="1" x14ac:dyDescent="0.2">
      <c r="B210" s="50"/>
      <c r="C210" s="50"/>
      <c r="D210" s="51"/>
      <c r="E210" s="50"/>
      <c r="F210" s="54"/>
    </row>
    <row r="211" spans="2:6" s="44" customFormat="1" x14ac:dyDescent="0.2">
      <c r="B211" s="50"/>
      <c r="C211" s="50"/>
      <c r="D211" s="51"/>
      <c r="E211" s="50"/>
      <c r="F211" s="54"/>
    </row>
    <row r="212" spans="2:6" s="44" customFormat="1" x14ac:dyDescent="0.2">
      <c r="B212" s="50"/>
      <c r="C212" s="50"/>
      <c r="D212" s="51"/>
      <c r="E212" s="50"/>
      <c r="F212" s="54"/>
    </row>
    <row r="213" spans="2:6" s="44" customFormat="1" x14ac:dyDescent="0.2">
      <c r="B213" s="50"/>
      <c r="C213" s="50"/>
      <c r="D213" s="51"/>
      <c r="E213" s="50"/>
      <c r="F213" s="54"/>
    </row>
    <row r="214" spans="2:6" s="44" customFormat="1" x14ac:dyDescent="0.2">
      <c r="B214" s="50"/>
      <c r="C214" s="50"/>
      <c r="D214" s="51"/>
      <c r="E214" s="50"/>
      <c r="F214" s="54"/>
    </row>
    <row r="215" spans="2:6" s="44" customFormat="1" x14ac:dyDescent="0.2">
      <c r="B215" s="50"/>
      <c r="C215" s="50"/>
      <c r="D215" s="51"/>
      <c r="E215" s="50"/>
      <c r="F215" s="54"/>
    </row>
    <row r="216" spans="2:6" s="44" customFormat="1" x14ac:dyDescent="0.2">
      <c r="B216" s="50"/>
      <c r="C216" s="50"/>
      <c r="D216" s="51"/>
      <c r="E216" s="50"/>
      <c r="F216" s="54"/>
    </row>
    <row r="217" spans="2:6" s="44" customFormat="1" x14ac:dyDescent="0.2">
      <c r="B217" s="50"/>
      <c r="C217" s="50"/>
      <c r="D217" s="51"/>
      <c r="E217" s="50"/>
      <c r="F217" s="54"/>
    </row>
    <row r="218" spans="2:6" s="44" customFormat="1" x14ac:dyDescent="0.2">
      <c r="B218" s="50"/>
      <c r="C218" s="50"/>
      <c r="D218" s="51"/>
      <c r="E218" s="50"/>
      <c r="F218" s="54"/>
    </row>
    <row r="219" spans="2:6" s="44" customFormat="1" x14ac:dyDescent="0.2">
      <c r="B219" s="50"/>
      <c r="C219" s="50"/>
      <c r="D219" s="51"/>
      <c r="E219" s="50"/>
      <c r="F219" s="54"/>
    </row>
    <row r="220" spans="2:6" s="44" customFormat="1" x14ac:dyDescent="0.2">
      <c r="B220" s="50"/>
      <c r="C220" s="50"/>
      <c r="D220" s="51"/>
      <c r="E220" s="50"/>
      <c r="F220" s="54"/>
    </row>
    <row r="221" spans="2:6" s="44" customFormat="1" x14ac:dyDescent="0.2">
      <c r="B221" s="50"/>
      <c r="C221" s="50"/>
      <c r="D221" s="51"/>
      <c r="E221" s="50"/>
      <c r="F221" s="54"/>
    </row>
    <row r="222" spans="2:6" s="44" customFormat="1" x14ac:dyDescent="0.2">
      <c r="B222" s="50"/>
      <c r="C222" s="50"/>
      <c r="D222" s="51"/>
      <c r="E222" s="50"/>
      <c r="F222" s="54"/>
    </row>
    <row r="223" spans="2:6" s="44" customFormat="1" x14ac:dyDescent="0.2">
      <c r="B223" s="50"/>
      <c r="C223" s="50"/>
      <c r="D223" s="51"/>
      <c r="E223" s="50"/>
      <c r="F223" s="54"/>
    </row>
    <row r="224" spans="2:6" s="44" customFormat="1" x14ac:dyDescent="0.2">
      <c r="B224" s="50"/>
      <c r="C224" s="50"/>
      <c r="D224" s="51"/>
      <c r="E224" s="50"/>
      <c r="F224" s="54"/>
    </row>
    <row r="225" spans="2:6" s="44" customFormat="1" x14ac:dyDescent="0.2">
      <c r="B225" s="50"/>
      <c r="C225" s="50"/>
      <c r="D225" s="51"/>
      <c r="E225" s="50"/>
      <c r="F225" s="54"/>
    </row>
    <row r="226" spans="2:6" s="44" customFormat="1" x14ac:dyDescent="0.2">
      <c r="B226" s="50"/>
      <c r="C226" s="50"/>
      <c r="D226" s="51"/>
      <c r="E226" s="50"/>
      <c r="F226" s="54"/>
    </row>
    <row r="227" spans="2:6" s="44" customFormat="1" x14ac:dyDescent="0.2">
      <c r="B227" s="50"/>
      <c r="C227" s="50"/>
      <c r="D227" s="51"/>
      <c r="E227" s="50"/>
      <c r="F227" s="54"/>
    </row>
    <row r="228" spans="2:6" s="44" customFormat="1" x14ac:dyDescent="0.2">
      <c r="B228" s="50"/>
      <c r="C228" s="50"/>
      <c r="D228" s="51"/>
      <c r="E228" s="50"/>
      <c r="F228" s="54"/>
    </row>
    <row r="229" spans="2:6" s="44" customFormat="1" x14ac:dyDescent="0.2">
      <c r="B229" s="50"/>
      <c r="C229" s="50"/>
      <c r="D229" s="51"/>
      <c r="E229" s="50"/>
      <c r="F229" s="54"/>
    </row>
    <row r="230" spans="2:6" s="44" customFormat="1" x14ac:dyDescent="0.2">
      <c r="B230" s="50"/>
      <c r="C230" s="50"/>
      <c r="D230" s="51"/>
      <c r="E230" s="50"/>
      <c r="F230" s="54"/>
    </row>
    <row r="231" spans="2:6" s="44" customFormat="1" x14ac:dyDescent="0.2">
      <c r="B231" s="50"/>
      <c r="C231" s="50"/>
      <c r="D231" s="51"/>
      <c r="E231" s="50"/>
      <c r="F231" s="54"/>
    </row>
    <row r="232" spans="2:6" s="44" customFormat="1" x14ac:dyDescent="0.2">
      <c r="B232" s="50"/>
      <c r="C232" s="50"/>
      <c r="D232" s="51"/>
      <c r="E232" s="50"/>
      <c r="F232" s="54"/>
    </row>
    <row r="233" spans="2:6" s="44" customFormat="1" x14ac:dyDescent="0.2">
      <c r="B233" s="50"/>
      <c r="C233" s="50"/>
      <c r="D233" s="51"/>
      <c r="E233" s="50"/>
      <c r="F233" s="54"/>
    </row>
    <row r="234" spans="2:6" s="44" customFormat="1" x14ac:dyDescent="0.2">
      <c r="B234" s="50"/>
      <c r="C234" s="50"/>
      <c r="D234" s="51"/>
      <c r="E234" s="50"/>
      <c r="F234" s="54"/>
    </row>
    <row r="235" spans="2:6" s="44" customFormat="1" x14ac:dyDescent="0.2">
      <c r="B235" s="50"/>
      <c r="C235" s="50"/>
      <c r="D235" s="51"/>
      <c r="E235" s="50"/>
      <c r="F235" s="54"/>
    </row>
    <row r="236" spans="2:6" s="44" customFormat="1" x14ac:dyDescent="0.2">
      <c r="B236" s="50"/>
      <c r="C236" s="50"/>
      <c r="D236" s="51"/>
      <c r="E236" s="50"/>
      <c r="F236" s="54"/>
    </row>
    <row r="237" spans="2:6" s="44" customFormat="1" x14ac:dyDescent="0.2">
      <c r="B237" s="50"/>
      <c r="C237" s="50"/>
      <c r="D237" s="51"/>
      <c r="E237" s="50"/>
      <c r="F237" s="54"/>
    </row>
    <row r="238" spans="2:6" s="44" customFormat="1" x14ac:dyDescent="0.2">
      <c r="B238" s="50"/>
      <c r="C238" s="50"/>
      <c r="D238" s="51"/>
      <c r="E238" s="50"/>
      <c r="F238" s="54"/>
    </row>
    <row r="239" spans="2:6" s="44" customFormat="1" x14ac:dyDescent="0.2">
      <c r="B239" s="50"/>
      <c r="C239" s="50"/>
      <c r="D239" s="51"/>
      <c r="E239" s="50"/>
      <c r="F239" s="54"/>
    </row>
    <row r="240" spans="2:6" s="44" customFormat="1" x14ac:dyDescent="0.2">
      <c r="B240" s="50"/>
      <c r="C240" s="50"/>
      <c r="D240" s="51"/>
      <c r="E240" s="50"/>
      <c r="F240" s="54"/>
    </row>
    <row r="241" spans="2:6" s="44" customFormat="1" x14ac:dyDescent="0.2">
      <c r="B241" s="50"/>
      <c r="C241" s="50"/>
      <c r="D241" s="51"/>
      <c r="E241" s="50"/>
      <c r="F241" s="54"/>
    </row>
    <row r="242" spans="2:6" s="44" customFormat="1" x14ac:dyDescent="0.2">
      <c r="B242" s="50"/>
      <c r="C242" s="50"/>
      <c r="D242" s="51"/>
      <c r="E242" s="50"/>
      <c r="F242" s="54"/>
    </row>
    <row r="243" spans="2:6" s="44" customFormat="1" x14ac:dyDescent="0.2">
      <c r="B243" s="50"/>
      <c r="C243" s="50"/>
      <c r="D243" s="51"/>
      <c r="E243" s="50"/>
      <c r="F243" s="54"/>
    </row>
    <row r="244" spans="2:6" s="44" customFormat="1" x14ac:dyDescent="0.2">
      <c r="B244" s="50"/>
      <c r="C244" s="50"/>
      <c r="D244" s="51"/>
      <c r="E244" s="50"/>
      <c r="F244" s="54"/>
    </row>
    <row r="245" spans="2:6" s="44" customFormat="1" x14ac:dyDescent="0.2">
      <c r="B245" s="50"/>
      <c r="C245" s="50"/>
      <c r="D245" s="51"/>
      <c r="E245" s="50"/>
      <c r="F245" s="54"/>
    </row>
    <row r="246" spans="2:6" s="44" customFormat="1" x14ac:dyDescent="0.2">
      <c r="B246" s="50"/>
      <c r="C246" s="50"/>
      <c r="D246" s="51"/>
      <c r="E246" s="50"/>
      <c r="F246" s="54"/>
    </row>
    <row r="247" spans="2:6" s="44" customFormat="1" x14ac:dyDescent="0.2">
      <c r="B247" s="50"/>
      <c r="C247" s="50"/>
      <c r="D247" s="51"/>
      <c r="E247" s="50"/>
      <c r="F247" s="54"/>
    </row>
    <row r="248" spans="2:6" s="44" customFormat="1" x14ac:dyDescent="0.2">
      <c r="B248" s="50"/>
      <c r="C248" s="50"/>
      <c r="D248" s="51"/>
      <c r="E248" s="50"/>
      <c r="F248" s="54"/>
    </row>
    <row r="249" spans="2:6" s="44" customFormat="1" x14ac:dyDescent="0.2">
      <c r="B249" s="50"/>
      <c r="C249" s="50"/>
      <c r="D249" s="51"/>
      <c r="E249" s="50"/>
      <c r="F249" s="54"/>
    </row>
    <row r="250" spans="2:6" s="44" customFormat="1" x14ac:dyDescent="0.2">
      <c r="B250" s="50"/>
      <c r="C250" s="50"/>
      <c r="D250" s="51"/>
      <c r="E250" s="50"/>
      <c r="F250" s="54"/>
    </row>
    <row r="251" spans="2:6" s="44" customFormat="1" x14ac:dyDescent="0.2">
      <c r="B251" s="50"/>
      <c r="C251" s="50"/>
      <c r="D251" s="51"/>
      <c r="E251" s="50"/>
      <c r="F251" s="54"/>
    </row>
    <row r="252" spans="2:6" s="44" customFormat="1" x14ac:dyDescent="0.2">
      <c r="B252" s="50"/>
      <c r="C252" s="50"/>
      <c r="D252" s="51"/>
      <c r="E252" s="50"/>
      <c r="F252" s="54"/>
    </row>
    <row r="253" spans="2:6" s="44" customFormat="1" x14ac:dyDescent="0.2">
      <c r="B253" s="50"/>
      <c r="C253" s="50"/>
      <c r="D253" s="51"/>
      <c r="E253" s="50"/>
      <c r="F253" s="54"/>
    </row>
    <row r="254" spans="2:6" s="44" customFormat="1" x14ac:dyDescent="0.2">
      <c r="B254" s="50"/>
      <c r="C254" s="50"/>
      <c r="D254" s="51"/>
      <c r="E254" s="50"/>
      <c r="F254" s="54"/>
    </row>
    <row r="255" spans="2:6" s="44" customFormat="1" x14ac:dyDescent="0.2">
      <c r="B255" s="50"/>
      <c r="C255" s="50"/>
      <c r="D255" s="51"/>
      <c r="E255" s="50"/>
      <c r="F255" s="54"/>
    </row>
    <row r="256" spans="2:6" s="44" customFormat="1" x14ac:dyDescent="0.2">
      <c r="B256" s="50"/>
      <c r="C256" s="50"/>
      <c r="D256" s="51"/>
      <c r="E256" s="50"/>
      <c r="F256" s="54"/>
    </row>
    <row r="257" spans="2:6" s="44" customFormat="1" x14ac:dyDescent="0.2">
      <c r="B257" s="50"/>
      <c r="C257" s="50"/>
      <c r="D257" s="51"/>
      <c r="E257" s="50"/>
      <c r="F257" s="54"/>
    </row>
    <row r="258" spans="2:6" s="44" customFormat="1" x14ac:dyDescent="0.2">
      <c r="B258" s="50"/>
      <c r="C258" s="50"/>
      <c r="D258" s="51"/>
      <c r="E258" s="50"/>
      <c r="F258" s="54"/>
    </row>
    <row r="259" spans="2:6" s="44" customFormat="1" x14ac:dyDescent="0.2">
      <c r="B259" s="50"/>
      <c r="C259" s="50"/>
      <c r="D259" s="51"/>
      <c r="E259" s="50"/>
      <c r="F259" s="54"/>
    </row>
    <row r="260" spans="2:6" s="44" customFormat="1" x14ac:dyDescent="0.2">
      <c r="B260" s="50"/>
      <c r="C260" s="50"/>
      <c r="D260" s="51"/>
      <c r="E260" s="50"/>
      <c r="F260" s="54"/>
    </row>
    <row r="261" spans="2:6" s="44" customFormat="1" x14ac:dyDescent="0.2">
      <c r="B261" s="50"/>
      <c r="C261" s="50"/>
      <c r="D261" s="51"/>
      <c r="E261" s="50"/>
      <c r="F261" s="54"/>
    </row>
    <row r="262" spans="2:6" s="44" customFormat="1" x14ac:dyDescent="0.2">
      <c r="B262" s="50"/>
      <c r="C262" s="50"/>
      <c r="D262" s="51"/>
      <c r="E262" s="50"/>
      <c r="F262" s="54"/>
    </row>
    <row r="263" spans="2:6" s="44" customFormat="1" x14ac:dyDescent="0.2">
      <c r="B263" s="50"/>
      <c r="C263" s="50"/>
      <c r="D263" s="51"/>
      <c r="E263" s="50"/>
      <c r="F263" s="54"/>
    </row>
    <row r="264" spans="2:6" s="44" customFormat="1" x14ac:dyDescent="0.2">
      <c r="B264" s="50"/>
      <c r="C264" s="50"/>
      <c r="D264" s="51"/>
      <c r="E264" s="50"/>
      <c r="F264" s="54"/>
    </row>
    <row r="265" spans="2:6" s="44" customFormat="1" x14ac:dyDescent="0.2">
      <c r="B265" s="50"/>
      <c r="C265" s="50"/>
      <c r="D265" s="51"/>
      <c r="E265" s="50"/>
      <c r="F265" s="54"/>
    </row>
    <row r="266" spans="2:6" s="44" customFormat="1" x14ac:dyDescent="0.2">
      <c r="B266" s="50"/>
      <c r="C266" s="50"/>
      <c r="D266" s="51"/>
      <c r="E266" s="50"/>
      <c r="F266" s="54"/>
    </row>
    <row r="267" spans="2:6" s="44" customFormat="1" x14ac:dyDescent="0.2">
      <c r="B267" s="50"/>
      <c r="C267" s="50"/>
      <c r="D267" s="51"/>
      <c r="E267" s="50"/>
      <c r="F267" s="54"/>
    </row>
    <row r="268" spans="2:6" s="44" customFormat="1" x14ac:dyDescent="0.2">
      <c r="B268" s="50"/>
      <c r="C268" s="50"/>
      <c r="D268" s="51"/>
      <c r="E268" s="50"/>
      <c r="F268" s="54"/>
    </row>
    <row r="269" spans="2:6" s="44" customFormat="1" x14ac:dyDescent="0.2">
      <c r="B269" s="50"/>
      <c r="C269" s="50"/>
      <c r="D269" s="51"/>
      <c r="E269" s="50"/>
      <c r="F269" s="54"/>
    </row>
    <row r="270" spans="2:6" s="44" customFormat="1" x14ac:dyDescent="0.2">
      <c r="B270" s="50"/>
      <c r="C270" s="50"/>
      <c r="D270" s="51"/>
      <c r="E270" s="50"/>
      <c r="F270" s="54"/>
    </row>
    <row r="271" spans="2:6" s="44" customFormat="1" x14ac:dyDescent="0.2">
      <c r="B271" s="50"/>
      <c r="C271" s="50"/>
      <c r="D271" s="51"/>
      <c r="E271" s="50"/>
      <c r="F271" s="54"/>
    </row>
    <row r="272" spans="2:6" s="44" customFormat="1" x14ac:dyDescent="0.2">
      <c r="B272" s="50"/>
      <c r="C272" s="50"/>
      <c r="D272" s="51"/>
      <c r="E272" s="50"/>
      <c r="F272" s="54"/>
    </row>
    <row r="273" spans="2:6" s="44" customFormat="1" x14ac:dyDescent="0.2">
      <c r="B273" s="50"/>
      <c r="C273" s="50"/>
      <c r="D273" s="51"/>
      <c r="E273" s="50"/>
      <c r="F273" s="54"/>
    </row>
    <row r="274" spans="2:6" s="44" customFormat="1" x14ac:dyDescent="0.2">
      <c r="B274" s="50"/>
      <c r="C274" s="50"/>
      <c r="D274" s="51"/>
      <c r="E274" s="50"/>
      <c r="F274" s="54"/>
    </row>
    <row r="275" spans="2:6" s="44" customFormat="1" x14ac:dyDescent="0.2">
      <c r="B275" s="50"/>
      <c r="C275" s="50"/>
      <c r="D275" s="51"/>
      <c r="E275" s="50"/>
      <c r="F275" s="54"/>
    </row>
    <row r="276" spans="2:6" s="44" customFormat="1" x14ac:dyDescent="0.2">
      <c r="B276" s="50"/>
      <c r="C276" s="50"/>
      <c r="D276" s="51"/>
      <c r="E276" s="50"/>
      <c r="F276" s="54"/>
    </row>
    <row r="277" spans="2:6" s="44" customFormat="1" x14ac:dyDescent="0.2">
      <c r="B277" s="50"/>
      <c r="C277" s="50"/>
      <c r="D277" s="51"/>
      <c r="E277" s="50"/>
      <c r="F277" s="54"/>
    </row>
    <row r="278" spans="2:6" s="44" customFormat="1" x14ac:dyDescent="0.2">
      <c r="B278" s="50"/>
      <c r="C278" s="50"/>
      <c r="D278" s="51"/>
      <c r="E278" s="50"/>
      <c r="F278" s="54"/>
    </row>
    <row r="279" spans="2:6" s="44" customFormat="1" x14ac:dyDescent="0.2">
      <c r="B279" s="50"/>
      <c r="C279" s="50"/>
      <c r="D279" s="51"/>
      <c r="E279" s="50"/>
      <c r="F279" s="54"/>
    </row>
    <row r="280" spans="2:6" s="44" customFormat="1" x14ac:dyDescent="0.2">
      <c r="B280" s="50"/>
      <c r="C280" s="50"/>
      <c r="D280" s="51"/>
      <c r="E280" s="50"/>
      <c r="F280" s="54"/>
    </row>
    <row r="281" spans="2:6" s="44" customFormat="1" x14ac:dyDescent="0.2">
      <c r="B281" s="50"/>
      <c r="C281" s="50"/>
      <c r="D281" s="51"/>
      <c r="E281" s="50"/>
      <c r="F281" s="54"/>
    </row>
    <row r="282" spans="2:6" s="44" customFormat="1" x14ac:dyDescent="0.2">
      <c r="B282" s="50"/>
      <c r="C282" s="50"/>
      <c r="D282" s="51"/>
      <c r="E282" s="50"/>
      <c r="F282" s="54"/>
    </row>
    <row r="283" spans="2:6" s="44" customFormat="1" x14ac:dyDescent="0.2">
      <c r="B283" s="50"/>
      <c r="C283" s="50"/>
      <c r="D283" s="51"/>
      <c r="E283" s="50"/>
      <c r="F283" s="54"/>
    </row>
    <row r="284" spans="2:6" s="44" customFormat="1" x14ac:dyDescent="0.2">
      <c r="B284" s="50"/>
      <c r="C284" s="50"/>
      <c r="D284" s="51"/>
      <c r="E284" s="50"/>
      <c r="F284" s="54"/>
    </row>
    <row r="285" spans="2:6" s="44" customFormat="1" x14ac:dyDescent="0.2">
      <c r="B285" s="50"/>
      <c r="C285" s="50"/>
      <c r="D285" s="51"/>
      <c r="E285" s="50"/>
      <c r="F285" s="54"/>
    </row>
    <row r="286" spans="2:6" s="44" customFormat="1" x14ac:dyDescent="0.2">
      <c r="B286" s="50"/>
      <c r="C286" s="50"/>
      <c r="D286" s="51"/>
      <c r="E286" s="50"/>
      <c r="F286" s="54"/>
    </row>
    <row r="287" spans="2:6" s="44" customFormat="1" x14ac:dyDescent="0.2">
      <c r="B287" s="50"/>
      <c r="C287" s="50"/>
      <c r="D287" s="51"/>
      <c r="E287" s="50"/>
      <c r="F287" s="54"/>
    </row>
    <row r="288" spans="2:6" s="44" customFormat="1" x14ac:dyDescent="0.2">
      <c r="B288" s="50"/>
      <c r="C288" s="50"/>
      <c r="D288" s="51"/>
      <c r="E288" s="50"/>
      <c r="F288" s="54"/>
    </row>
    <row r="289" spans="2:6" s="44" customFormat="1" x14ac:dyDescent="0.2">
      <c r="B289" s="50"/>
      <c r="C289" s="50"/>
      <c r="D289" s="51"/>
      <c r="E289" s="50"/>
      <c r="F289" s="54"/>
    </row>
    <row r="290" spans="2:6" s="44" customFormat="1" x14ac:dyDescent="0.2">
      <c r="B290" s="50"/>
      <c r="C290" s="50"/>
      <c r="D290" s="51"/>
      <c r="E290" s="50"/>
      <c r="F290" s="54"/>
    </row>
    <row r="291" spans="2:6" s="44" customFormat="1" x14ac:dyDescent="0.2">
      <c r="B291" s="50"/>
      <c r="C291" s="50"/>
      <c r="D291" s="51"/>
      <c r="E291" s="50"/>
      <c r="F291" s="54"/>
    </row>
    <row r="292" spans="2:6" s="44" customFormat="1" x14ac:dyDescent="0.2">
      <c r="B292" s="50"/>
      <c r="C292" s="50"/>
      <c r="D292" s="51"/>
      <c r="E292" s="50"/>
      <c r="F292" s="54"/>
    </row>
    <row r="293" spans="2:6" s="44" customFormat="1" x14ac:dyDescent="0.2">
      <c r="B293" s="50"/>
      <c r="C293" s="50"/>
      <c r="D293" s="51"/>
      <c r="E293" s="50"/>
      <c r="F293" s="54"/>
    </row>
    <row r="294" spans="2:6" s="44" customFormat="1" x14ac:dyDescent="0.2">
      <c r="B294" s="50"/>
      <c r="C294" s="50"/>
      <c r="D294" s="51"/>
      <c r="E294" s="50"/>
      <c r="F294" s="54"/>
    </row>
    <row r="295" spans="2:6" s="44" customFormat="1" x14ac:dyDescent="0.2">
      <c r="B295" s="50"/>
      <c r="C295" s="50"/>
      <c r="D295" s="51"/>
      <c r="E295" s="50"/>
      <c r="F295" s="54"/>
    </row>
    <row r="296" spans="2:6" s="44" customFormat="1" x14ac:dyDescent="0.2">
      <c r="B296" s="50"/>
      <c r="C296" s="50"/>
      <c r="D296" s="51"/>
      <c r="E296" s="50"/>
      <c r="F296" s="54"/>
    </row>
    <row r="297" spans="2:6" s="44" customFormat="1" x14ac:dyDescent="0.2">
      <c r="B297" s="50"/>
      <c r="C297" s="50"/>
      <c r="D297" s="51"/>
      <c r="E297" s="50"/>
      <c r="F297" s="54"/>
    </row>
    <row r="298" spans="2:6" s="44" customFormat="1" x14ac:dyDescent="0.2">
      <c r="B298" s="50"/>
      <c r="C298" s="50"/>
      <c r="D298" s="51"/>
      <c r="E298" s="50"/>
      <c r="F298" s="54"/>
    </row>
    <row r="299" spans="2:6" s="44" customFormat="1" x14ac:dyDescent="0.2">
      <c r="B299" s="50"/>
      <c r="C299" s="50"/>
      <c r="D299" s="51"/>
      <c r="E299" s="50"/>
      <c r="F299" s="54"/>
    </row>
    <row r="300" spans="2:6" s="44" customFormat="1" x14ac:dyDescent="0.2">
      <c r="B300" s="50"/>
      <c r="C300" s="50"/>
      <c r="D300" s="51"/>
      <c r="E300" s="50"/>
      <c r="F300" s="54"/>
    </row>
    <row r="301" spans="2:6" s="44" customFormat="1" x14ac:dyDescent="0.2">
      <c r="B301" s="50"/>
      <c r="C301" s="50"/>
      <c r="D301" s="51"/>
      <c r="E301" s="50"/>
      <c r="F301" s="54"/>
    </row>
    <row r="302" spans="2:6" s="44" customFormat="1" x14ac:dyDescent="0.2">
      <c r="B302" s="50"/>
      <c r="C302" s="50"/>
      <c r="D302" s="51"/>
      <c r="E302" s="50"/>
      <c r="F302" s="54"/>
    </row>
    <row r="303" spans="2:6" s="44" customFormat="1" x14ac:dyDescent="0.2">
      <c r="B303" s="50"/>
      <c r="C303" s="50"/>
      <c r="D303" s="51"/>
      <c r="E303" s="50"/>
      <c r="F303" s="54"/>
    </row>
    <row r="304" spans="2:6" s="44" customFormat="1" x14ac:dyDescent="0.2">
      <c r="B304" s="50"/>
      <c r="C304" s="50"/>
      <c r="D304" s="51"/>
      <c r="E304" s="50"/>
      <c r="F304" s="54"/>
    </row>
    <row r="305" spans="2:6" s="44" customFormat="1" x14ac:dyDescent="0.2">
      <c r="B305" s="50"/>
      <c r="C305" s="50"/>
      <c r="D305" s="51"/>
      <c r="E305" s="50"/>
      <c r="F305" s="54"/>
    </row>
    <row r="306" spans="2:6" s="44" customFormat="1" x14ac:dyDescent="0.2">
      <c r="B306" s="50"/>
      <c r="C306" s="50"/>
      <c r="D306" s="51"/>
      <c r="E306" s="50"/>
      <c r="F306" s="54"/>
    </row>
    <row r="307" spans="2:6" s="44" customFormat="1" x14ac:dyDescent="0.2">
      <c r="B307" s="50"/>
      <c r="C307" s="50"/>
      <c r="D307" s="51"/>
      <c r="E307" s="50"/>
      <c r="F307" s="54"/>
    </row>
    <row r="308" spans="2:6" s="44" customFormat="1" x14ac:dyDescent="0.2">
      <c r="B308" s="50"/>
      <c r="C308" s="50"/>
      <c r="D308" s="51"/>
      <c r="E308" s="50"/>
      <c r="F308" s="54"/>
    </row>
    <row r="309" spans="2:6" s="44" customFormat="1" x14ac:dyDescent="0.2">
      <c r="B309" s="50"/>
      <c r="C309" s="50"/>
      <c r="D309" s="51"/>
      <c r="E309" s="50"/>
      <c r="F309" s="54"/>
    </row>
    <row r="310" spans="2:6" s="44" customFormat="1" x14ac:dyDescent="0.2">
      <c r="B310" s="50"/>
      <c r="C310" s="50"/>
      <c r="D310" s="51"/>
      <c r="E310" s="50"/>
      <c r="F310" s="54"/>
    </row>
    <row r="311" spans="2:6" s="44" customFormat="1" x14ac:dyDescent="0.2">
      <c r="B311" s="50"/>
      <c r="C311" s="50"/>
      <c r="D311" s="51"/>
      <c r="E311" s="50"/>
      <c r="F311" s="54"/>
    </row>
    <row r="312" spans="2:6" s="44" customFormat="1" x14ac:dyDescent="0.2">
      <c r="B312" s="50"/>
      <c r="C312" s="50"/>
      <c r="D312" s="51"/>
      <c r="E312" s="50"/>
      <c r="F312" s="54"/>
    </row>
    <row r="313" spans="2:6" s="44" customFormat="1" x14ac:dyDescent="0.2">
      <c r="B313" s="50"/>
      <c r="C313" s="50"/>
      <c r="D313" s="51"/>
      <c r="E313" s="50"/>
      <c r="F313" s="54"/>
    </row>
    <row r="314" spans="2:6" s="44" customFormat="1" x14ac:dyDescent="0.2">
      <c r="B314" s="50"/>
      <c r="C314" s="50"/>
      <c r="D314" s="51"/>
      <c r="E314" s="50"/>
      <c r="F314" s="54"/>
    </row>
    <row r="315" spans="2:6" s="44" customFormat="1" x14ac:dyDescent="0.2">
      <c r="B315" s="50"/>
      <c r="C315" s="50"/>
      <c r="D315" s="51"/>
      <c r="E315" s="50"/>
      <c r="F315" s="54"/>
    </row>
    <row r="316" spans="2:6" s="44" customFormat="1" x14ac:dyDescent="0.2">
      <c r="B316" s="50"/>
      <c r="C316" s="50"/>
      <c r="D316" s="51"/>
      <c r="E316" s="50"/>
      <c r="F316" s="54"/>
    </row>
    <row r="317" spans="2:6" s="44" customFormat="1" x14ac:dyDescent="0.2">
      <c r="B317" s="50"/>
      <c r="C317" s="50"/>
      <c r="D317" s="51"/>
      <c r="E317" s="50"/>
      <c r="F317" s="54"/>
    </row>
    <row r="318" spans="2:6" s="44" customFormat="1" x14ac:dyDescent="0.2">
      <c r="B318" s="50"/>
      <c r="C318" s="50"/>
      <c r="D318" s="51"/>
      <c r="E318" s="50"/>
      <c r="F318" s="54"/>
    </row>
    <row r="319" spans="2:6" s="44" customFormat="1" x14ac:dyDescent="0.2">
      <c r="B319" s="50"/>
      <c r="C319" s="50"/>
      <c r="D319" s="51"/>
      <c r="E319" s="50"/>
      <c r="F319" s="54"/>
    </row>
    <row r="320" spans="2:6" s="44" customFormat="1" x14ac:dyDescent="0.2">
      <c r="B320" s="50"/>
      <c r="C320" s="50"/>
      <c r="D320" s="51"/>
      <c r="E320" s="50"/>
      <c r="F320" s="54"/>
    </row>
    <row r="321" spans="2:6" s="44" customFormat="1" x14ac:dyDescent="0.2">
      <c r="B321" s="50"/>
      <c r="C321" s="50"/>
      <c r="D321" s="51"/>
      <c r="E321" s="50"/>
      <c r="F321" s="54"/>
    </row>
    <row r="322" spans="2:6" s="44" customFormat="1" x14ac:dyDescent="0.2">
      <c r="B322" s="50"/>
      <c r="C322" s="50"/>
      <c r="D322" s="51"/>
      <c r="E322" s="50"/>
      <c r="F322" s="54"/>
    </row>
    <row r="323" spans="2:6" s="44" customFormat="1" x14ac:dyDescent="0.2">
      <c r="B323" s="50"/>
      <c r="C323" s="50"/>
      <c r="D323" s="51"/>
      <c r="E323" s="50"/>
      <c r="F323" s="54"/>
    </row>
    <row r="324" spans="2:6" s="44" customFormat="1" x14ac:dyDescent="0.2">
      <c r="B324" s="50"/>
      <c r="C324" s="50"/>
      <c r="D324" s="51"/>
      <c r="E324" s="50"/>
      <c r="F324" s="54"/>
    </row>
    <row r="325" spans="2:6" s="44" customFormat="1" x14ac:dyDescent="0.2">
      <c r="B325" s="50"/>
      <c r="C325" s="50"/>
      <c r="D325" s="51"/>
      <c r="E325" s="50"/>
      <c r="F325" s="54"/>
    </row>
    <row r="326" spans="2:6" s="44" customFormat="1" x14ac:dyDescent="0.2">
      <c r="B326" s="50"/>
      <c r="C326" s="50"/>
      <c r="D326" s="51"/>
      <c r="E326" s="50"/>
      <c r="F326" s="54"/>
    </row>
    <row r="327" spans="2:6" s="44" customFormat="1" x14ac:dyDescent="0.2">
      <c r="B327" s="50"/>
      <c r="C327" s="50"/>
      <c r="D327" s="51"/>
      <c r="E327" s="50"/>
      <c r="F327" s="54"/>
    </row>
    <row r="328" spans="2:6" s="44" customFormat="1" x14ac:dyDescent="0.2">
      <c r="B328" s="50"/>
      <c r="C328" s="50"/>
      <c r="D328" s="51"/>
      <c r="E328" s="50"/>
      <c r="F328" s="54"/>
    </row>
    <row r="329" spans="2:6" s="44" customFormat="1" x14ac:dyDescent="0.2">
      <c r="B329" s="50"/>
      <c r="C329" s="50"/>
      <c r="D329" s="51"/>
      <c r="E329" s="50"/>
      <c r="F329" s="54"/>
    </row>
    <row r="330" spans="2:6" s="44" customFormat="1" x14ac:dyDescent="0.2">
      <c r="B330" s="50"/>
      <c r="C330" s="50"/>
      <c r="D330" s="51"/>
      <c r="E330" s="50"/>
      <c r="F330" s="54"/>
    </row>
    <row r="331" spans="2:6" s="44" customFormat="1" x14ac:dyDescent="0.2">
      <c r="B331" s="50"/>
      <c r="C331" s="50"/>
      <c r="D331" s="51"/>
      <c r="E331" s="50"/>
      <c r="F331" s="54"/>
    </row>
    <row r="332" spans="2:6" s="44" customFormat="1" x14ac:dyDescent="0.2">
      <c r="B332" s="50"/>
      <c r="C332" s="50"/>
      <c r="D332" s="51"/>
      <c r="E332" s="50"/>
      <c r="F332" s="54"/>
    </row>
    <row r="333" spans="2:6" s="44" customFormat="1" x14ac:dyDescent="0.2">
      <c r="B333" s="50"/>
      <c r="C333" s="50"/>
      <c r="D333" s="51"/>
      <c r="E333" s="50"/>
      <c r="F333" s="54"/>
    </row>
    <row r="334" spans="2:6" s="44" customFormat="1" x14ac:dyDescent="0.2">
      <c r="B334" s="50"/>
      <c r="C334" s="50"/>
      <c r="D334" s="51"/>
      <c r="E334" s="50"/>
      <c r="F334" s="54"/>
    </row>
    <row r="335" spans="2:6" s="44" customFormat="1" x14ac:dyDescent="0.2">
      <c r="B335" s="50"/>
      <c r="C335" s="50"/>
      <c r="D335" s="51"/>
      <c r="E335" s="50"/>
      <c r="F335" s="54"/>
    </row>
    <row r="336" spans="2:6" s="44" customFormat="1" x14ac:dyDescent="0.2">
      <c r="B336" s="50"/>
      <c r="C336" s="50"/>
      <c r="D336" s="51"/>
      <c r="E336" s="50"/>
      <c r="F336" s="54"/>
    </row>
    <row r="337" spans="2:6" s="44" customFormat="1" x14ac:dyDescent="0.2">
      <c r="B337" s="50"/>
      <c r="C337" s="50"/>
      <c r="D337" s="51"/>
      <c r="E337" s="50"/>
      <c r="F337" s="54"/>
    </row>
    <row r="338" spans="2:6" s="44" customFormat="1" x14ac:dyDescent="0.2">
      <c r="B338" s="50"/>
      <c r="C338" s="50"/>
      <c r="D338" s="51"/>
      <c r="E338" s="50"/>
      <c r="F338" s="54"/>
    </row>
    <row r="339" spans="2:6" s="44" customFormat="1" x14ac:dyDescent="0.2">
      <c r="B339" s="50"/>
      <c r="C339" s="50"/>
      <c r="D339" s="51"/>
      <c r="E339" s="50"/>
      <c r="F339" s="54"/>
    </row>
    <row r="340" spans="2:6" s="44" customFormat="1" x14ac:dyDescent="0.2">
      <c r="B340" s="50"/>
      <c r="C340" s="50"/>
      <c r="D340" s="51"/>
      <c r="E340" s="50"/>
      <c r="F340" s="54"/>
    </row>
    <row r="341" spans="2:6" s="44" customFormat="1" x14ac:dyDescent="0.2">
      <c r="B341" s="50"/>
      <c r="C341" s="50"/>
      <c r="D341" s="51"/>
      <c r="E341" s="50"/>
      <c r="F341" s="54"/>
    </row>
    <row r="342" spans="2:6" s="44" customFormat="1" x14ac:dyDescent="0.2">
      <c r="B342" s="50"/>
      <c r="C342" s="50"/>
      <c r="D342" s="51"/>
      <c r="E342" s="50"/>
      <c r="F342" s="54"/>
    </row>
    <row r="343" spans="2:6" s="44" customFormat="1" x14ac:dyDescent="0.2">
      <c r="B343" s="50"/>
      <c r="C343" s="50"/>
      <c r="D343" s="51"/>
      <c r="E343" s="50"/>
      <c r="F343" s="54"/>
    </row>
    <row r="344" spans="2:6" s="44" customFormat="1" x14ac:dyDescent="0.2">
      <c r="B344" s="50"/>
      <c r="C344" s="50"/>
      <c r="D344" s="51"/>
      <c r="E344" s="50"/>
      <c r="F344" s="54"/>
    </row>
    <row r="345" spans="2:6" s="44" customFormat="1" x14ac:dyDescent="0.2">
      <c r="B345" s="50"/>
      <c r="C345" s="50"/>
      <c r="D345" s="51"/>
      <c r="E345" s="50"/>
      <c r="F345" s="54"/>
    </row>
    <row r="346" spans="2:6" s="44" customFormat="1" x14ac:dyDescent="0.2">
      <c r="B346" s="50"/>
      <c r="C346" s="50"/>
      <c r="D346" s="51"/>
      <c r="E346" s="50"/>
      <c r="F346" s="54"/>
    </row>
    <row r="347" spans="2:6" s="44" customFormat="1" x14ac:dyDescent="0.2">
      <c r="B347" s="50"/>
      <c r="C347" s="50"/>
      <c r="D347" s="51"/>
      <c r="E347" s="50"/>
      <c r="F347" s="54"/>
    </row>
    <row r="348" spans="2:6" s="44" customFormat="1" x14ac:dyDescent="0.2">
      <c r="B348" s="50"/>
      <c r="C348" s="50"/>
      <c r="D348" s="51"/>
      <c r="E348" s="50"/>
      <c r="F348" s="54"/>
    </row>
    <row r="349" spans="2:6" s="44" customFormat="1" x14ac:dyDescent="0.2">
      <c r="B349" s="50"/>
      <c r="C349" s="50"/>
      <c r="D349" s="51"/>
      <c r="E349" s="50"/>
      <c r="F349" s="54"/>
    </row>
    <row r="350" spans="2:6" s="44" customFormat="1" x14ac:dyDescent="0.2">
      <c r="B350" s="50"/>
      <c r="C350" s="50"/>
      <c r="D350" s="51"/>
      <c r="E350" s="50"/>
      <c r="F350" s="54"/>
    </row>
    <row r="351" spans="2:6" s="44" customFormat="1" x14ac:dyDescent="0.2">
      <c r="B351" s="50"/>
      <c r="C351" s="50"/>
      <c r="D351" s="51"/>
      <c r="E351" s="50"/>
      <c r="F351" s="54"/>
    </row>
    <row r="352" spans="2:6" s="44" customFormat="1" x14ac:dyDescent="0.2">
      <c r="B352" s="50"/>
      <c r="C352" s="50"/>
      <c r="D352" s="51"/>
      <c r="E352" s="50"/>
      <c r="F352" s="54"/>
    </row>
    <row r="353" spans="2:6" s="44" customFormat="1" x14ac:dyDescent="0.2">
      <c r="B353" s="50"/>
      <c r="C353" s="50"/>
      <c r="D353" s="51"/>
      <c r="E353" s="50"/>
      <c r="F353" s="54"/>
    </row>
    <row r="354" spans="2:6" s="44" customFormat="1" x14ac:dyDescent="0.2">
      <c r="B354" s="50"/>
      <c r="C354" s="50"/>
      <c r="D354" s="51"/>
      <c r="E354" s="50"/>
      <c r="F354" s="54"/>
    </row>
    <row r="355" spans="2:6" s="44" customFormat="1" x14ac:dyDescent="0.2">
      <c r="B355" s="50"/>
      <c r="C355" s="50"/>
      <c r="D355" s="51"/>
      <c r="E355" s="50"/>
      <c r="F355" s="54"/>
    </row>
    <row r="356" spans="2:6" s="44" customFormat="1" x14ac:dyDescent="0.2">
      <c r="B356" s="50"/>
      <c r="C356" s="50"/>
      <c r="D356" s="51"/>
      <c r="E356" s="50"/>
      <c r="F356" s="54"/>
    </row>
    <row r="357" spans="2:6" s="44" customFormat="1" x14ac:dyDescent="0.2">
      <c r="B357" s="50"/>
      <c r="C357" s="50"/>
      <c r="D357" s="51"/>
      <c r="E357" s="50"/>
      <c r="F357" s="54"/>
    </row>
    <row r="358" spans="2:6" s="44" customFormat="1" x14ac:dyDescent="0.2">
      <c r="B358" s="50"/>
      <c r="C358" s="50"/>
      <c r="D358" s="51"/>
      <c r="E358" s="50"/>
      <c r="F358" s="54"/>
    </row>
    <row r="359" spans="2:6" s="44" customFormat="1" x14ac:dyDescent="0.2">
      <c r="B359" s="50"/>
      <c r="C359" s="50"/>
      <c r="D359" s="51"/>
      <c r="E359" s="50"/>
      <c r="F359" s="54"/>
    </row>
    <row r="360" spans="2:6" s="44" customFormat="1" x14ac:dyDescent="0.2">
      <c r="B360" s="50"/>
      <c r="C360" s="50"/>
      <c r="D360" s="51"/>
      <c r="E360" s="50"/>
      <c r="F360" s="54"/>
    </row>
    <row r="361" spans="2:6" s="44" customFormat="1" x14ac:dyDescent="0.2">
      <c r="B361" s="50"/>
      <c r="C361" s="50"/>
      <c r="D361" s="51"/>
      <c r="E361" s="50"/>
      <c r="F361" s="54"/>
    </row>
    <row r="362" spans="2:6" s="44" customFormat="1" x14ac:dyDescent="0.2">
      <c r="B362" s="50"/>
      <c r="C362" s="50"/>
      <c r="D362" s="51"/>
      <c r="E362" s="50"/>
      <c r="F362" s="54"/>
    </row>
    <row r="363" spans="2:6" s="44" customFormat="1" x14ac:dyDescent="0.2">
      <c r="B363" s="50"/>
      <c r="C363" s="50"/>
      <c r="D363" s="51"/>
      <c r="E363" s="50"/>
      <c r="F363" s="54"/>
    </row>
    <row r="364" spans="2:6" s="44" customFormat="1" x14ac:dyDescent="0.2">
      <c r="B364" s="50"/>
      <c r="C364" s="50"/>
      <c r="D364" s="51"/>
      <c r="E364" s="50"/>
      <c r="F364" s="54"/>
    </row>
    <row r="365" spans="2:6" s="44" customFormat="1" x14ac:dyDescent="0.2">
      <c r="B365" s="50"/>
      <c r="C365" s="50"/>
      <c r="D365" s="51"/>
      <c r="E365" s="50"/>
      <c r="F365" s="54"/>
    </row>
    <row r="366" spans="2:6" s="44" customFormat="1" x14ac:dyDescent="0.2">
      <c r="B366" s="50"/>
      <c r="C366" s="50"/>
      <c r="D366" s="51"/>
      <c r="E366" s="50"/>
      <c r="F366" s="54"/>
    </row>
    <row r="367" spans="2:6" s="44" customFormat="1" x14ac:dyDescent="0.2">
      <c r="B367" s="50"/>
      <c r="C367" s="50"/>
      <c r="D367" s="51"/>
      <c r="E367" s="50"/>
      <c r="F367" s="54"/>
    </row>
    <row r="368" spans="2:6" s="44" customFormat="1" x14ac:dyDescent="0.2">
      <c r="B368" s="50"/>
      <c r="C368" s="50"/>
      <c r="D368" s="51"/>
      <c r="E368" s="50"/>
      <c r="F368" s="54"/>
    </row>
    <row r="369" spans="2:6" s="44" customFormat="1" x14ac:dyDescent="0.2">
      <c r="B369" s="50"/>
      <c r="C369" s="50"/>
      <c r="D369" s="51"/>
      <c r="E369" s="50"/>
      <c r="F369" s="54"/>
    </row>
    <row r="370" spans="2:6" s="44" customFormat="1" x14ac:dyDescent="0.2">
      <c r="B370" s="50"/>
      <c r="C370" s="50"/>
      <c r="D370" s="51"/>
      <c r="E370" s="50"/>
      <c r="F370" s="54"/>
    </row>
    <row r="371" spans="2:6" s="44" customFormat="1" x14ac:dyDescent="0.2">
      <c r="B371" s="50"/>
      <c r="C371" s="50"/>
      <c r="D371" s="51"/>
      <c r="E371" s="50"/>
      <c r="F371" s="54"/>
    </row>
    <row r="372" spans="2:6" s="44" customFormat="1" x14ac:dyDescent="0.2">
      <c r="B372" s="50"/>
      <c r="C372" s="50"/>
      <c r="D372" s="51"/>
      <c r="E372" s="50"/>
      <c r="F372" s="54"/>
    </row>
    <row r="373" spans="2:6" s="44" customFormat="1" x14ac:dyDescent="0.2">
      <c r="B373" s="50"/>
      <c r="C373" s="50"/>
      <c r="D373" s="51"/>
      <c r="E373" s="50"/>
      <c r="F373" s="54"/>
    </row>
    <row r="374" spans="2:6" s="44" customFormat="1" x14ac:dyDescent="0.2">
      <c r="B374" s="50"/>
      <c r="C374" s="50"/>
      <c r="D374" s="51"/>
      <c r="E374" s="50"/>
      <c r="F374" s="54"/>
    </row>
    <row r="375" spans="2:6" s="44" customFormat="1" x14ac:dyDescent="0.2">
      <c r="B375" s="50"/>
      <c r="C375" s="50"/>
      <c r="D375" s="51"/>
      <c r="E375" s="50"/>
      <c r="F375" s="54"/>
    </row>
    <row r="376" spans="2:6" s="44" customFormat="1" x14ac:dyDescent="0.2">
      <c r="B376" s="50"/>
      <c r="C376" s="50"/>
      <c r="D376" s="51"/>
      <c r="E376" s="50"/>
      <c r="F376" s="54"/>
    </row>
    <row r="377" spans="2:6" s="44" customFormat="1" x14ac:dyDescent="0.2">
      <c r="B377" s="50"/>
      <c r="C377" s="50"/>
      <c r="D377" s="51"/>
      <c r="E377" s="50"/>
      <c r="F377" s="54"/>
    </row>
    <row r="378" spans="2:6" s="44" customFormat="1" x14ac:dyDescent="0.2">
      <c r="B378" s="50"/>
      <c r="C378" s="50"/>
      <c r="D378" s="51"/>
      <c r="E378" s="50"/>
      <c r="F378" s="54"/>
    </row>
    <row r="379" spans="2:6" s="44" customFormat="1" x14ac:dyDescent="0.2">
      <c r="B379" s="50"/>
      <c r="C379" s="50"/>
      <c r="D379" s="51"/>
      <c r="E379" s="50"/>
      <c r="F379" s="54"/>
    </row>
    <row r="380" spans="2:6" s="44" customFormat="1" x14ac:dyDescent="0.2">
      <c r="B380" s="50"/>
      <c r="C380" s="50"/>
      <c r="D380" s="51"/>
      <c r="E380" s="50"/>
      <c r="F380" s="54"/>
    </row>
    <row r="381" spans="2:6" s="44" customFormat="1" x14ac:dyDescent="0.2">
      <c r="B381" s="50"/>
      <c r="C381" s="50"/>
      <c r="D381" s="51"/>
      <c r="E381" s="50"/>
      <c r="F381" s="54"/>
    </row>
    <row r="382" spans="2:6" s="44" customFormat="1" x14ac:dyDescent="0.2">
      <c r="B382" s="50"/>
      <c r="C382" s="50"/>
      <c r="D382" s="51"/>
      <c r="E382" s="50"/>
      <c r="F382" s="54"/>
    </row>
    <row r="383" spans="2:6" s="44" customFormat="1" x14ac:dyDescent="0.2">
      <c r="B383" s="50"/>
      <c r="C383" s="50"/>
      <c r="D383" s="51"/>
      <c r="E383" s="50"/>
      <c r="F383" s="54"/>
    </row>
    <row r="384" spans="2:6" s="44" customFormat="1" x14ac:dyDescent="0.2">
      <c r="B384" s="50"/>
      <c r="C384" s="50"/>
      <c r="D384" s="51"/>
      <c r="E384" s="50"/>
      <c r="F384" s="54"/>
    </row>
    <row r="385" spans="2:6" s="44" customFormat="1" x14ac:dyDescent="0.2">
      <c r="B385" s="50"/>
      <c r="C385" s="50"/>
      <c r="D385" s="51"/>
      <c r="E385" s="50"/>
      <c r="F385" s="54"/>
    </row>
    <row r="386" spans="2:6" s="44" customFormat="1" x14ac:dyDescent="0.2">
      <c r="B386" s="50"/>
      <c r="C386" s="50"/>
      <c r="D386" s="51"/>
      <c r="E386" s="50"/>
      <c r="F386" s="54"/>
    </row>
    <row r="387" spans="2:6" s="44" customFormat="1" x14ac:dyDescent="0.2">
      <c r="B387" s="50"/>
      <c r="C387" s="50"/>
      <c r="D387" s="51"/>
      <c r="E387" s="50"/>
      <c r="F387" s="54"/>
    </row>
    <row r="388" spans="2:6" s="44" customFormat="1" x14ac:dyDescent="0.2">
      <c r="B388" s="50"/>
      <c r="C388" s="50"/>
      <c r="D388" s="51"/>
      <c r="E388" s="50"/>
      <c r="F388" s="54"/>
    </row>
    <row r="389" spans="2:6" s="44" customFormat="1" x14ac:dyDescent="0.2">
      <c r="B389" s="50"/>
      <c r="C389" s="50"/>
      <c r="D389" s="51"/>
      <c r="E389" s="50"/>
      <c r="F389" s="54"/>
    </row>
    <row r="390" spans="2:6" s="44" customFormat="1" x14ac:dyDescent="0.2">
      <c r="B390" s="50"/>
      <c r="C390" s="50"/>
      <c r="D390" s="51"/>
      <c r="E390" s="50"/>
      <c r="F390" s="54"/>
    </row>
    <row r="391" spans="2:6" s="44" customFormat="1" x14ac:dyDescent="0.2">
      <c r="B391" s="50"/>
      <c r="C391" s="50"/>
      <c r="D391" s="51"/>
      <c r="E391" s="50"/>
      <c r="F391" s="54"/>
    </row>
    <row r="392" spans="2:6" s="44" customFormat="1" x14ac:dyDescent="0.2">
      <c r="B392" s="50"/>
      <c r="C392" s="50"/>
      <c r="D392" s="51"/>
      <c r="E392" s="50"/>
      <c r="F392" s="54"/>
    </row>
    <row r="393" spans="2:6" s="44" customFormat="1" x14ac:dyDescent="0.2">
      <c r="B393" s="50"/>
      <c r="C393" s="50"/>
      <c r="D393" s="51"/>
      <c r="E393" s="50"/>
      <c r="F393" s="54"/>
    </row>
    <row r="394" spans="2:6" s="44" customFormat="1" x14ac:dyDescent="0.2">
      <c r="B394" s="50"/>
      <c r="C394" s="50"/>
      <c r="D394" s="51"/>
      <c r="E394" s="50"/>
      <c r="F394" s="54"/>
    </row>
    <row r="395" spans="2:6" s="44" customFormat="1" x14ac:dyDescent="0.2">
      <c r="B395" s="50"/>
      <c r="C395" s="50"/>
      <c r="D395" s="51"/>
      <c r="E395" s="50"/>
      <c r="F395" s="54"/>
    </row>
    <row r="396" spans="2:6" s="44" customFormat="1" x14ac:dyDescent="0.2">
      <c r="B396" s="50"/>
      <c r="C396" s="50"/>
      <c r="D396" s="51"/>
      <c r="E396" s="50"/>
      <c r="F396" s="54"/>
    </row>
    <row r="397" spans="2:6" s="44" customFormat="1" x14ac:dyDescent="0.2">
      <c r="B397" s="50"/>
      <c r="C397" s="50"/>
      <c r="D397" s="51"/>
      <c r="E397" s="50"/>
      <c r="F397" s="54"/>
    </row>
    <row r="398" spans="2:6" s="44" customFormat="1" x14ac:dyDescent="0.2">
      <c r="B398" s="50"/>
      <c r="C398" s="50"/>
      <c r="D398" s="51"/>
      <c r="E398" s="50"/>
      <c r="F398" s="54"/>
    </row>
    <row r="399" spans="2:6" s="44" customFormat="1" x14ac:dyDescent="0.2">
      <c r="B399" s="50"/>
      <c r="C399" s="50"/>
      <c r="D399" s="51"/>
      <c r="E399" s="50"/>
      <c r="F399" s="54"/>
    </row>
    <row r="400" spans="2:6" s="44" customFormat="1" x14ac:dyDescent="0.2">
      <c r="B400" s="50"/>
      <c r="C400" s="50"/>
      <c r="D400" s="51"/>
      <c r="E400" s="50"/>
      <c r="F400" s="54"/>
    </row>
    <row r="401" spans="2:6" s="44" customFormat="1" x14ac:dyDescent="0.2">
      <c r="B401" s="50"/>
      <c r="C401" s="50"/>
      <c r="D401" s="51"/>
      <c r="E401" s="50"/>
      <c r="F401" s="54"/>
    </row>
    <row r="402" spans="2:6" s="44" customFormat="1" x14ac:dyDescent="0.2">
      <c r="B402" s="50"/>
      <c r="C402" s="50"/>
      <c r="D402" s="51"/>
      <c r="E402" s="50"/>
      <c r="F402" s="54"/>
    </row>
    <row r="403" spans="2:6" s="44" customFormat="1" x14ac:dyDescent="0.2">
      <c r="B403" s="50"/>
      <c r="C403" s="50"/>
      <c r="D403" s="51"/>
      <c r="E403" s="50"/>
      <c r="F403" s="54"/>
    </row>
    <row r="404" spans="2:6" s="44" customFormat="1" x14ac:dyDescent="0.2">
      <c r="B404" s="50"/>
      <c r="C404" s="50"/>
      <c r="D404" s="51"/>
      <c r="E404" s="50"/>
      <c r="F404" s="54"/>
    </row>
    <row r="405" spans="2:6" s="44" customFormat="1" x14ac:dyDescent="0.2">
      <c r="B405" s="50"/>
      <c r="C405" s="50"/>
      <c r="D405" s="51"/>
      <c r="E405" s="50"/>
      <c r="F405" s="54"/>
    </row>
    <row r="406" spans="2:6" s="44" customFormat="1" x14ac:dyDescent="0.2">
      <c r="B406" s="50"/>
      <c r="C406" s="50"/>
      <c r="D406" s="51"/>
      <c r="E406" s="50"/>
      <c r="F406" s="54"/>
    </row>
    <row r="407" spans="2:6" s="44" customFormat="1" x14ac:dyDescent="0.2">
      <c r="B407" s="50"/>
      <c r="C407" s="50"/>
      <c r="D407" s="51"/>
      <c r="E407" s="50"/>
      <c r="F407" s="54"/>
    </row>
    <row r="408" spans="2:6" s="44" customFormat="1" x14ac:dyDescent="0.2">
      <c r="B408" s="50"/>
      <c r="C408" s="50"/>
      <c r="D408" s="51"/>
      <c r="E408" s="50"/>
      <c r="F408" s="54"/>
    </row>
    <row r="409" spans="2:6" s="44" customFormat="1" x14ac:dyDescent="0.2">
      <c r="B409" s="50"/>
      <c r="C409" s="50"/>
      <c r="D409" s="51"/>
      <c r="E409" s="50"/>
      <c r="F409" s="54"/>
    </row>
    <row r="410" spans="2:6" s="44" customFormat="1" x14ac:dyDescent="0.2">
      <c r="B410" s="50"/>
      <c r="C410" s="50"/>
      <c r="D410" s="51"/>
      <c r="E410" s="50"/>
      <c r="F410" s="54"/>
    </row>
    <row r="411" spans="2:6" s="44" customFormat="1" x14ac:dyDescent="0.2">
      <c r="B411" s="50"/>
      <c r="C411" s="50"/>
      <c r="D411" s="51"/>
      <c r="E411" s="50"/>
      <c r="F411" s="54"/>
    </row>
    <row r="412" spans="2:6" s="44" customFormat="1" x14ac:dyDescent="0.2">
      <c r="B412" s="50"/>
      <c r="C412" s="50"/>
      <c r="D412" s="51"/>
      <c r="E412" s="50"/>
      <c r="F412" s="54"/>
    </row>
    <row r="413" spans="2:6" s="44" customFormat="1" x14ac:dyDescent="0.2">
      <c r="B413" s="50"/>
      <c r="C413" s="50"/>
      <c r="D413" s="51"/>
      <c r="E413" s="50"/>
      <c r="F413" s="54"/>
    </row>
    <row r="414" spans="2:6" s="44" customFormat="1" x14ac:dyDescent="0.2">
      <c r="B414" s="50"/>
      <c r="C414" s="50"/>
      <c r="D414" s="51"/>
      <c r="E414" s="50"/>
      <c r="F414" s="54"/>
    </row>
    <row r="415" spans="2:6" s="44" customFormat="1" x14ac:dyDescent="0.2">
      <c r="B415" s="50"/>
      <c r="C415" s="50"/>
      <c r="D415" s="51"/>
      <c r="E415" s="50"/>
      <c r="F415" s="54"/>
    </row>
    <row r="416" spans="2:6" s="44" customFormat="1" x14ac:dyDescent="0.2">
      <c r="B416" s="50"/>
      <c r="C416" s="50"/>
      <c r="D416" s="51"/>
      <c r="E416" s="50"/>
      <c r="F416" s="54"/>
    </row>
    <row r="417" spans="2:6" s="44" customFormat="1" x14ac:dyDescent="0.2">
      <c r="B417" s="50"/>
      <c r="C417" s="50"/>
      <c r="D417" s="51"/>
      <c r="E417" s="50"/>
      <c r="F417" s="54"/>
    </row>
    <row r="418" spans="2:6" s="44" customFormat="1" x14ac:dyDescent="0.2">
      <c r="B418" s="50"/>
      <c r="C418" s="50"/>
      <c r="D418" s="51"/>
      <c r="E418" s="50"/>
      <c r="F418" s="54"/>
    </row>
    <row r="419" spans="2:6" s="44" customFormat="1" x14ac:dyDescent="0.2">
      <c r="B419" s="50"/>
      <c r="C419" s="50"/>
      <c r="D419" s="51"/>
      <c r="E419" s="50"/>
      <c r="F419" s="54"/>
    </row>
    <row r="420" spans="2:6" s="44" customFormat="1" x14ac:dyDescent="0.2">
      <c r="B420" s="50"/>
      <c r="C420" s="50"/>
      <c r="D420" s="51"/>
      <c r="E420" s="50"/>
      <c r="F420" s="54"/>
    </row>
    <row r="421" spans="2:6" s="44" customFormat="1" x14ac:dyDescent="0.2">
      <c r="B421" s="50"/>
      <c r="C421" s="50"/>
      <c r="D421" s="51"/>
      <c r="E421" s="50"/>
      <c r="F421" s="54"/>
    </row>
    <row r="422" spans="2:6" s="44" customFormat="1" x14ac:dyDescent="0.2">
      <c r="B422" s="50"/>
      <c r="C422" s="50"/>
      <c r="D422" s="51"/>
      <c r="E422" s="50"/>
      <c r="F422" s="54"/>
    </row>
    <row r="423" spans="2:6" s="44" customFormat="1" x14ac:dyDescent="0.2">
      <c r="B423" s="50"/>
      <c r="C423" s="50"/>
      <c r="D423" s="51"/>
      <c r="E423" s="50"/>
      <c r="F423" s="54"/>
    </row>
    <row r="424" spans="2:6" s="44" customFormat="1" x14ac:dyDescent="0.2">
      <c r="B424" s="50"/>
      <c r="C424" s="50"/>
      <c r="D424" s="51"/>
      <c r="E424" s="50"/>
      <c r="F424" s="54"/>
    </row>
    <row r="425" spans="2:6" s="44" customFormat="1" x14ac:dyDescent="0.2">
      <c r="B425" s="50"/>
      <c r="C425" s="50"/>
      <c r="D425" s="51"/>
      <c r="E425" s="50"/>
      <c r="F425" s="54"/>
    </row>
    <row r="426" spans="2:6" s="44" customFormat="1" x14ac:dyDescent="0.2">
      <c r="B426" s="50"/>
      <c r="C426" s="50"/>
      <c r="D426" s="51"/>
      <c r="E426" s="50"/>
      <c r="F426" s="54"/>
    </row>
    <row r="427" spans="2:6" s="44" customFormat="1" x14ac:dyDescent="0.2">
      <c r="B427" s="50"/>
      <c r="C427" s="50"/>
      <c r="D427" s="51"/>
      <c r="E427" s="50"/>
      <c r="F427" s="54"/>
    </row>
    <row r="428" spans="2:6" s="44" customFormat="1" x14ac:dyDescent="0.2">
      <c r="B428" s="50"/>
      <c r="C428" s="50"/>
      <c r="D428" s="51"/>
      <c r="E428" s="50"/>
      <c r="F428" s="54"/>
    </row>
    <row r="429" spans="2:6" s="44" customFormat="1" x14ac:dyDescent="0.2">
      <c r="B429" s="50"/>
      <c r="C429" s="50"/>
      <c r="D429" s="51"/>
      <c r="E429" s="50"/>
      <c r="F429" s="54"/>
    </row>
    <row r="430" spans="2:6" s="44" customFormat="1" x14ac:dyDescent="0.2">
      <c r="B430" s="50"/>
      <c r="C430" s="50"/>
      <c r="D430" s="51"/>
      <c r="E430" s="50"/>
      <c r="F430" s="54"/>
    </row>
    <row r="431" spans="2:6" s="44" customFormat="1" x14ac:dyDescent="0.2">
      <c r="B431" s="50"/>
      <c r="C431" s="50"/>
      <c r="D431" s="51"/>
      <c r="E431" s="50"/>
      <c r="F431" s="54"/>
    </row>
    <row r="432" spans="2:6" s="44" customFormat="1" x14ac:dyDescent="0.2">
      <c r="B432" s="50"/>
      <c r="C432" s="50"/>
      <c r="D432" s="51"/>
      <c r="E432" s="50"/>
      <c r="F432" s="54"/>
    </row>
    <row r="433" spans="2:6" s="44" customFormat="1" x14ac:dyDescent="0.2">
      <c r="B433" s="50"/>
      <c r="C433" s="50"/>
      <c r="D433" s="51"/>
      <c r="E433" s="50"/>
      <c r="F433" s="54"/>
    </row>
    <row r="434" spans="2:6" s="44" customFormat="1" x14ac:dyDescent="0.2">
      <c r="B434" s="50"/>
      <c r="C434" s="50"/>
      <c r="D434" s="51"/>
      <c r="E434" s="50"/>
      <c r="F434" s="54"/>
    </row>
    <row r="435" spans="2:6" s="44" customFormat="1" x14ac:dyDescent="0.2">
      <c r="B435" s="50"/>
      <c r="C435" s="50"/>
      <c r="D435" s="51"/>
      <c r="E435" s="50"/>
      <c r="F435" s="54"/>
    </row>
    <row r="436" spans="2:6" s="44" customFormat="1" x14ac:dyDescent="0.2">
      <c r="B436" s="50"/>
      <c r="C436" s="50"/>
      <c r="D436" s="51"/>
      <c r="E436" s="50"/>
      <c r="F436" s="54"/>
    </row>
    <row r="437" spans="2:6" s="44" customFormat="1" x14ac:dyDescent="0.2">
      <c r="B437" s="50"/>
      <c r="C437" s="50"/>
      <c r="D437" s="51"/>
      <c r="E437" s="50"/>
      <c r="F437" s="54"/>
    </row>
    <row r="438" spans="2:6" s="44" customFormat="1" x14ac:dyDescent="0.2">
      <c r="B438" s="50"/>
      <c r="C438" s="50"/>
      <c r="D438" s="51"/>
      <c r="E438" s="50"/>
      <c r="F438" s="54"/>
    </row>
    <row r="439" spans="2:6" s="44" customFormat="1" x14ac:dyDescent="0.2">
      <c r="B439" s="50"/>
      <c r="C439" s="50"/>
      <c r="D439" s="51"/>
      <c r="E439" s="50"/>
      <c r="F439" s="54"/>
    </row>
    <row r="440" spans="2:6" s="44" customFormat="1" x14ac:dyDescent="0.2">
      <c r="B440" s="50"/>
      <c r="C440" s="50"/>
      <c r="D440" s="51"/>
      <c r="E440" s="50"/>
      <c r="F440" s="54"/>
    </row>
    <row r="441" spans="2:6" s="44" customFormat="1" x14ac:dyDescent="0.2">
      <c r="B441" s="50"/>
      <c r="C441" s="50"/>
      <c r="D441" s="51"/>
      <c r="E441" s="50"/>
      <c r="F441" s="54"/>
    </row>
    <row r="442" spans="2:6" s="44" customFormat="1" x14ac:dyDescent="0.2">
      <c r="B442" s="50"/>
      <c r="C442" s="50"/>
      <c r="D442" s="51"/>
      <c r="E442" s="50"/>
      <c r="F442" s="54"/>
    </row>
    <row r="443" spans="2:6" s="44" customFormat="1" x14ac:dyDescent="0.2">
      <c r="B443" s="50"/>
      <c r="C443" s="50"/>
      <c r="D443" s="51"/>
      <c r="E443" s="50"/>
      <c r="F443" s="54"/>
    </row>
    <row r="444" spans="2:6" s="44" customFormat="1" x14ac:dyDescent="0.2">
      <c r="B444" s="50"/>
      <c r="C444" s="50"/>
      <c r="D444" s="51"/>
      <c r="E444" s="50"/>
      <c r="F444" s="54"/>
    </row>
    <row r="445" spans="2:6" s="44" customFormat="1" x14ac:dyDescent="0.2">
      <c r="B445" s="50"/>
      <c r="C445" s="50"/>
      <c r="D445" s="51"/>
      <c r="E445" s="50"/>
      <c r="F445" s="54"/>
    </row>
    <row r="446" spans="2:6" s="44" customFormat="1" x14ac:dyDescent="0.2">
      <c r="B446" s="50"/>
      <c r="C446" s="50"/>
      <c r="D446" s="51"/>
      <c r="E446" s="50"/>
      <c r="F446" s="54"/>
    </row>
    <row r="447" spans="2:6" s="44" customFormat="1" x14ac:dyDescent="0.2">
      <c r="B447" s="50"/>
      <c r="C447" s="50"/>
      <c r="D447" s="51"/>
      <c r="E447" s="50"/>
      <c r="F447" s="54"/>
    </row>
    <row r="448" spans="2:6" s="44" customFormat="1" x14ac:dyDescent="0.2">
      <c r="B448" s="50"/>
      <c r="C448" s="50"/>
      <c r="D448" s="51"/>
      <c r="E448" s="50"/>
      <c r="F448" s="54"/>
    </row>
    <row r="449" spans="2:6" s="44" customFormat="1" x14ac:dyDescent="0.2">
      <c r="B449" s="50"/>
      <c r="C449" s="50"/>
      <c r="D449" s="51"/>
      <c r="E449" s="50"/>
      <c r="F449" s="54"/>
    </row>
    <row r="450" spans="2:6" s="44" customFormat="1" x14ac:dyDescent="0.2">
      <c r="B450" s="50"/>
      <c r="C450" s="50"/>
      <c r="D450" s="51"/>
      <c r="E450" s="50"/>
      <c r="F450" s="54"/>
    </row>
    <row r="451" spans="2:6" s="44" customFormat="1" x14ac:dyDescent="0.2">
      <c r="B451" s="50"/>
      <c r="C451" s="50"/>
      <c r="D451" s="51"/>
      <c r="E451" s="50"/>
      <c r="F451" s="54"/>
    </row>
    <row r="452" spans="2:6" s="44" customFormat="1" x14ac:dyDescent="0.2">
      <c r="B452" s="50"/>
      <c r="C452" s="50"/>
      <c r="D452" s="51"/>
      <c r="E452" s="50"/>
      <c r="F452" s="54"/>
    </row>
    <row r="453" spans="2:6" s="44" customFormat="1" x14ac:dyDescent="0.2">
      <c r="B453" s="50"/>
      <c r="C453" s="50"/>
      <c r="D453" s="51"/>
      <c r="E453" s="50"/>
      <c r="F453" s="54"/>
    </row>
    <row r="454" spans="2:6" s="44" customFormat="1" x14ac:dyDescent="0.2">
      <c r="B454" s="50"/>
      <c r="C454" s="50"/>
      <c r="D454" s="51"/>
      <c r="E454" s="50"/>
      <c r="F454" s="54"/>
    </row>
    <row r="455" spans="2:6" s="44" customFormat="1" x14ac:dyDescent="0.2">
      <c r="B455" s="50"/>
      <c r="C455" s="50"/>
      <c r="D455" s="51"/>
      <c r="E455" s="50"/>
      <c r="F455" s="54"/>
    </row>
    <row r="456" spans="2:6" s="44" customFormat="1" x14ac:dyDescent="0.2">
      <c r="B456" s="50"/>
      <c r="C456" s="50"/>
      <c r="D456" s="51"/>
      <c r="E456" s="50"/>
      <c r="F456" s="54"/>
    </row>
    <row r="457" spans="2:6" s="44" customFormat="1" x14ac:dyDescent="0.2">
      <c r="B457" s="50"/>
      <c r="C457" s="50"/>
      <c r="D457" s="51"/>
      <c r="E457" s="50"/>
      <c r="F457" s="54"/>
    </row>
    <row r="458" spans="2:6" s="44" customFormat="1" x14ac:dyDescent="0.2">
      <c r="B458" s="50"/>
      <c r="C458" s="50"/>
      <c r="D458" s="51"/>
      <c r="E458" s="50"/>
      <c r="F458" s="54"/>
    </row>
    <row r="459" spans="2:6" s="44" customFormat="1" x14ac:dyDescent="0.2">
      <c r="B459" s="50"/>
      <c r="C459" s="50"/>
      <c r="D459" s="51"/>
      <c r="E459" s="50"/>
      <c r="F459" s="54"/>
    </row>
    <row r="460" spans="2:6" s="44" customFormat="1" x14ac:dyDescent="0.2">
      <c r="B460" s="50"/>
      <c r="C460" s="50"/>
      <c r="D460" s="51"/>
      <c r="E460" s="50"/>
      <c r="F460" s="54"/>
    </row>
    <row r="461" spans="2:6" s="44" customFormat="1" x14ac:dyDescent="0.2">
      <c r="B461" s="50"/>
      <c r="C461" s="50"/>
      <c r="D461" s="51"/>
      <c r="E461" s="50"/>
      <c r="F461" s="54"/>
    </row>
    <row r="462" spans="2:6" s="44" customFormat="1" x14ac:dyDescent="0.2">
      <c r="B462" s="50"/>
      <c r="C462" s="50"/>
      <c r="D462" s="51"/>
      <c r="E462" s="50"/>
      <c r="F462" s="54"/>
    </row>
    <row r="463" spans="2:6" s="44" customFormat="1" x14ac:dyDescent="0.2">
      <c r="B463" s="50"/>
      <c r="C463" s="50"/>
      <c r="D463" s="51"/>
      <c r="E463" s="50"/>
      <c r="F463" s="54"/>
    </row>
    <row r="464" spans="2:6" s="44" customFormat="1" x14ac:dyDescent="0.2">
      <c r="B464" s="50"/>
      <c r="C464" s="50"/>
      <c r="D464" s="51"/>
      <c r="E464" s="50"/>
      <c r="F464" s="54"/>
    </row>
    <row r="465" spans="2:6" s="44" customFormat="1" x14ac:dyDescent="0.2">
      <c r="B465" s="50"/>
      <c r="C465" s="50"/>
      <c r="D465" s="51"/>
      <c r="E465" s="50"/>
      <c r="F465" s="54"/>
    </row>
    <row r="466" spans="2:6" s="44" customFormat="1" x14ac:dyDescent="0.2">
      <c r="B466" s="50"/>
      <c r="C466" s="50"/>
      <c r="D466" s="51"/>
      <c r="E466" s="50"/>
      <c r="F466" s="54"/>
    </row>
    <row r="467" spans="2:6" s="44" customFormat="1" x14ac:dyDescent="0.2">
      <c r="B467" s="50"/>
      <c r="C467" s="50"/>
      <c r="D467" s="51"/>
      <c r="E467" s="50"/>
      <c r="F467" s="54"/>
    </row>
    <row r="468" spans="2:6" s="44" customFormat="1" x14ac:dyDescent="0.2">
      <c r="B468" s="50"/>
      <c r="C468" s="50"/>
      <c r="D468" s="51"/>
      <c r="E468" s="50"/>
      <c r="F468" s="54"/>
    </row>
    <row r="469" spans="2:6" s="44" customFormat="1" x14ac:dyDescent="0.2">
      <c r="B469" s="50"/>
      <c r="C469" s="50"/>
      <c r="D469" s="51"/>
      <c r="E469" s="50"/>
      <c r="F469" s="54"/>
    </row>
    <row r="470" spans="2:6" s="44" customFormat="1" x14ac:dyDescent="0.2">
      <c r="B470" s="50"/>
      <c r="C470" s="50"/>
      <c r="D470" s="51"/>
      <c r="E470" s="50"/>
      <c r="F470" s="54"/>
    </row>
    <row r="471" spans="2:6" s="44" customFormat="1" x14ac:dyDescent="0.2">
      <c r="B471" s="50"/>
      <c r="C471" s="50"/>
      <c r="D471" s="51"/>
      <c r="E471" s="50"/>
      <c r="F471" s="54"/>
    </row>
    <row r="472" spans="2:6" s="44" customFormat="1" x14ac:dyDescent="0.2">
      <c r="B472" s="50"/>
      <c r="C472" s="50"/>
      <c r="D472" s="51"/>
      <c r="E472" s="50"/>
      <c r="F472" s="54"/>
    </row>
    <row r="473" spans="2:6" s="44" customFormat="1" x14ac:dyDescent="0.2">
      <c r="B473" s="50"/>
      <c r="C473" s="50"/>
      <c r="D473" s="51"/>
      <c r="E473" s="50"/>
      <c r="F473" s="54"/>
    </row>
    <row r="474" spans="2:6" s="44" customFormat="1" x14ac:dyDescent="0.2">
      <c r="B474" s="50"/>
      <c r="C474" s="50"/>
      <c r="D474" s="51"/>
      <c r="E474" s="50"/>
      <c r="F474" s="54"/>
    </row>
    <row r="475" spans="2:6" s="44" customFormat="1" x14ac:dyDescent="0.2">
      <c r="B475" s="50"/>
      <c r="C475" s="50"/>
      <c r="D475" s="51"/>
      <c r="E475" s="50"/>
      <c r="F475" s="54"/>
    </row>
    <row r="476" spans="2:6" s="44" customFormat="1" x14ac:dyDescent="0.2">
      <c r="B476" s="50"/>
      <c r="C476" s="50"/>
      <c r="D476" s="51"/>
      <c r="E476" s="50"/>
      <c r="F476" s="54"/>
    </row>
    <row r="477" spans="2:6" s="44" customFormat="1" x14ac:dyDescent="0.2">
      <c r="B477" s="50"/>
      <c r="C477" s="50"/>
      <c r="D477" s="51"/>
      <c r="E477" s="50"/>
      <c r="F477" s="54"/>
    </row>
    <row r="478" spans="2:6" s="44" customFormat="1" x14ac:dyDescent="0.2">
      <c r="B478" s="50"/>
      <c r="C478" s="50"/>
      <c r="D478" s="51"/>
      <c r="E478" s="50"/>
      <c r="F478" s="54"/>
    </row>
    <row r="479" spans="2:6" s="44" customFormat="1" x14ac:dyDescent="0.2">
      <c r="B479" s="50"/>
      <c r="C479" s="50"/>
      <c r="D479" s="51"/>
      <c r="E479" s="50"/>
      <c r="F479" s="54"/>
    </row>
    <row r="480" spans="2:6" s="44" customFormat="1" x14ac:dyDescent="0.2">
      <c r="B480" s="50"/>
      <c r="C480" s="50"/>
      <c r="D480" s="51"/>
      <c r="E480" s="50"/>
      <c r="F480" s="54"/>
    </row>
    <row r="481" spans="2:6" s="44" customFormat="1" x14ac:dyDescent="0.2">
      <c r="B481" s="50"/>
      <c r="C481" s="50"/>
      <c r="D481" s="51"/>
      <c r="E481" s="50"/>
      <c r="F481" s="54"/>
    </row>
    <row r="482" spans="2:6" s="44" customFormat="1" x14ac:dyDescent="0.2">
      <c r="B482" s="50"/>
      <c r="C482" s="50"/>
      <c r="D482" s="51"/>
      <c r="E482" s="50"/>
      <c r="F482" s="54"/>
    </row>
    <row r="483" spans="2:6" s="44" customFormat="1" x14ac:dyDescent="0.2">
      <c r="B483" s="50"/>
      <c r="C483" s="50"/>
      <c r="D483" s="51"/>
      <c r="E483" s="50"/>
      <c r="F483" s="54"/>
    </row>
    <row r="484" spans="2:6" s="44" customFormat="1" x14ac:dyDescent="0.2">
      <c r="B484" s="50"/>
      <c r="C484" s="50"/>
      <c r="D484" s="51"/>
      <c r="E484" s="50"/>
      <c r="F484" s="54"/>
    </row>
    <row r="485" spans="2:6" s="44" customFormat="1" x14ac:dyDescent="0.2">
      <c r="B485" s="50"/>
      <c r="C485" s="50"/>
      <c r="D485" s="51"/>
      <c r="E485" s="50"/>
      <c r="F485" s="54"/>
    </row>
    <row r="486" spans="2:6" s="44" customFormat="1" x14ac:dyDescent="0.2">
      <c r="B486" s="50"/>
      <c r="C486" s="50"/>
      <c r="D486" s="51"/>
      <c r="E486" s="50"/>
      <c r="F486" s="54"/>
    </row>
    <row r="487" spans="2:6" s="44" customFormat="1" x14ac:dyDescent="0.2">
      <c r="B487" s="50"/>
      <c r="C487" s="50"/>
      <c r="D487" s="51"/>
      <c r="E487" s="50"/>
      <c r="F487" s="54"/>
    </row>
    <row r="488" spans="2:6" s="44" customFormat="1" x14ac:dyDescent="0.2">
      <c r="B488" s="50"/>
      <c r="C488" s="50"/>
      <c r="D488" s="51"/>
      <c r="E488" s="50"/>
      <c r="F488" s="54"/>
    </row>
    <row r="489" spans="2:6" s="44" customFormat="1" x14ac:dyDescent="0.2">
      <c r="B489" s="50"/>
      <c r="C489" s="50"/>
      <c r="D489" s="51"/>
      <c r="E489" s="50"/>
      <c r="F489" s="54"/>
    </row>
    <row r="490" spans="2:6" s="44" customFormat="1" x14ac:dyDescent="0.2">
      <c r="B490" s="50"/>
      <c r="C490" s="50"/>
      <c r="D490" s="51"/>
      <c r="E490" s="50"/>
      <c r="F490" s="54"/>
    </row>
    <row r="491" spans="2:6" s="44" customFormat="1" x14ac:dyDescent="0.2">
      <c r="B491" s="50"/>
      <c r="C491" s="50"/>
      <c r="D491" s="51"/>
      <c r="E491" s="50"/>
      <c r="F491" s="54"/>
    </row>
    <row r="492" spans="2:6" s="44" customFormat="1" x14ac:dyDescent="0.2">
      <c r="B492" s="50"/>
      <c r="C492" s="50"/>
      <c r="D492" s="51"/>
      <c r="E492" s="50"/>
      <c r="F492" s="54"/>
    </row>
    <row r="493" spans="2:6" s="44" customFormat="1" x14ac:dyDescent="0.2">
      <c r="B493" s="50"/>
      <c r="C493" s="50"/>
      <c r="D493" s="51"/>
      <c r="E493" s="50"/>
      <c r="F493" s="54"/>
    </row>
    <row r="494" spans="2:6" s="44" customFormat="1" x14ac:dyDescent="0.2">
      <c r="B494" s="50"/>
      <c r="C494" s="50"/>
      <c r="D494" s="51"/>
      <c r="E494" s="50"/>
      <c r="F494" s="54"/>
    </row>
    <row r="495" spans="2:6" s="44" customFormat="1" x14ac:dyDescent="0.2">
      <c r="B495" s="50"/>
      <c r="C495" s="50"/>
      <c r="D495" s="51"/>
      <c r="E495" s="50"/>
      <c r="F495" s="54"/>
    </row>
    <row r="496" spans="2:6" s="44" customFormat="1" x14ac:dyDescent="0.2">
      <c r="B496" s="50"/>
      <c r="C496" s="50"/>
      <c r="D496" s="51"/>
      <c r="E496" s="50"/>
      <c r="F496" s="54"/>
    </row>
    <row r="497" spans="2:6" s="44" customFormat="1" x14ac:dyDescent="0.2">
      <c r="B497" s="50"/>
      <c r="C497" s="50"/>
      <c r="D497" s="51"/>
      <c r="E497" s="50"/>
      <c r="F497" s="54"/>
    </row>
    <row r="498" spans="2:6" s="44" customFormat="1" x14ac:dyDescent="0.2">
      <c r="B498" s="50"/>
      <c r="C498" s="50"/>
      <c r="D498" s="51"/>
      <c r="E498" s="50"/>
      <c r="F498" s="54"/>
    </row>
    <row r="499" spans="2:6" s="44" customFormat="1" x14ac:dyDescent="0.2">
      <c r="B499" s="50"/>
      <c r="C499" s="50"/>
      <c r="D499" s="51"/>
      <c r="E499" s="50"/>
      <c r="F499" s="54"/>
    </row>
    <row r="500" spans="2:6" s="44" customFormat="1" x14ac:dyDescent="0.2">
      <c r="B500" s="50"/>
      <c r="C500" s="50"/>
      <c r="D500" s="51"/>
      <c r="E500" s="50"/>
      <c r="F500" s="54"/>
    </row>
    <row r="501" spans="2:6" s="44" customFormat="1" x14ac:dyDescent="0.2">
      <c r="B501" s="50"/>
      <c r="C501" s="50"/>
      <c r="D501" s="51"/>
      <c r="E501" s="50"/>
      <c r="F501" s="54"/>
    </row>
    <row r="502" spans="2:6" s="44" customFormat="1" x14ac:dyDescent="0.2">
      <c r="B502" s="50"/>
      <c r="C502" s="50"/>
      <c r="D502" s="51"/>
      <c r="E502" s="50"/>
      <c r="F502" s="54"/>
    </row>
    <row r="503" spans="2:6" s="44" customFormat="1" x14ac:dyDescent="0.2">
      <c r="B503" s="50"/>
      <c r="C503" s="50"/>
      <c r="D503" s="51"/>
      <c r="E503" s="50"/>
      <c r="F503" s="54"/>
    </row>
    <row r="504" spans="2:6" s="44" customFormat="1" x14ac:dyDescent="0.2">
      <c r="B504" s="50"/>
      <c r="C504" s="50"/>
      <c r="D504" s="51"/>
      <c r="E504" s="50"/>
      <c r="F504" s="54"/>
    </row>
    <row r="505" spans="2:6" s="44" customFormat="1" x14ac:dyDescent="0.2">
      <c r="B505" s="50"/>
      <c r="C505" s="50"/>
      <c r="D505" s="51"/>
      <c r="E505" s="50"/>
      <c r="F505" s="54"/>
    </row>
    <row r="506" spans="2:6" s="44" customFormat="1" x14ac:dyDescent="0.2">
      <c r="B506" s="50"/>
      <c r="C506" s="50"/>
      <c r="D506" s="51"/>
      <c r="E506" s="50"/>
      <c r="F506" s="54"/>
    </row>
    <row r="507" spans="2:6" s="44" customFormat="1" x14ac:dyDescent="0.2">
      <c r="B507" s="50"/>
      <c r="C507" s="50"/>
      <c r="D507" s="51"/>
      <c r="E507" s="50"/>
      <c r="F507" s="54"/>
    </row>
    <row r="508" spans="2:6" s="44" customFormat="1" x14ac:dyDescent="0.2">
      <c r="B508" s="50"/>
      <c r="C508" s="50"/>
      <c r="D508" s="51"/>
      <c r="E508" s="50"/>
      <c r="F508" s="54"/>
    </row>
    <row r="509" spans="2:6" s="44" customFormat="1" x14ac:dyDescent="0.2">
      <c r="B509" s="50"/>
      <c r="C509" s="50"/>
      <c r="D509" s="51"/>
      <c r="E509" s="50"/>
      <c r="F509" s="54"/>
    </row>
    <row r="510" spans="2:6" s="44" customFormat="1" x14ac:dyDescent="0.2">
      <c r="B510" s="50"/>
      <c r="C510" s="50"/>
      <c r="D510" s="51"/>
      <c r="E510" s="50"/>
      <c r="F510" s="54"/>
    </row>
    <row r="511" spans="2:6" s="44" customFormat="1" x14ac:dyDescent="0.2">
      <c r="B511" s="50"/>
      <c r="C511" s="50"/>
      <c r="D511" s="51"/>
      <c r="E511" s="50"/>
      <c r="F511" s="54"/>
    </row>
    <row r="512" spans="2:6" s="44" customFormat="1" x14ac:dyDescent="0.2">
      <c r="B512" s="50"/>
      <c r="C512" s="50"/>
      <c r="D512" s="51"/>
      <c r="E512" s="50"/>
      <c r="F512" s="54"/>
    </row>
    <row r="513" spans="2:6" s="44" customFormat="1" x14ac:dyDescent="0.2">
      <c r="B513" s="50"/>
      <c r="C513" s="50"/>
      <c r="D513" s="51"/>
      <c r="E513" s="50"/>
      <c r="F513" s="54"/>
    </row>
    <row r="514" spans="2:6" s="44" customFormat="1" x14ac:dyDescent="0.2">
      <c r="B514" s="50"/>
      <c r="C514" s="50"/>
      <c r="D514" s="51"/>
      <c r="E514" s="50"/>
      <c r="F514" s="54"/>
    </row>
    <row r="515" spans="2:6" s="44" customFormat="1" x14ac:dyDescent="0.2">
      <c r="B515" s="50"/>
      <c r="C515" s="50"/>
      <c r="D515" s="51"/>
      <c r="E515" s="50"/>
      <c r="F515" s="54"/>
    </row>
    <row r="516" spans="2:6" s="44" customFormat="1" x14ac:dyDescent="0.2">
      <c r="B516" s="50"/>
      <c r="C516" s="50"/>
      <c r="D516" s="51"/>
      <c r="E516" s="50"/>
      <c r="F516" s="54"/>
    </row>
    <row r="517" spans="2:6" s="44" customFormat="1" x14ac:dyDescent="0.2">
      <c r="B517" s="50"/>
      <c r="C517" s="50"/>
      <c r="D517" s="51"/>
      <c r="E517" s="50"/>
      <c r="F517" s="54"/>
    </row>
    <row r="518" spans="2:6" s="44" customFormat="1" x14ac:dyDescent="0.2">
      <c r="B518" s="50"/>
      <c r="C518" s="50"/>
      <c r="D518" s="51"/>
      <c r="E518" s="50"/>
      <c r="F518" s="54"/>
    </row>
    <row r="519" spans="2:6" s="44" customFormat="1" x14ac:dyDescent="0.2">
      <c r="B519" s="50"/>
      <c r="C519" s="50"/>
      <c r="D519" s="51"/>
      <c r="E519" s="50"/>
      <c r="F519" s="54"/>
    </row>
    <row r="520" spans="2:6" s="44" customFormat="1" x14ac:dyDescent="0.2">
      <c r="B520" s="50"/>
      <c r="C520" s="50"/>
      <c r="D520" s="51"/>
      <c r="E520" s="50"/>
      <c r="F520" s="54"/>
    </row>
    <row r="521" spans="2:6" s="44" customFormat="1" x14ac:dyDescent="0.2">
      <c r="B521" s="50"/>
      <c r="C521" s="50"/>
      <c r="D521" s="51"/>
      <c r="E521" s="50"/>
      <c r="F521" s="54"/>
    </row>
    <row r="522" spans="2:6" s="44" customFormat="1" x14ac:dyDescent="0.2">
      <c r="B522" s="50"/>
      <c r="C522" s="50"/>
      <c r="D522" s="51"/>
      <c r="E522" s="50"/>
      <c r="F522" s="54"/>
    </row>
    <row r="523" spans="2:6" s="44" customFormat="1" x14ac:dyDescent="0.2">
      <c r="B523" s="50"/>
      <c r="C523" s="50"/>
      <c r="D523" s="51"/>
      <c r="E523" s="50"/>
      <c r="F523" s="54"/>
    </row>
    <row r="524" spans="2:6" s="44" customFormat="1" x14ac:dyDescent="0.2">
      <c r="B524" s="50"/>
      <c r="C524" s="50"/>
      <c r="D524" s="51"/>
      <c r="E524" s="50"/>
      <c r="F524" s="54"/>
    </row>
    <row r="525" spans="2:6" s="44" customFormat="1" x14ac:dyDescent="0.2">
      <c r="B525" s="50"/>
      <c r="C525" s="50"/>
      <c r="D525" s="51"/>
      <c r="E525" s="50"/>
      <c r="F525" s="54"/>
    </row>
    <row r="526" spans="2:6" s="44" customFormat="1" x14ac:dyDescent="0.2">
      <c r="B526" s="50"/>
      <c r="C526" s="50"/>
      <c r="D526" s="51"/>
      <c r="E526" s="50"/>
      <c r="F526" s="54"/>
    </row>
    <row r="527" spans="2:6" s="44" customFormat="1" x14ac:dyDescent="0.2">
      <c r="B527" s="50"/>
      <c r="C527" s="50"/>
      <c r="D527" s="51"/>
      <c r="E527" s="50"/>
      <c r="F527" s="54"/>
    </row>
    <row r="528" spans="2:6" s="44" customFormat="1" x14ac:dyDescent="0.2">
      <c r="B528" s="50"/>
      <c r="C528" s="50"/>
      <c r="D528" s="51"/>
      <c r="E528" s="50"/>
      <c r="F528" s="54"/>
    </row>
    <row r="529" spans="2:6" s="44" customFormat="1" x14ac:dyDescent="0.2">
      <c r="B529" s="50"/>
      <c r="C529" s="50"/>
      <c r="D529" s="51"/>
      <c r="E529" s="50"/>
      <c r="F529" s="54"/>
    </row>
    <row r="530" spans="2:6" s="44" customFormat="1" x14ac:dyDescent="0.2">
      <c r="B530" s="50"/>
      <c r="C530" s="50"/>
      <c r="D530" s="51"/>
      <c r="E530" s="50"/>
      <c r="F530" s="54"/>
    </row>
    <row r="531" spans="2:6" s="44" customFormat="1" x14ac:dyDescent="0.2">
      <c r="B531" s="50"/>
      <c r="C531" s="50"/>
      <c r="D531" s="51"/>
      <c r="E531" s="50"/>
      <c r="F531" s="54"/>
    </row>
    <row r="532" spans="2:6" s="44" customFormat="1" x14ac:dyDescent="0.2">
      <c r="B532" s="50"/>
      <c r="C532" s="50"/>
      <c r="D532" s="51"/>
      <c r="E532" s="50"/>
      <c r="F532" s="54"/>
    </row>
    <row r="533" spans="2:6" s="44" customFormat="1" x14ac:dyDescent="0.2">
      <c r="B533" s="50"/>
      <c r="C533" s="50"/>
      <c r="D533" s="51"/>
      <c r="E533" s="50"/>
      <c r="F533" s="54"/>
    </row>
    <row r="534" spans="2:6" s="44" customFormat="1" x14ac:dyDescent="0.2">
      <c r="B534" s="50"/>
      <c r="C534" s="50"/>
      <c r="D534" s="51"/>
      <c r="E534" s="50"/>
      <c r="F534" s="54"/>
    </row>
    <row r="535" spans="2:6" s="44" customFormat="1" x14ac:dyDescent="0.2">
      <c r="B535" s="50"/>
      <c r="C535" s="50"/>
      <c r="D535" s="51"/>
      <c r="E535" s="50"/>
      <c r="F535" s="54"/>
    </row>
    <row r="536" spans="2:6" s="44" customFormat="1" x14ac:dyDescent="0.2">
      <c r="B536" s="50"/>
      <c r="C536" s="50"/>
      <c r="D536" s="51"/>
      <c r="E536" s="50"/>
      <c r="F536" s="54"/>
    </row>
    <row r="537" spans="2:6" s="44" customFormat="1" x14ac:dyDescent="0.2">
      <c r="B537" s="50"/>
      <c r="C537" s="50"/>
      <c r="D537" s="51"/>
      <c r="E537" s="50"/>
      <c r="F537" s="54"/>
    </row>
    <row r="538" spans="2:6" s="44" customFormat="1" x14ac:dyDescent="0.2">
      <c r="B538" s="50"/>
      <c r="C538" s="50"/>
      <c r="D538" s="51"/>
      <c r="E538" s="50"/>
      <c r="F538" s="54"/>
    </row>
    <row r="539" spans="2:6" s="44" customFormat="1" x14ac:dyDescent="0.2">
      <c r="B539" s="50"/>
      <c r="C539" s="50"/>
      <c r="D539" s="51"/>
      <c r="E539" s="50"/>
      <c r="F539" s="54"/>
    </row>
    <row r="540" spans="2:6" s="44" customFormat="1" x14ac:dyDescent="0.2">
      <c r="B540" s="50"/>
      <c r="C540" s="50"/>
      <c r="D540" s="51"/>
      <c r="E540" s="50"/>
      <c r="F540" s="54"/>
    </row>
    <row r="541" spans="2:6" s="44" customFormat="1" x14ac:dyDescent="0.2">
      <c r="B541" s="50"/>
      <c r="C541" s="50"/>
      <c r="D541" s="51"/>
      <c r="E541" s="50"/>
      <c r="F541" s="54"/>
    </row>
    <row r="542" spans="2:6" s="44" customFormat="1" x14ac:dyDescent="0.2">
      <c r="B542" s="50"/>
      <c r="C542" s="50"/>
      <c r="D542" s="51"/>
      <c r="E542" s="50"/>
      <c r="F542" s="54"/>
    </row>
    <row r="543" spans="2:6" s="44" customFormat="1" x14ac:dyDescent="0.2">
      <c r="B543" s="50"/>
      <c r="C543" s="50"/>
      <c r="D543" s="51"/>
      <c r="E543" s="50"/>
      <c r="F543" s="54"/>
    </row>
    <row r="544" spans="2:6" s="44" customFormat="1" x14ac:dyDescent="0.2">
      <c r="B544" s="50"/>
      <c r="C544" s="50"/>
      <c r="D544" s="51"/>
      <c r="E544" s="50"/>
      <c r="F544" s="54"/>
    </row>
    <row r="545" spans="2:6" s="44" customFormat="1" x14ac:dyDescent="0.2">
      <c r="B545" s="50"/>
      <c r="C545" s="50"/>
      <c r="D545" s="51"/>
      <c r="E545" s="50"/>
      <c r="F545" s="54"/>
    </row>
    <row r="546" spans="2:6" s="44" customFormat="1" x14ac:dyDescent="0.2">
      <c r="B546" s="50"/>
      <c r="C546" s="50"/>
      <c r="D546" s="51"/>
      <c r="E546" s="50"/>
      <c r="F546" s="54"/>
    </row>
    <row r="547" spans="2:6" s="44" customFormat="1" x14ac:dyDescent="0.2">
      <c r="B547" s="50"/>
      <c r="C547" s="50"/>
      <c r="D547" s="51"/>
      <c r="E547" s="50"/>
      <c r="F547" s="54"/>
    </row>
    <row r="548" spans="2:6" s="44" customFormat="1" x14ac:dyDescent="0.2">
      <c r="B548" s="50"/>
      <c r="C548" s="50"/>
      <c r="D548" s="51"/>
      <c r="E548" s="50"/>
      <c r="F548" s="54"/>
    </row>
    <row r="549" spans="2:6" s="44" customFormat="1" x14ac:dyDescent="0.2">
      <c r="B549" s="50"/>
      <c r="C549" s="50"/>
      <c r="D549" s="51"/>
      <c r="E549" s="50"/>
      <c r="F549" s="54"/>
    </row>
    <row r="550" spans="2:6" s="44" customFormat="1" x14ac:dyDescent="0.2">
      <c r="B550" s="50"/>
      <c r="C550" s="50"/>
      <c r="D550" s="51"/>
      <c r="E550" s="50"/>
      <c r="F550" s="54"/>
    </row>
    <row r="551" spans="2:6" s="44" customFormat="1" x14ac:dyDescent="0.2">
      <c r="B551" s="50"/>
      <c r="C551" s="50"/>
      <c r="D551" s="51"/>
      <c r="E551" s="50"/>
      <c r="F551" s="54"/>
    </row>
    <row r="552" spans="2:6" s="44" customFormat="1" x14ac:dyDescent="0.2">
      <c r="B552" s="50"/>
      <c r="C552" s="50"/>
      <c r="D552" s="51"/>
      <c r="E552" s="50"/>
      <c r="F552" s="54"/>
    </row>
    <row r="553" spans="2:6" s="44" customFormat="1" x14ac:dyDescent="0.2">
      <c r="B553" s="50"/>
      <c r="C553" s="50"/>
      <c r="D553" s="51"/>
      <c r="E553" s="50"/>
      <c r="F553" s="54"/>
    </row>
    <row r="554" spans="2:6" s="44" customFormat="1" x14ac:dyDescent="0.2">
      <c r="B554" s="50"/>
      <c r="C554" s="50"/>
      <c r="D554" s="51"/>
      <c r="E554" s="50"/>
      <c r="F554" s="54"/>
    </row>
    <row r="555" spans="2:6" s="44" customFormat="1" x14ac:dyDescent="0.2">
      <c r="B555" s="50"/>
      <c r="C555" s="50"/>
      <c r="D555" s="51"/>
      <c r="E555" s="50"/>
      <c r="F555" s="54"/>
    </row>
    <row r="556" spans="2:6" s="44" customFormat="1" x14ac:dyDescent="0.2">
      <c r="B556" s="50"/>
      <c r="C556" s="50"/>
      <c r="D556" s="51"/>
      <c r="E556" s="50"/>
      <c r="F556" s="54"/>
    </row>
    <row r="557" spans="2:6" s="44" customFormat="1" x14ac:dyDescent="0.2">
      <c r="B557" s="50"/>
      <c r="C557" s="50"/>
      <c r="D557" s="51"/>
      <c r="E557" s="50"/>
      <c r="F557" s="54"/>
    </row>
    <row r="558" spans="2:6" s="44" customFormat="1" x14ac:dyDescent="0.2">
      <c r="B558" s="50"/>
      <c r="C558" s="50"/>
      <c r="D558" s="51"/>
      <c r="E558" s="50"/>
      <c r="F558" s="54"/>
    </row>
    <row r="559" spans="2:6" s="44" customFormat="1" x14ac:dyDescent="0.2">
      <c r="B559" s="50"/>
      <c r="C559" s="50"/>
      <c r="D559" s="51"/>
      <c r="E559" s="50"/>
      <c r="F559" s="54"/>
    </row>
    <row r="560" spans="2:6" s="44" customFormat="1" x14ac:dyDescent="0.2">
      <c r="B560" s="50"/>
      <c r="C560" s="50"/>
      <c r="D560" s="51"/>
      <c r="E560" s="50"/>
      <c r="F560" s="54"/>
    </row>
    <row r="561" spans="2:6" s="44" customFormat="1" x14ac:dyDescent="0.2">
      <c r="B561" s="50"/>
      <c r="C561" s="50"/>
      <c r="D561" s="51"/>
      <c r="E561" s="50"/>
      <c r="F561" s="54"/>
    </row>
    <row r="562" spans="2:6" s="44" customFormat="1" x14ac:dyDescent="0.2">
      <c r="B562" s="50"/>
      <c r="C562" s="50"/>
      <c r="D562" s="51"/>
      <c r="E562" s="50"/>
      <c r="F562" s="54"/>
    </row>
    <row r="563" spans="2:6" s="44" customFormat="1" x14ac:dyDescent="0.2">
      <c r="B563" s="50"/>
      <c r="C563" s="50"/>
      <c r="D563" s="51"/>
      <c r="E563" s="50"/>
      <c r="F563" s="54"/>
    </row>
    <row r="564" spans="2:6" s="44" customFormat="1" x14ac:dyDescent="0.2">
      <c r="B564" s="50"/>
      <c r="C564" s="50"/>
      <c r="D564" s="51"/>
      <c r="E564" s="50"/>
      <c r="F564" s="54"/>
    </row>
    <row r="565" spans="2:6" s="44" customFormat="1" x14ac:dyDescent="0.2">
      <c r="B565" s="50"/>
      <c r="C565" s="50"/>
      <c r="D565" s="51"/>
      <c r="E565" s="50"/>
      <c r="F565" s="54"/>
    </row>
    <row r="566" spans="2:6" s="44" customFormat="1" x14ac:dyDescent="0.2">
      <c r="B566" s="50"/>
      <c r="C566" s="50"/>
      <c r="D566" s="51"/>
      <c r="E566" s="50"/>
      <c r="F566" s="54"/>
    </row>
    <row r="567" spans="2:6" s="44" customFormat="1" x14ac:dyDescent="0.2">
      <c r="B567" s="50"/>
      <c r="C567" s="50"/>
      <c r="D567" s="51"/>
      <c r="E567" s="50"/>
      <c r="F567" s="54"/>
    </row>
    <row r="568" spans="2:6" s="44" customFormat="1" x14ac:dyDescent="0.2">
      <c r="B568" s="50"/>
      <c r="C568" s="50"/>
      <c r="D568" s="51"/>
      <c r="E568" s="50"/>
      <c r="F568" s="54"/>
    </row>
    <row r="569" spans="2:6" s="44" customFormat="1" x14ac:dyDescent="0.2">
      <c r="B569" s="50"/>
      <c r="C569" s="50"/>
      <c r="D569" s="51"/>
      <c r="E569" s="50"/>
      <c r="F569" s="54"/>
    </row>
    <row r="570" spans="2:6" s="44" customFormat="1" x14ac:dyDescent="0.2">
      <c r="B570" s="50"/>
      <c r="C570" s="50"/>
      <c r="D570" s="51"/>
      <c r="E570" s="50"/>
      <c r="F570" s="54"/>
    </row>
    <row r="571" spans="2:6" s="44" customFormat="1" x14ac:dyDescent="0.2">
      <c r="B571" s="50"/>
      <c r="C571" s="50"/>
      <c r="D571" s="51"/>
      <c r="E571" s="50"/>
      <c r="F571" s="54"/>
    </row>
    <row r="572" spans="2:6" s="44" customFormat="1" x14ac:dyDescent="0.2">
      <c r="B572" s="50"/>
      <c r="C572" s="50"/>
      <c r="D572" s="51"/>
      <c r="E572" s="50"/>
      <c r="F572" s="54"/>
    </row>
    <row r="573" spans="2:6" s="44" customFormat="1" x14ac:dyDescent="0.2">
      <c r="B573" s="50"/>
      <c r="C573" s="50"/>
      <c r="D573" s="51"/>
      <c r="E573" s="50"/>
      <c r="F573" s="54"/>
    </row>
    <row r="574" spans="2:6" s="44" customFormat="1" x14ac:dyDescent="0.2">
      <c r="B574" s="50"/>
      <c r="C574" s="50"/>
      <c r="D574" s="51"/>
      <c r="E574" s="50"/>
      <c r="F574" s="54"/>
    </row>
    <row r="575" spans="2:6" s="44" customFormat="1" x14ac:dyDescent="0.2">
      <c r="B575" s="50"/>
      <c r="C575" s="50"/>
      <c r="D575" s="51"/>
      <c r="E575" s="50"/>
      <c r="F575" s="54"/>
    </row>
    <row r="576" spans="2:6" s="44" customFormat="1" x14ac:dyDescent="0.2">
      <c r="B576" s="50"/>
      <c r="C576" s="50"/>
      <c r="D576" s="51"/>
      <c r="E576" s="50"/>
      <c r="F576" s="54"/>
    </row>
    <row r="577" spans="2:6" s="44" customFormat="1" x14ac:dyDescent="0.2">
      <c r="B577" s="50"/>
      <c r="C577" s="50"/>
      <c r="D577" s="51"/>
      <c r="E577" s="50"/>
      <c r="F577" s="54"/>
    </row>
    <row r="578" spans="2:6" s="44" customFormat="1" x14ac:dyDescent="0.2">
      <c r="B578" s="50"/>
      <c r="C578" s="50"/>
      <c r="D578" s="51"/>
      <c r="E578" s="50"/>
      <c r="F578" s="54"/>
    </row>
    <row r="579" spans="2:6" s="44" customFormat="1" x14ac:dyDescent="0.2">
      <c r="B579" s="50"/>
      <c r="C579" s="50"/>
      <c r="D579" s="51"/>
      <c r="E579" s="50"/>
      <c r="F579" s="54"/>
    </row>
    <row r="580" spans="2:6" s="44" customFormat="1" x14ac:dyDescent="0.2">
      <c r="B580" s="50"/>
      <c r="C580" s="50"/>
      <c r="D580" s="51"/>
      <c r="E580" s="50"/>
      <c r="F580" s="54"/>
    </row>
    <row r="581" spans="2:6" s="44" customFormat="1" x14ac:dyDescent="0.2">
      <c r="B581" s="50"/>
      <c r="C581" s="50"/>
      <c r="D581" s="51"/>
      <c r="E581" s="50"/>
      <c r="F581" s="54"/>
    </row>
    <row r="582" spans="2:6" s="44" customFormat="1" x14ac:dyDescent="0.2">
      <c r="B582" s="50"/>
      <c r="C582" s="50"/>
      <c r="D582" s="51"/>
      <c r="E582" s="50"/>
      <c r="F582" s="54"/>
    </row>
    <row r="583" spans="2:6" s="44" customFormat="1" x14ac:dyDescent="0.2">
      <c r="B583" s="50"/>
      <c r="C583" s="50"/>
      <c r="D583" s="51"/>
      <c r="E583" s="50"/>
      <c r="F583" s="54"/>
    </row>
    <row r="584" spans="2:6" s="44" customFormat="1" x14ac:dyDescent="0.2">
      <c r="B584" s="50"/>
      <c r="C584" s="50"/>
      <c r="D584" s="51"/>
      <c r="E584" s="50"/>
      <c r="F584" s="54"/>
    </row>
    <row r="585" spans="2:6" s="44" customFormat="1" x14ac:dyDescent="0.2">
      <c r="B585" s="50"/>
      <c r="C585" s="50"/>
      <c r="D585" s="51"/>
      <c r="E585" s="50"/>
      <c r="F585" s="54"/>
    </row>
    <row r="586" spans="2:6" s="44" customFormat="1" x14ac:dyDescent="0.2">
      <c r="B586" s="50"/>
      <c r="C586" s="50"/>
      <c r="D586" s="51"/>
      <c r="E586" s="50"/>
      <c r="F586" s="54"/>
    </row>
    <row r="587" spans="2:6" s="44" customFormat="1" x14ac:dyDescent="0.2">
      <c r="B587" s="50"/>
      <c r="C587" s="50"/>
      <c r="D587" s="51"/>
      <c r="E587" s="50"/>
      <c r="F587" s="54"/>
    </row>
    <row r="588" spans="2:6" s="44" customFormat="1" x14ac:dyDescent="0.2">
      <c r="B588" s="50"/>
      <c r="C588" s="50"/>
      <c r="D588" s="51"/>
      <c r="E588" s="50"/>
      <c r="F588" s="54"/>
    </row>
    <row r="589" spans="2:6" s="44" customFormat="1" x14ac:dyDescent="0.2">
      <c r="B589" s="50"/>
      <c r="C589" s="50"/>
      <c r="D589" s="51"/>
      <c r="E589" s="50"/>
      <c r="F589" s="54"/>
    </row>
    <row r="590" spans="2:6" s="44" customFormat="1" x14ac:dyDescent="0.2">
      <c r="B590" s="50"/>
      <c r="C590" s="50"/>
      <c r="D590" s="51"/>
      <c r="E590" s="50"/>
      <c r="F590" s="54"/>
    </row>
    <row r="591" spans="2:6" s="44" customFormat="1" x14ac:dyDescent="0.2">
      <c r="B591" s="50"/>
      <c r="C591" s="50"/>
      <c r="D591" s="51"/>
      <c r="E591" s="50"/>
      <c r="F591" s="54"/>
    </row>
    <row r="592" spans="2:6" s="44" customFormat="1" x14ac:dyDescent="0.2">
      <c r="B592" s="50"/>
      <c r="C592" s="50"/>
      <c r="D592" s="51"/>
      <c r="E592" s="50"/>
      <c r="F592" s="54"/>
    </row>
    <row r="593" spans="2:6" s="44" customFormat="1" x14ac:dyDescent="0.2">
      <c r="B593" s="50"/>
      <c r="C593" s="50"/>
      <c r="D593" s="51"/>
      <c r="E593" s="50"/>
      <c r="F593" s="54"/>
    </row>
    <row r="594" spans="2:6" s="44" customFormat="1" x14ac:dyDescent="0.2">
      <c r="B594" s="50"/>
      <c r="C594" s="50"/>
      <c r="D594" s="51"/>
      <c r="E594" s="50"/>
      <c r="F594" s="54"/>
    </row>
    <row r="595" spans="2:6" s="44" customFormat="1" x14ac:dyDescent="0.2">
      <c r="B595" s="50"/>
      <c r="C595" s="50"/>
      <c r="D595" s="51"/>
      <c r="E595" s="50"/>
      <c r="F595" s="54"/>
    </row>
    <row r="596" spans="2:6" s="44" customFormat="1" x14ac:dyDescent="0.2">
      <c r="B596" s="50"/>
      <c r="C596" s="50"/>
      <c r="D596" s="51"/>
      <c r="E596" s="50"/>
      <c r="F596" s="54"/>
    </row>
    <row r="597" spans="2:6" s="44" customFormat="1" x14ac:dyDescent="0.2">
      <c r="B597" s="50"/>
      <c r="C597" s="50"/>
      <c r="D597" s="51"/>
      <c r="E597" s="50"/>
      <c r="F597" s="54"/>
    </row>
    <row r="598" spans="2:6" s="44" customFormat="1" x14ac:dyDescent="0.2">
      <c r="B598" s="50"/>
      <c r="C598" s="50"/>
      <c r="D598" s="51"/>
      <c r="E598" s="50"/>
      <c r="F598" s="54"/>
    </row>
    <row r="599" spans="2:6" s="44" customFormat="1" x14ac:dyDescent="0.2">
      <c r="B599" s="50"/>
      <c r="C599" s="50"/>
      <c r="D599" s="51"/>
      <c r="E599" s="50"/>
      <c r="F599" s="54"/>
    </row>
    <row r="600" spans="2:6" s="44" customFormat="1" x14ac:dyDescent="0.2">
      <c r="B600" s="50"/>
      <c r="C600" s="50"/>
      <c r="D600" s="51"/>
      <c r="E600" s="50"/>
      <c r="F600" s="54"/>
    </row>
    <row r="601" spans="2:6" s="44" customFormat="1" x14ac:dyDescent="0.2">
      <c r="B601" s="50"/>
      <c r="C601" s="50"/>
      <c r="D601" s="51"/>
      <c r="E601" s="50"/>
      <c r="F601" s="54"/>
    </row>
    <row r="602" spans="2:6" s="44" customFormat="1" x14ac:dyDescent="0.2">
      <c r="B602" s="50"/>
      <c r="C602" s="50"/>
      <c r="D602" s="51"/>
      <c r="E602" s="50"/>
      <c r="F602" s="54"/>
    </row>
    <row r="603" spans="2:6" s="44" customFormat="1" x14ac:dyDescent="0.2">
      <c r="B603" s="50"/>
      <c r="C603" s="50"/>
      <c r="D603" s="51"/>
      <c r="E603" s="50"/>
      <c r="F603" s="54"/>
    </row>
    <row r="604" spans="2:6" s="44" customFormat="1" x14ac:dyDescent="0.2">
      <c r="B604" s="50"/>
      <c r="C604" s="50"/>
      <c r="D604" s="51"/>
      <c r="E604" s="50"/>
      <c r="F604" s="54"/>
    </row>
    <row r="605" spans="2:6" s="44" customFormat="1" x14ac:dyDescent="0.2">
      <c r="B605" s="50"/>
      <c r="C605" s="50"/>
      <c r="D605" s="51"/>
      <c r="E605" s="50"/>
      <c r="F605" s="54"/>
    </row>
    <row r="606" spans="2:6" s="44" customFormat="1" x14ac:dyDescent="0.2">
      <c r="B606" s="50"/>
      <c r="C606" s="50"/>
      <c r="D606" s="51"/>
      <c r="E606" s="50"/>
      <c r="F606" s="54"/>
    </row>
    <row r="607" spans="2:6" s="44" customFormat="1" x14ac:dyDescent="0.2">
      <c r="B607" s="50"/>
      <c r="C607" s="50"/>
      <c r="D607" s="51"/>
      <c r="E607" s="50"/>
      <c r="F607" s="54"/>
    </row>
    <row r="608" spans="2:6" s="44" customFormat="1" x14ac:dyDescent="0.2">
      <c r="B608" s="50"/>
      <c r="C608" s="50"/>
      <c r="D608" s="51"/>
      <c r="E608" s="50"/>
      <c r="F608" s="54"/>
    </row>
    <row r="609" spans="2:6" s="44" customFormat="1" x14ac:dyDescent="0.2">
      <c r="B609" s="50"/>
      <c r="C609" s="50"/>
      <c r="D609" s="51"/>
      <c r="E609" s="50"/>
      <c r="F609" s="54"/>
    </row>
    <row r="610" spans="2:6" s="44" customFormat="1" x14ac:dyDescent="0.2">
      <c r="B610" s="50"/>
      <c r="C610" s="50"/>
      <c r="D610" s="51"/>
      <c r="E610" s="50"/>
      <c r="F610" s="54"/>
    </row>
    <row r="611" spans="2:6" s="44" customFormat="1" x14ac:dyDescent="0.2">
      <c r="B611" s="50"/>
      <c r="C611" s="50"/>
      <c r="D611" s="51"/>
      <c r="E611" s="50"/>
      <c r="F611" s="54"/>
    </row>
    <row r="612" spans="2:6" s="44" customFormat="1" x14ac:dyDescent="0.2">
      <c r="B612" s="50"/>
      <c r="C612" s="50"/>
      <c r="D612" s="51"/>
      <c r="E612" s="50"/>
      <c r="F612" s="54"/>
    </row>
    <row r="613" spans="2:6" s="44" customFormat="1" x14ac:dyDescent="0.2">
      <c r="B613" s="50"/>
      <c r="C613" s="50"/>
      <c r="D613" s="51"/>
      <c r="E613" s="50"/>
      <c r="F613" s="54"/>
    </row>
    <row r="614" spans="2:6" s="44" customFormat="1" x14ac:dyDescent="0.2">
      <c r="B614" s="50"/>
      <c r="C614" s="50"/>
      <c r="D614" s="51"/>
      <c r="E614" s="50"/>
      <c r="F614" s="54"/>
    </row>
    <row r="615" spans="2:6" s="44" customFormat="1" x14ac:dyDescent="0.2">
      <c r="B615" s="50"/>
      <c r="C615" s="50"/>
      <c r="D615" s="51"/>
      <c r="E615" s="50"/>
      <c r="F615" s="54"/>
    </row>
    <row r="616" spans="2:6" s="44" customFormat="1" x14ac:dyDescent="0.2">
      <c r="B616" s="50"/>
      <c r="C616" s="50"/>
      <c r="D616" s="51"/>
      <c r="E616" s="50"/>
      <c r="F616" s="54"/>
    </row>
    <row r="617" spans="2:6" s="44" customFormat="1" x14ac:dyDescent="0.2">
      <c r="B617" s="50"/>
      <c r="C617" s="50"/>
      <c r="D617" s="51"/>
      <c r="E617" s="50"/>
      <c r="F617" s="54"/>
    </row>
    <row r="618" spans="2:6" s="44" customFormat="1" x14ac:dyDescent="0.2">
      <c r="B618" s="50"/>
      <c r="C618" s="50"/>
      <c r="D618" s="51"/>
      <c r="E618" s="50"/>
      <c r="F618" s="54"/>
    </row>
    <row r="619" spans="2:6" s="44" customFormat="1" x14ac:dyDescent="0.2">
      <c r="B619" s="50"/>
      <c r="C619" s="50"/>
      <c r="D619" s="51"/>
      <c r="E619" s="50"/>
      <c r="F619" s="54"/>
    </row>
    <row r="620" spans="2:6" s="44" customFormat="1" x14ac:dyDescent="0.2">
      <c r="B620" s="50"/>
      <c r="C620" s="50"/>
      <c r="D620" s="51"/>
      <c r="E620" s="50"/>
      <c r="F620" s="54"/>
    </row>
    <row r="621" spans="2:6" s="44" customFormat="1" x14ac:dyDescent="0.2">
      <c r="B621" s="50"/>
      <c r="C621" s="50"/>
      <c r="D621" s="51"/>
      <c r="E621" s="50"/>
      <c r="F621" s="54"/>
    </row>
    <row r="622" spans="2:6" s="44" customFormat="1" x14ac:dyDescent="0.2">
      <c r="B622" s="50"/>
      <c r="C622" s="50"/>
      <c r="D622" s="51"/>
      <c r="E622" s="50"/>
      <c r="F622" s="54"/>
    </row>
    <row r="623" spans="2:6" s="44" customFormat="1" x14ac:dyDescent="0.2">
      <c r="B623" s="50"/>
      <c r="C623" s="50"/>
      <c r="D623" s="51"/>
      <c r="E623" s="50"/>
      <c r="F623" s="54"/>
    </row>
    <row r="624" spans="2:6" s="44" customFormat="1" x14ac:dyDescent="0.2">
      <c r="B624" s="50"/>
      <c r="C624" s="50"/>
      <c r="D624" s="51"/>
      <c r="E624" s="50"/>
      <c r="F624" s="54"/>
    </row>
    <row r="625" spans="2:6" s="44" customFormat="1" x14ac:dyDescent="0.2">
      <c r="B625" s="50"/>
      <c r="C625" s="50"/>
      <c r="D625" s="51"/>
      <c r="E625" s="50"/>
      <c r="F625" s="54"/>
    </row>
    <row r="626" spans="2:6" s="44" customFormat="1" x14ac:dyDescent="0.2">
      <c r="B626" s="50"/>
      <c r="C626" s="50"/>
      <c r="D626" s="51"/>
      <c r="E626" s="50"/>
      <c r="F626" s="54"/>
    </row>
    <row r="627" spans="2:6" s="44" customFormat="1" x14ac:dyDescent="0.2">
      <c r="B627" s="50"/>
      <c r="C627" s="50"/>
      <c r="D627" s="51"/>
      <c r="E627" s="50"/>
      <c r="F627" s="54"/>
    </row>
    <row r="628" spans="2:6" s="44" customFormat="1" x14ac:dyDescent="0.2">
      <c r="B628" s="50"/>
      <c r="C628" s="50"/>
      <c r="D628" s="51"/>
      <c r="E628" s="50"/>
      <c r="F628" s="54"/>
    </row>
    <row r="629" spans="2:6" s="44" customFormat="1" x14ac:dyDescent="0.2">
      <c r="B629" s="50"/>
      <c r="C629" s="50"/>
      <c r="D629" s="51"/>
      <c r="E629" s="50"/>
      <c r="F629" s="54"/>
    </row>
    <row r="630" spans="2:6" s="44" customFormat="1" x14ac:dyDescent="0.2">
      <c r="B630" s="50"/>
      <c r="C630" s="50"/>
      <c r="D630" s="51"/>
      <c r="E630" s="50"/>
      <c r="F630" s="54"/>
    </row>
    <row r="631" spans="2:6" s="44" customFormat="1" x14ac:dyDescent="0.2">
      <c r="B631" s="50"/>
      <c r="C631" s="50"/>
      <c r="D631" s="51"/>
      <c r="E631" s="50"/>
      <c r="F631" s="54"/>
    </row>
    <row r="632" spans="2:6" s="44" customFormat="1" x14ac:dyDescent="0.2">
      <c r="B632" s="50"/>
      <c r="C632" s="50"/>
      <c r="D632" s="51"/>
      <c r="E632" s="50"/>
      <c r="F632" s="54"/>
    </row>
    <row r="633" spans="2:6" s="44" customFormat="1" x14ac:dyDescent="0.2">
      <c r="B633" s="50"/>
      <c r="C633" s="50"/>
      <c r="D633" s="51"/>
      <c r="E633" s="50"/>
      <c r="F633" s="54"/>
    </row>
    <row r="634" spans="2:6" s="44" customFormat="1" x14ac:dyDescent="0.2">
      <c r="B634" s="50"/>
      <c r="C634" s="50"/>
      <c r="D634" s="51"/>
      <c r="E634" s="50"/>
      <c r="F634" s="54"/>
    </row>
    <row r="635" spans="2:6" s="44" customFormat="1" x14ac:dyDescent="0.2">
      <c r="B635" s="50"/>
      <c r="C635" s="50"/>
      <c r="D635" s="51"/>
      <c r="E635" s="50"/>
      <c r="F635" s="54"/>
    </row>
    <row r="636" spans="2:6" s="44" customFormat="1" x14ac:dyDescent="0.2">
      <c r="B636" s="50"/>
      <c r="C636" s="50"/>
      <c r="D636" s="51"/>
      <c r="E636" s="50"/>
      <c r="F636" s="54"/>
    </row>
    <row r="637" spans="2:6" s="44" customFormat="1" x14ac:dyDescent="0.2">
      <c r="B637" s="50"/>
      <c r="C637" s="50"/>
      <c r="D637" s="51"/>
      <c r="E637" s="50"/>
      <c r="F637" s="54"/>
    </row>
    <row r="638" spans="2:6" s="44" customFormat="1" x14ac:dyDescent="0.2">
      <c r="B638" s="50"/>
      <c r="C638" s="50"/>
      <c r="D638" s="51"/>
      <c r="E638" s="50"/>
      <c r="F638" s="54"/>
    </row>
    <row r="639" spans="2:6" s="44" customFormat="1" x14ac:dyDescent="0.2">
      <c r="B639" s="50"/>
      <c r="C639" s="50"/>
      <c r="D639" s="51"/>
      <c r="E639" s="50"/>
      <c r="F639" s="54"/>
    </row>
    <row r="640" spans="2:6" s="44" customFormat="1" x14ac:dyDescent="0.2">
      <c r="B640" s="50"/>
      <c r="C640" s="50"/>
      <c r="D640" s="51"/>
      <c r="E640" s="50"/>
      <c r="F640" s="54"/>
    </row>
    <row r="641" spans="2:6" s="44" customFormat="1" x14ac:dyDescent="0.2">
      <c r="B641" s="50"/>
      <c r="C641" s="50"/>
      <c r="D641" s="51"/>
      <c r="E641" s="50"/>
      <c r="F641" s="54"/>
    </row>
    <row r="642" spans="2:6" s="44" customFormat="1" x14ac:dyDescent="0.2">
      <c r="B642" s="50"/>
      <c r="C642" s="50"/>
      <c r="D642" s="51"/>
      <c r="E642" s="50"/>
      <c r="F642" s="54"/>
    </row>
    <row r="643" spans="2:6" s="44" customFormat="1" x14ac:dyDescent="0.2">
      <c r="B643" s="50"/>
      <c r="C643" s="50"/>
      <c r="D643" s="51"/>
      <c r="E643" s="50"/>
      <c r="F643" s="54"/>
    </row>
    <row r="644" spans="2:6" s="44" customFormat="1" x14ac:dyDescent="0.2">
      <c r="B644" s="50"/>
      <c r="C644" s="50"/>
      <c r="D644" s="51"/>
      <c r="E644" s="50"/>
      <c r="F644" s="54"/>
    </row>
    <row r="645" spans="2:6" s="44" customFormat="1" x14ac:dyDescent="0.2">
      <c r="B645" s="50"/>
      <c r="C645" s="50"/>
      <c r="D645" s="51"/>
      <c r="E645" s="50"/>
      <c r="F645" s="54"/>
    </row>
    <row r="646" spans="2:6" s="44" customFormat="1" x14ac:dyDescent="0.2">
      <c r="B646" s="50"/>
      <c r="C646" s="50"/>
      <c r="D646" s="51"/>
      <c r="E646" s="50"/>
      <c r="F646" s="54"/>
    </row>
    <row r="647" spans="2:6" s="44" customFormat="1" x14ac:dyDescent="0.2">
      <c r="B647" s="50"/>
      <c r="C647" s="50"/>
      <c r="D647" s="51"/>
      <c r="E647" s="50"/>
      <c r="F647" s="54"/>
    </row>
    <row r="648" spans="2:6" s="44" customFormat="1" x14ac:dyDescent="0.2">
      <c r="B648" s="50"/>
      <c r="C648" s="50"/>
      <c r="D648" s="51"/>
      <c r="E648" s="50"/>
      <c r="F648" s="54"/>
    </row>
    <row r="649" spans="2:6" s="44" customFormat="1" x14ac:dyDescent="0.2">
      <c r="B649" s="50"/>
      <c r="C649" s="50"/>
      <c r="D649" s="51"/>
      <c r="E649" s="50"/>
      <c r="F649" s="54"/>
    </row>
    <row r="650" spans="2:6" s="44" customFormat="1" x14ac:dyDescent="0.2">
      <c r="B650" s="50"/>
      <c r="C650" s="50"/>
      <c r="D650" s="51"/>
      <c r="E650" s="50"/>
      <c r="F650" s="54"/>
    </row>
    <row r="651" spans="2:6" s="44" customFormat="1" x14ac:dyDescent="0.2">
      <c r="B651" s="50"/>
      <c r="C651" s="50"/>
      <c r="D651" s="51"/>
      <c r="E651" s="50"/>
      <c r="F651" s="54"/>
    </row>
    <row r="652" spans="2:6" s="44" customFormat="1" x14ac:dyDescent="0.2">
      <c r="B652" s="50"/>
      <c r="C652" s="50"/>
      <c r="D652" s="51"/>
      <c r="E652" s="50"/>
      <c r="F652" s="54"/>
    </row>
    <row r="653" spans="2:6" s="44" customFormat="1" x14ac:dyDescent="0.2">
      <c r="B653" s="50"/>
      <c r="C653" s="50"/>
      <c r="D653" s="51"/>
      <c r="E653" s="50"/>
      <c r="F653" s="54"/>
    </row>
    <row r="654" spans="2:6" s="44" customFormat="1" x14ac:dyDescent="0.2">
      <c r="B654" s="50"/>
      <c r="C654" s="50"/>
      <c r="D654" s="51"/>
      <c r="E654" s="50"/>
      <c r="F654" s="54"/>
    </row>
    <row r="655" spans="2:6" s="44" customFormat="1" x14ac:dyDescent="0.2">
      <c r="B655" s="50"/>
      <c r="C655" s="50"/>
      <c r="D655" s="51"/>
      <c r="E655" s="50"/>
      <c r="F655" s="54"/>
    </row>
    <row r="656" spans="2:6" s="44" customFormat="1" x14ac:dyDescent="0.2">
      <c r="B656" s="50"/>
      <c r="C656" s="50"/>
      <c r="D656" s="51"/>
      <c r="E656" s="50"/>
      <c r="F656" s="54"/>
    </row>
    <row r="657" spans="2:6" s="44" customFormat="1" x14ac:dyDescent="0.2">
      <c r="B657" s="50"/>
      <c r="C657" s="50"/>
      <c r="D657" s="51"/>
      <c r="E657" s="50"/>
      <c r="F657" s="54"/>
    </row>
    <row r="658" spans="2:6" s="44" customFormat="1" x14ac:dyDescent="0.2">
      <c r="B658" s="50"/>
      <c r="C658" s="50"/>
      <c r="D658" s="51"/>
      <c r="E658" s="50"/>
      <c r="F658" s="54"/>
    </row>
    <row r="659" spans="2:6" s="44" customFormat="1" x14ac:dyDescent="0.2">
      <c r="B659" s="50"/>
      <c r="C659" s="50"/>
      <c r="D659" s="51"/>
      <c r="E659" s="50"/>
      <c r="F659" s="54"/>
    </row>
    <row r="660" spans="2:6" s="44" customFormat="1" x14ac:dyDescent="0.2">
      <c r="B660" s="50"/>
      <c r="C660" s="50"/>
      <c r="D660" s="51"/>
      <c r="E660" s="50"/>
      <c r="F660" s="54"/>
    </row>
    <row r="661" spans="2:6" s="44" customFormat="1" x14ac:dyDescent="0.2">
      <c r="B661" s="50"/>
      <c r="C661" s="50"/>
      <c r="D661" s="51"/>
      <c r="E661" s="50"/>
      <c r="F661" s="54"/>
    </row>
    <row r="662" spans="2:6" s="44" customFormat="1" x14ac:dyDescent="0.2">
      <c r="B662" s="50"/>
      <c r="C662" s="50"/>
      <c r="D662" s="51"/>
      <c r="E662" s="50"/>
      <c r="F662" s="54"/>
    </row>
    <row r="663" spans="2:6" s="44" customFormat="1" x14ac:dyDescent="0.2">
      <c r="B663" s="50"/>
      <c r="C663" s="50"/>
      <c r="D663" s="51"/>
      <c r="E663" s="50"/>
      <c r="F663" s="54"/>
    </row>
    <row r="664" spans="2:6" s="44" customFormat="1" x14ac:dyDescent="0.2">
      <c r="B664" s="50"/>
      <c r="C664" s="50"/>
      <c r="D664" s="51"/>
      <c r="E664" s="50"/>
      <c r="F664" s="54"/>
    </row>
    <row r="665" spans="2:6" s="44" customFormat="1" x14ac:dyDescent="0.2">
      <c r="B665" s="50"/>
      <c r="C665" s="50"/>
      <c r="D665" s="51"/>
      <c r="E665" s="50"/>
      <c r="F665" s="54"/>
    </row>
    <row r="666" spans="2:6" s="44" customFormat="1" x14ac:dyDescent="0.2">
      <c r="B666" s="50"/>
      <c r="C666" s="50"/>
      <c r="D666" s="51"/>
      <c r="E666" s="50"/>
      <c r="F666" s="54"/>
    </row>
    <row r="667" spans="2:6" s="44" customFormat="1" x14ac:dyDescent="0.2">
      <c r="B667" s="50"/>
      <c r="C667" s="50"/>
      <c r="D667" s="51"/>
      <c r="E667" s="50"/>
      <c r="F667" s="54"/>
    </row>
    <row r="668" spans="2:6" s="44" customFormat="1" x14ac:dyDescent="0.2">
      <c r="B668" s="50"/>
      <c r="C668" s="50"/>
      <c r="D668" s="51"/>
      <c r="E668" s="50"/>
      <c r="F668" s="54"/>
    </row>
    <row r="669" spans="2:6" s="44" customFormat="1" x14ac:dyDescent="0.2">
      <c r="B669" s="50"/>
      <c r="C669" s="50"/>
      <c r="D669" s="51"/>
      <c r="E669" s="50"/>
      <c r="F669" s="54"/>
    </row>
    <row r="670" spans="2:6" s="44" customFormat="1" x14ac:dyDescent="0.2">
      <c r="B670" s="50"/>
      <c r="C670" s="50"/>
      <c r="D670" s="51"/>
      <c r="E670" s="50"/>
      <c r="F670" s="54"/>
    </row>
    <row r="671" spans="2:6" s="44" customFormat="1" x14ac:dyDescent="0.2">
      <c r="B671" s="50"/>
      <c r="C671" s="50"/>
      <c r="D671" s="51"/>
      <c r="E671" s="50"/>
      <c r="F671" s="54"/>
    </row>
    <row r="672" spans="2:6" s="44" customFormat="1" x14ac:dyDescent="0.2">
      <c r="B672" s="50"/>
      <c r="C672" s="50"/>
      <c r="D672" s="51"/>
      <c r="E672" s="50"/>
      <c r="F672" s="54"/>
    </row>
    <row r="673" spans="2:6" s="44" customFormat="1" x14ac:dyDescent="0.2">
      <c r="B673" s="50"/>
      <c r="C673" s="50"/>
      <c r="D673" s="51"/>
      <c r="E673" s="50"/>
      <c r="F673" s="54"/>
    </row>
    <row r="674" spans="2:6" s="44" customFormat="1" x14ac:dyDescent="0.2">
      <c r="B674" s="50"/>
      <c r="C674" s="50"/>
      <c r="D674" s="51"/>
      <c r="E674" s="50"/>
      <c r="F674" s="54"/>
    </row>
    <row r="675" spans="2:6" s="44" customFormat="1" x14ac:dyDescent="0.2">
      <c r="B675" s="50"/>
      <c r="C675" s="50"/>
      <c r="D675" s="51"/>
      <c r="E675" s="50"/>
      <c r="F675" s="54"/>
    </row>
    <row r="676" spans="2:6" s="44" customFormat="1" x14ac:dyDescent="0.2">
      <c r="B676" s="50"/>
      <c r="C676" s="50"/>
      <c r="D676" s="51"/>
      <c r="E676" s="50"/>
      <c r="F676" s="54"/>
    </row>
    <row r="677" spans="2:6" s="44" customFormat="1" x14ac:dyDescent="0.2">
      <c r="B677" s="50"/>
      <c r="C677" s="50"/>
      <c r="D677" s="51"/>
      <c r="E677" s="50"/>
      <c r="F677" s="54"/>
    </row>
    <row r="678" spans="2:6" s="44" customFormat="1" x14ac:dyDescent="0.2">
      <c r="B678" s="50"/>
      <c r="C678" s="50"/>
      <c r="D678" s="51"/>
      <c r="E678" s="50"/>
      <c r="F678" s="54"/>
    </row>
    <row r="679" spans="2:6" s="44" customFormat="1" x14ac:dyDescent="0.2">
      <c r="B679" s="50"/>
      <c r="C679" s="50"/>
      <c r="D679" s="51"/>
      <c r="E679" s="50"/>
      <c r="F679" s="54"/>
    </row>
    <row r="680" spans="2:6" s="44" customFormat="1" x14ac:dyDescent="0.2">
      <c r="B680" s="50"/>
      <c r="C680" s="50"/>
      <c r="D680" s="51"/>
      <c r="E680" s="50"/>
      <c r="F680" s="54"/>
    </row>
    <row r="681" spans="2:6" s="44" customFormat="1" x14ac:dyDescent="0.2">
      <c r="B681" s="50"/>
      <c r="C681" s="50"/>
      <c r="D681" s="51"/>
      <c r="E681" s="50"/>
      <c r="F681" s="54"/>
    </row>
    <row r="682" spans="2:6" s="44" customFormat="1" x14ac:dyDescent="0.2">
      <c r="B682" s="50"/>
      <c r="C682" s="50"/>
      <c r="D682" s="51"/>
      <c r="E682" s="50"/>
      <c r="F682" s="54"/>
    </row>
    <row r="683" spans="2:6" s="44" customFormat="1" x14ac:dyDescent="0.2">
      <c r="B683" s="50"/>
      <c r="C683" s="50"/>
      <c r="D683" s="51"/>
      <c r="E683" s="50"/>
      <c r="F683" s="54"/>
    </row>
    <row r="684" spans="2:6" s="44" customFormat="1" x14ac:dyDescent="0.2">
      <c r="B684" s="50"/>
      <c r="C684" s="50"/>
      <c r="D684" s="51"/>
      <c r="E684" s="50"/>
      <c r="F684" s="54"/>
    </row>
    <row r="685" spans="2:6" s="44" customFormat="1" x14ac:dyDescent="0.2">
      <c r="B685" s="50"/>
      <c r="C685" s="50"/>
      <c r="D685" s="51"/>
      <c r="E685" s="50"/>
      <c r="F685" s="54"/>
    </row>
    <row r="686" spans="2:6" s="44" customFormat="1" x14ac:dyDescent="0.2">
      <c r="B686" s="50"/>
      <c r="C686" s="50"/>
      <c r="D686" s="51"/>
      <c r="E686" s="50"/>
      <c r="F686" s="54"/>
    </row>
    <row r="687" spans="2:6" s="44" customFormat="1" x14ac:dyDescent="0.2">
      <c r="B687" s="50"/>
      <c r="C687" s="50"/>
      <c r="D687" s="51"/>
      <c r="E687" s="50"/>
      <c r="F687" s="54"/>
    </row>
    <row r="688" spans="2:6" s="44" customFormat="1" x14ac:dyDescent="0.2">
      <c r="B688" s="50"/>
      <c r="C688" s="50"/>
      <c r="D688" s="51"/>
      <c r="E688" s="50"/>
      <c r="F688" s="54"/>
    </row>
    <row r="689" spans="2:6" s="44" customFormat="1" x14ac:dyDescent="0.2">
      <c r="B689" s="50"/>
      <c r="C689" s="50"/>
      <c r="D689" s="51"/>
      <c r="E689" s="50"/>
      <c r="F689" s="54"/>
    </row>
    <row r="690" spans="2:6" s="44" customFormat="1" x14ac:dyDescent="0.2">
      <c r="B690" s="50"/>
      <c r="C690" s="50"/>
      <c r="D690" s="51"/>
      <c r="E690" s="50"/>
      <c r="F690" s="54"/>
    </row>
    <row r="691" spans="2:6" s="44" customFormat="1" x14ac:dyDescent="0.2">
      <c r="B691" s="50"/>
      <c r="C691" s="50"/>
      <c r="D691" s="51"/>
      <c r="E691" s="50"/>
      <c r="F691" s="54"/>
    </row>
    <row r="692" spans="2:6" s="44" customFormat="1" x14ac:dyDescent="0.2">
      <c r="B692" s="50"/>
      <c r="C692" s="50"/>
      <c r="D692" s="51"/>
      <c r="E692" s="50"/>
      <c r="F692" s="54"/>
    </row>
    <row r="693" spans="2:6" s="44" customFormat="1" x14ac:dyDescent="0.2">
      <c r="B693" s="50"/>
      <c r="C693" s="50"/>
      <c r="D693" s="51"/>
      <c r="E693" s="50"/>
      <c r="F693" s="54"/>
    </row>
    <row r="694" spans="2:6" s="44" customFormat="1" x14ac:dyDescent="0.2">
      <c r="B694" s="50"/>
      <c r="C694" s="50"/>
      <c r="D694" s="51"/>
      <c r="E694" s="50"/>
      <c r="F694" s="54"/>
    </row>
    <row r="695" spans="2:6" s="44" customFormat="1" x14ac:dyDescent="0.2">
      <c r="B695" s="50"/>
      <c r="C695" s="50"/>
      <c r="D695" s="51"/>
      <c r="E695" s="50"/>
      <c r="F695" s="54"/>
    </row>
    <row r="696" spans="2:6" s="44" customFormat="1" x14ac:dyDescent="0.2">
      <c r="B696" s="50"/>
      <c r="C696" s="50"/>
      <c r="D696" s="51"/>
      <c r="E696" s="50"/>
      <c r="F696" s="54"/>
    </row>
    <row r="697" spans="2:6" s="44" customFormat="1" x14ac:dyDescent="0.2">
      <c r="B697" s="50"/>
      <c r="C697" s="50"/>
      <c r="D697" s="51"/>
      <c r="E697" s="50"/>
      <c r="F697" s="54"/>
    </row>
    <row r="698" spans="2:6" s="44" customFormat="1" x14ac:dyDescent="0.2">
      <c r="B698" s="50"/>
      <c r="C698" s="50"/>
      <c r="D698" s="51"/>
      <c r="E698" s="50"/>
      <c r="F698" s="54"/>
    </row>
    <row r="699" spans="2:6" s="44" customFormat="1" x14ac:dyDescent="0.2">
      <c r="B699" s="50"/>
      <c r="C699" s="50"/>
      <c r="D699" s="51"/>
      <c r="E699" s="50"/>
      <c r="F699" s="54"/>
    </row>
    <row r="700" spans="2:6" s="44" customFormat="1" x14ac:dyDescent="0.2">
      <c r="B700" s="50"/>
      <c r="C700" s="50"/>
      <c r="D700" s="51"/>
      <c r="E700" s="50"/>
      <c r="F700" s="54"/>
    </row>
    <row r="701" spans="2:6" s="44" customFormat="1" x14ac:dyDescent="0.2">
      <c r="B701" s="50"/>
      <c r="C701" s="50"/>
      <c r="D701" s="51"/>
      <c r="E701" s="50"/>
      <c r="F701" s="54"/>
    </row>
    <row r="702" spans="2:6" s="44" customFormat="1" x14ac:dyDescent="0.2">
      <c r="B702" s="50"/>
      <c r="C702" s="50"/>
      <c r="D702" s="51"/>
      <c r="E702" s="50"/>
      <c r="F702" s="54"/>
    </row>
    <row r="703" spans="2:6" s="44" customFormat="1" x14ac:dyDescent="0.2">
      <c r="B703" s="50"/>
      <c r="C703" s="50"/>
      <c r="D703" s="51"/>
      <c r="E703" s="50"/>
      <c r="F703" s="54"/>
    </row>
    <row r="704" spans="2:6" s="44" customFormat="1" x14ac:dyDescent="0.2">
      <c r="B704" s="50"/>
      <c r="C704" s="50"/>
      <c r="D704" s="51"/>
      <c r="E704" s="50"/>
      <c r="F704" s="54"/>
    </row>
    <row r="705" spans="2:6" s="44" customFormat="1" x14ac:dyDescent="0.2">
      <c r="B705" s="50"/>
      <c r="C705" s="50"/>
      <c r="D705" s="51"/>
      <c r="E705" s="50"/>
      <c r="F705" s="54"/>
    </row>
    <row r="706" spans="2:6" s="44" customFormat="1" x14ac:dyDescent="0.2">
      <c r="B706" s="50"/>
      <c r="C706" s="50"/>
      <c r="D706" s="51"/>
      <c r="E706" s="50"/>
      <c r="F706" s="54"/>
    </row>
    <row r="707" spans="2:6" s="44" customFormat="1" x14ac:dyDescent="0.2">
      <c r="B707" s="50"/>
      <c r="C707" s="50"/>
      <c r="D707" s="51"/>
      <c r="E707" s="50"/>
      <c r="F707" s="54"/>
    </row>
    <row r="708" spans="2:6" s="44" customFormat="1" x14ac:dyDescent="0.2">
      <c r="B708" s="50"/>
      <c r="C708" s="50"/>
      <c r="D708" s="51"/>
      <c r="E708" s="50"/>
      <c r="F708" s="54"/>
    </row>
    <row r="709" spans="2:6" s="44" customFormat="1" x14ac:dyDescent="0.2">
      <c r="B709" s="50"/>
      <c r="C709" s="50"/>
      <c r="D709" s="51"/>
      <c r="E709" s="50"/>
      <c r="F709" s="54"/>
    </row>
    <row r="710" spans="2:6" s="44" customFormat="1" x14ac:dyDescent="0.2">
      <c r="B710" s="50"/>
      <c r="C710" s="50"/>
      <c r="D710" s="51"/>
      <c r="E710" s="50"/>
      <c r="F710" s="54"/>
    </row>
    <row r="711" spans="2:6" s="44" customFormat="1" x14ac:dyDescent="0.2">
      <c r="B711" s="50"/>
      <c r="C711" s="50"/>
      <c r="D711" s="51"/>
      <c r="E711" s="50"/>
      <c r="F711" s="54"/>
    </row>
    <row r="712" spans="2:6" s="44" customFormat="1" x14ac:dyDescent="0.2">
      <c r="B712" s="50"/>
      <c r="C712" s="50"/>
      <c r="D712" s="51"/>
      <c r="E712" s="50"/>
      <c r="F712" s="54"/>
    </row>
    <row r="713" spans="2:6" s="44" customFormat="1" x14ac:dyDescent="0.2">
      <c r="B713" s="50"/>
      <c r="C713" s="50"/>
      <c r="D713" s="51"/>
      <c r="E713" s="50"/>
      <c r="F713" s="54"/>
    </row>
    <row r="714" spans="2:6" s="44" customFormat="1" x14ac:dyDescent="0.2">
      <c r="B714" s="50"/>
      <c r="C714" s="50"/>
      <c r="D714" s="51"/>
      <c r="E714" s="50"/>
      <c r="F714" s="54"/>
    </row>
    <row r="715" spans="2:6" s="44" customFormat="1" x14ac:dyDescent="0.2">
      <c r="B715" s="50"/>
      <c r="C715" s="50"/>
      <c r="D715" s="51"/>
      <c r="E715" s="50"/>
      <c r="F715" s="54"/>
    </row>
    <row r="716" spans="2:6" s="44" customFormat="1" x14ac:dyDescent="0.2">
      <c r="B716" s="50"/>
      <c r="C716" s="50"/>
      <c r="D716" s="51"/>
      <c r="E716" s="50"/>
      <c r="F716" s="54"/>
    </row>
    <row r="717" spans="2:6" s="44" customFormat="1" x14ac:dyDescent="0.2">
      <c r="B717" s="50"/>
      <c r="C717" s="50"/>
      <c r="D717" s="51"/>
      <c r="E717" s="50"/>
      <c r="F717" s="54"/>
    </row>
    <row r="718" spans="2:6" s="44" customFormat="1" x14ac:dyDescent="0.2">
      <c r="B718" s="50"/>
      <c r="C718" s="50"/>
      <c r="D718" s="51"/>
      <c r="E718" s="50"/>
      <c r="F718" s="54"/>
    </row>
    <row r="719" spans="2:6" s="44" customFormat="1" x14ac:dyDescent="0.2">
      <c r="B719" s="50"/>
      <c r="C719" s="50"/>
      <c r="D719" s="51"/>
      <c r="E719" s="50"/>
      <c r="F719" s="54"/>
    </row>
    <row r="720" spans="2:6" s="44" customFormat="1" x14ac:dyDescent="0.2">
      <c r="B720" s="50"/>
      <c r="C720" s="50"/>
      <c r="D720" s="51"/>
      <c r="E720" s="50"/>
      <c r="F720" s="54"/>
    </row>
    <row r="721" spans="2:6" s="44" customFormat="1" x14ac:dyDescent="0.2">
      <c r="B721" s="50"/>
      <c r="C721" s="50"/>
      <c r="D721" s="51"/>
      <c r="E721" s="50"/>
      <c r="F721" s="54"/>
    </row>
    <row r="722" spans="2:6" s="44" customFormat="1" x14ac:dyDescent="0.2">
      <c r="B722" s="50"/>
      <c r="C722" s="50"/>
      <c r="D722" s="51"/>
      <c r="E722" s="50"/>
      <c r="F722" s="54"/>
    </row>
    <row r="723" spans="2:6" s="44" customFormat="1" x14ac:dyDescent="0.2">
      <c r="B723" s="50"/>
      <c r="C723" s="50"/>
      <c r="D723" s="51"/>
      <c r="E723" s="50"/>
      <c r="F723" s="54"/>
    </row>
    <row r="724" spans="2:6" s="44" customFormat="1" x14ac:dyDescent="0.2">
      <c r="B724" s="50"/>
      <c r="C724" s="50"/>
      <c r="D724" s="51"/>
      <c r="E724" s="50"/>
      <c r="F724" s="54"/>
    </row>
    <row r="725" spans="2:6" s="44" customFormat="1" x14ac:dyDescent="0.2">
      <c r="B725" s="50"/>
      <c r="C725" s="50"/>
      <c r="D725" s="51"/>
      <c r="E725" s="50"/>
      <c r="F725" s="54"/>
    </row>
    <row r="726" spans="2:6" s="44" customFormat="1" x14ac:dyDescent="0.2">
      <c r="B726" s="50"/>
      <c r="C726" s="50"/>
      <c r="D726" s="51"/>
      <c r="E726" s="50"/>
      <c r="F726" s="54"/>
    </row>
    <row r="727" spans="2:6" s="44" customFormat="1" x14ac:dyDescent="0.2">
      <c r="B727" s="50"/>
      <c r="C727" s="50"/>
      <c r="D727" s="51"/>
      <c r="E727" s="50"/>
      <c r="F727" s="54"/>
    </row>
    <row r="728" spans="2:6" s="44" customFormat="1" x14ac:dyDescent="0.2">
      <c r="B728" s="50"/>
      <c r="C728" s="50"/>
      <c r="D728" s="51"/>
      <c r="E728" s="50"/>
      <c r="F728" s="54"/>
    </row>
    <row r="729" spans="2:6" s="44" customFormat="1" x14ac:dyDescent="0.2">
      <c r="B729" s="50"/>
      <c r="C729" s="50"/>
      <c r="D729" s="51"/>
      <c r="E729" s="50"/>
      <c r="F729" s="54"/>
    </row>
    <row r="730" spans="2:6" s="44" customFormat="1" x14ac:dyDescent="0.2">
      <c r="B730" s="50"/>
      <c r="C730" s="50"/>
      <c r="D730" s="51"/>
      <c r="E730" s="50"/>
      <c r="F730" s="54"/>
    </row>
    <row r="731" spans="2:6" s="44" customFormat="1" x14ac:dyDescent="0.2">
      <c r="B731" s="50"/>
      <c r="C731" s="50"/>
      <c r="D731" s="51"/>
      <c r="E731" s="50"/>
      <c r="F731" s="54"/>
    </row>
    <row r="732" spans="2:6" s="44" customFormat="1" x14ac:dyDescent="0.2">
      <c r="B732" s="50"/>
      <c r="C732" s="50"/>
      <c r="D732" s="51"/>
      <c r="E732" s="50"/>
      <c r="F732" s="54"/>
    </row>
    <row r="733" spans="2:6" s="44" customFormat="1" x14ac:dyDescent="0.2">
      <c r="B733" s="50"/>
      <c r="C733" s="50"/>
      <c r="D733" s="51"/>
      <c r="E733" s="50"/>
      <c r="F733" s="54"/>
    </row>
    <row r="734" spans="2:6" s="44" customFormat="1" x14ac:dyDescent="0.2">
      <c r="B734" s="50"/>
      <c r="C734" s="50"/>
      <c r="D734" s="51"/>
      <c r="E734" s="50"/>
      <c r="F734" s="54"/>
    </row>
    <row r="735" spans="2:6" s="44" customFormat="1" x14ac:dyDescent="0.2">
      <c r="B735" s="50"/>
      <c r="C735" s="50"/>
      <c r="D735" s="51"/>
      <c r="E735" s="50"/>
      <c r="F735" s="54"/>
    </row>
    <row r="736" spans="2:6" s="44" customFormat="1" x14ac:dyDescent="0.2">
      <c r="B736" s="50"/>
      <c r="C736" s="50"/>
      <c r="D736" s="51"/>
      <c r="E736" s="50"/>
      <c r="F736" s="54"/>
    </row>
    <row r="737" spans="2:6" s="44" customFormat="1" x14ac:dyDescent="0.2">
      <c r="B737" s="50"/>
      <c r="C737" s="50"/>
      <c r="D737" s="51"/>
      <c r="E737" s="50"/>
      <c r="F737" s="54"/>
    </row>
    <row r="738" spans="2:6" s="44" customFormat="1" x14ac:dyDescent="0.2">
      <c r="B738" s="50"/>
      <c r="C738" s="50"/>
      <c r="D738" s="51"/>
      <c r="E738" s="50"/>
      <c r="F738" s="54"/>
    </row>
    <row r="739" spans="2:6" s="44" customFormat="1" x14ac:dyDescent="0.2">
      <c r="B739" s="50"/>
      <c r="C739" s="50"/>
      <c r="D739" s="51"/>
      <c r="E739" s="50"/>
      <c r="F739" s="54"/>
    </row>
    <row r="740" spans="2:6" s="44" customFormat="1" x14ac:dyDescent="0.2">
      <c r="B740" s="50"/>
      <c r="C740" s="50"/>
      <c r="D740" s="51"/>
      <c r="E740" s="50"/>
      <c r="F740" s="54"/>
    </row>
    <row r="741" spans="2:6" s="44" customFormat="1" x14ac:dyDescent="0.2">
      <c r="B741" s="50"/>
      <c r="C741" s="50"/>
      <c r="D741" s="51"/>
      <c r="E741" s="50"/>
      <c r="F741" s="54"/>
    </row>
    <row r="742" spans="2:6" s="44" customFormat="1" x14ac:dyDescent="0.2">
      <c r="B742" s="50"/>
      <c r="C742" s="50"/>
      <c r="D742" s="51"/>
      <c r="E742" s="50"/>
      <c r="F742" s="54"/>
    </row>
    <row r="743" spans="2:6" s="44" customFormat="1" x14ac:dyDescent="0.2">
      <c r="B743" s="50"/>
      <c r="C743" s="50"/>
      <c r="D743" s="51"/>
      <c r="E743" s="50"/>
      <c r="F743" s="54"/>
    </row>
    <row r="744" spans="2:6" s="44" customFormat="1" x14ac:dyDescent="0.2">
      <c r="B744" s="50"/>
      <c r="C744" s="50"/>
      <c r="D744" s="51"/>
      <c r="E744" s="50"/>
      <c r="F744" s="54"/>
    </row>
    <row r="745" spans="2:6" s="44" customFormat="1" x14ac:dyDescent="0.2">
      <c r="B745" s="50"/>
      <c r="C745" s="50"/>
      <c r="D745" s="51"/>
      <c r="E745" s="50"/>
      <c r="F745" s="54"/>
    </row>
    <row r="746" spans="2:6" s="44" customFormat="1" x14ac:dyDescent="0.2">
      <c r="B746" s="50"/>
      <c r="C746" s="50"/>
      <c r="D746" s="51"/>
      <c r="E746" s="50"/>
      <c r="F746" s="54"/>
    </row>
    <row r="747" spans="2:6" s="44" customFormat="1" x14ac:dyDescent="0.2">
      <c r="B747" s="50"/>
      <c r="C747" s="50"/>
      <c r="D747" s="51"/>
      <c r="E747" s="50"/>
      <c r="F747" s="54"/>
    </row>
    <row r="748" spans="2:6" s="44" customFormat="1" x14ac:dyDescent="0.2">
      <c r="B748" s="50"/>
      <c r="C748" s="50"/>
      <c r="D748" s="51"/>
      <c r="E748" s="50"/>
      <c r="F748" s="54"/>
    </row>
    <row r="749" spans="2:6" s="44" customFormat="1" x14ac:dyDescent="0.2">
      <c r="B749" s="50"/>
      <c r="C749" s="50"/>
      <c r="D749" s="51"/>
      <c r="E749" s="50"/>
      <c r="F749" s="54"/>
    </row>
    <row r="750" spans="2:6" s="44" customFormat="1" x14ac:dyDescent="0.2">
      <c r="B750" s="50"/>
      <c r="C750" s="50"/>
      <c r="D750" s="51"/>
      <c r="E750" s="50"/>
      <c r="F750" s="54"/>
    </row>
    <row r="751" spans="2:6" s="44" customFormat="1" x14ac:dyDescent="0.2">
      <c r="B751" s="50"/>
      <c r="C751" s="50"/>
      <c r="D751" s="51"/>
      <c r="E751" s="50"/>
      <c r="F751" s="54"/>
    </row>
    <row r="752" spans="2:6" s="44" customFormat="1" x14ac:dyDescent="0.2">
      <c r="B752" s="50"/>
      <c r="C752" s="50"/>
      <c r="D752" s="51"/>
      <c r="E752" s="50"/>
      <c r="F752" s="54"/>
    </row>
    <row r="753" spans="2:6" s="44" customFormat="1" x14ac:dyDescent="0.2">
      <c r="B753" s="50"/>
      <c r="C753" s="50"/>
      <c r="D753" s="51"/>
      <c r="E753" s="50"/>
      <c r="F753" s="54"/>
    </row>
    <row r="754" spans="2:6" s="44" customFormat="1" x14ac:dyDescent="0.2">
      <c r="B754" s="50"/>
      <c r="C754" s="50"/>
      <c r="D754" s="51"/>
      <c r="E754" s="50"/>
      <c r="F754" s="54"/>
    </row>
    <row r="755" spans="2:6" s="44" customFormat="1" x14ac:dyDescent="0.2">
      <c r="B755" s="50"/>
      <c r="C755" s="50"/>
      <c r="D755" s="51"/>
      <c r="E755" s="50"/>
      <c r="F755" s="54"/>
    </row>
    <row r="756" spans="2:6" s="44" customFormat="1" x14ac:dyDescent="0.2">
      <c r="B756" s="50"/>
      <c r="C756" s="50"/>
      <c r="D756" s="51"/>
      <c r="E756" s="50"/>
      <c r="F756" s="54"/>
    </row>
    <row r="757" spans="2:6" s="44" customFormat="1" x14ac:dyDescent="0.2">
      <c r="B757" s="50"/>
      <c r="C757" s="50"/>
      <c r="D757" s="51"/>
      <c r="E757" s="50"/>
      <c r="F757" s="54"/>
    </row>
    <row r="758" spans="2:6" s="44" customFormat="1" x14ac:dyDescent="0.2">
      <c r="B758" s="50"/>
      <c r="C758" s="50"/>
      <c r="D758" s="51"/>
      <c r="E758" s="50"/>
      <c r="F758" s="54"/>
    </row>
    <row r="759" spans="2:6" s="44" customFormat="1" x14ac:dyDescent="0.2">
      <c r="B759" s="50"/>
      <c r="C759" s="50"/>
      <c r="D759" s="51"/>
      <c r="E759" s="50"/>
      <c r="F759" s="54"/>
    </row>
    <row r="760" spans="2:6" s="44" customFormat="1" x14ac:dyDescent="0.2">
      <c r="B760" s="50"/>
      <c r="C760" s="50"/>
      <c r="D760" s="51"/>
      <c r="E760" s="50"/>
      <c r="F760" s="54"/>
    </row>
    <row r="761" spans="2:6" s="44" customFormat="1" x14ac:dyDescent="0.2">
      <c r="B761" s="50"/>
      <c r="C761" s="50"/>
      <c r="D761" s="51"/>
      <c r="E761" s="50"/>
      <c r="F761" s="54"/>
    </row>
    <row r="762" spans="2:6" s="44" customFormat="1" x14ac:dyDescent="0.2">
      <c r="B762" s="50"/>
      <c r="C762" s="50"/>
      <c r="D762" s="51"/>
      <c r="E762" s="50"/>
      <c r="F762" s="54"/>
    </row>
    <row r="763" spans="2:6" s="44" customFormat="1" x14ac:dyDescent="0.2">
      <c r="B763" s="50"/>
      <c r="C763" s="50"/>
      <c r="D763" s="51"/>
      <c r="E763" s="50"/>
      <c r="F763" s="54"/>
    </row>
    <row r="764" spans="2:6" s="44" customFormat="1" x14ac:dyDescent="0.2">
      <c r="B764" s="50"/>
      <c r="C764" s="50"/>
      <c r="D764" s="51"/>
      <c r="E764" s="50"/>
      <c r="F764" s="54"/>
    </row>
    <row r="765" spans="2:6" s="44" customFormat="1" x14ac:dyDescent="0.2">
      <c r="B765" s="50"/>
      <c r="C765" s="50"/>
      <c r="D765" s="51"/>
      <c r="E765" s="50"/>
      <c r="F765" s="54"/>
    </row>
    <row r="766" spans="2:6" s="44" customFormat="1" x14ac:dyDescent="0.2">
      <c r="B766" s="50"/>
      <c r="C766" s="50"/>
      <c r="D766" s="51"/>
      <c r="E766" s="50"/>
      <c r="F766" s="54"/>
    </row>
    <row r="767" spans="2:6" s="44" customFormat="1" x14ac:dyDescent="0.2">
      <c r="B767" s="50"/>
      <c r="C767" s="50"/>
      <c r="D767" s="51"/>
      <c r="E767" s="50"/>
      <c r="F767" s="54"/>
    </row>
    <row r="768" spans="2:6" s="44" customFormat="1" x14ac:dyDescent="0.2">
      <c r="B768" s="50"/>
      <c r="C768" s="50"/>
      <c r="D768" s="51"/>
      <c r="E768" s="50"/>
      <c r="F768" s="54"/>
    </row>
    <row r="769" spans="2:6" s="44" customFormat="1" x14ac:dyDescent="0.2">
      <c r="B769" s="50"/>
      <c r="C769" s="50"/>
      <c r="D769" s="51"/>
      <c r="E769" s="50"/>
      <c r="F769" s="54"/>
    </row>
    <row r="770" spans="2:6" s="44" customFormat="1" x14ac:dyDescent="0.2">
      <c r="B770" s="50"/>
      <c r="C770" s="50"/>
      <c r="D770" s="51"/>
      <c r="E770" s="50"/>
      <c r="F770" s="54"/>
    </row>
    <row r="771" spans="2:6" s="44" customFormat="1" x14ac:dyDescent="0.2">
      <c r="B771" s="50"/>
      <c r="C771" s="50"/>
      <c r="D771" s="51"/>
      <c r="E771" s="50"/>
      <c r="F771" s="54"/>
    </row>
    <row r="772" spans="2:6" s="44" customFormat="1" x14ac:dyDescent="0.2">
      <c r="B772" s="50"/>
      <c r="C772" s="50"/>
      <c r="D772" s="51"/>
      <c r="E772" s="50"/>
      <c r="F772" s="54"/>
    </row>
    <row r="773" spans="2:6" s="44" customFormat="1" x14ac:dyDescent="0.2">
      <c r="B773" s="50"/>
      <c r="C773" s="50"/>
      <c r="D773" s="51"/>
      <c r="E773" s="50"/>
      <c r="F773" s="54"/>
    </row>
    <row r="774" spans="2:6" s="44" customFormat="1" x14ac:dyDescent="0.2">
      <c r="B774" s="50"/>
      <c r="C774" s="50"/>
      <c r="D774" s="51"/>
      <c r="E774" s="50"/>
      <c r="F774" s="54"/>
    </row>
    <row r="775" spans="2:6" s="44" customFormat="1" x14ac:dyDescent="0.2">
      <c r="B775" s="50"/>
      <c r="C775" s="50"/>
      <c r="D775" s="51"/>
      <c r="E775" s="50"/>
      <c r="F775" s="54"/>
    </row>
    <row r="776" spans="2:6" s="44" customFormat="1" x14ac:dyDescent="0.2">
      <c r="B776" s="50"/>
      <c r="C776" s="50"/>
      <c r="D776" s="51"/>
      <c r="E776" s="50"/>
      <c r="F776" s="54"/>
    </row>
    <row r="777" spans="2:6" s="44" customFormat="1" x14ac:dyDescent="0.2">
      <c r="B777" s="50"/>
      <c r="C777" s="50"/>
      <c r="D777" s="51"/>
      <c r="E777" s="50"/>
      <c r="F777" s="54"/>
    </row>
    <row r="778" spans="2:6" s="44" customFormat="1" x14ac:dyDescent="0.2">
      <c r="B778" s="50"/>
      <c r="C778" s="50"/>
      <c r="D778" s="51"/>
      <c r="E778" s="50"/>
      <c r="F778" s="54"/>
    </row>
  </sheetData>
  <mergeCells count="76">
    <mergeCell ref="B191:F191"/>
    <mergeCell ref="B192:F192"/>
    <mergeCell ref="B194:C194"/>
    <mergeCell ref="B195:C195"/>
    <mergeCell ref="A177:A181"/>
    <mergeCell ref="B177:B178"/>
    <mergeCell ref="B179:B180"/>
    <mergeCell ref="B185:C185"/>
    <mergeCell ref="B184:C184"/>
    <mergeCell ref="C133:C140"/>
    <mergeCell ref="C141:C154"/>
    <mergeCell ref="C155:C157"/>
    <mergeCell ref="C173:C175"/>
    <mergeCell ref="B182:E182"/>
    <mergeCell ref="B158:E158"/>
    <mergeCell ref="B159:B160"/>
    <mergeCell ref="B161:B162"/>
    <mergeCell ref="B164:C164"/>
    <mergeCell ref="B165:F165"/>
    <mergeCell ref="B167:B174"/>
    <mergeCell ref="C167:C171"/>
    <mergeCell ref="B166:E166"/>
    <mergeCell ref="B176:E176"/>
    <mergeCell ref="B133:B157"/>
    <mergeCell ref="C122:C127"/>
    <mergeCell ref="C128:C129"/>
    <mergeCell ref="B88:E88"/>
    <mergeCell ref="B89:B91"/>
    <mergeCell ref="C89:C90"/>
    <mergeCell ref="B92:E92"/>
    <mergeCell ref="B93:B105"/>
    <mergeCell ref="C93:C103"/>
    <mergeCell ref="C104:C105"/>
    <mergeCell ref="B106:E106"/>
    <mergeCell ref="B107:B129"/>
    <mergeCell ref="C109:C115"/>
    <mergeCell ref="C116:C121"/>
    <mergeCell ref="B80:B87"/>
    <mergeCell ref="C81:C84"/>
    <mergeCell ref="B51:B53"/>
    <mergeCell ref="C51:C53"/>
    <mergeCell ref="B54:E54"/>
    <mergeCell ref="B55:B59"/>
    <mergeCell ref="C55:C58"/>
    <mergeCell ref="B60:E60"/>
    <mergeCell ref="B61:B65"/>
    <mergeCell ref="C61:C64"/>
    <mergeCell ref="B66:E66"/>
    <mergeCell ref="B67:B79"/>
    <mergeCell ref="C67:C72"/>
    <mergeCell ref="A48:A50"/>
    <mergeCell ref="B48:B50"/>
    <mergeCell ref="C49:C50"/>
    <mergeCell ref="B22:E22"/>
    <mergeCell ref="B23:B28"/>
    <mergeCell ref="A25:A28"/>
    <mergeCell ref="A29:A30"/>
    <mergeCell ref="B29:B30"/>
    <mergeCell ref="A31:A33"/>
    <mergeCell ref="B31:B35"/>
    <mergeCell ref="B36:B37"/>
    <mergeCell ref="B38:E38"/>
    <mergeCell ref="B39:B47"/>
    <mergeCell ref="A40:A41"/>
    <mergeCell ref="C45:C47"/>
    <mergeCell ref="B12:B18"/>
    <mergeCell ref="C13:C18"/>
    <mergeCell ref="B19:E19"/>
    <mergeCell ref="B20:B21"/>
    <mergeCell ref="C20:C21"/>
    <mergeCell ref="B7:E7"/>
    <mergeCell ref="B8:B10"/>
    <mergeCell ref="C8:C9"/>
    <mergeCell ref="B1:F3"/>
    <mergeCell ref="B11:E11"/>
    <mergeCell ref="B4:F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SGTO POAI SEPT 30</vt:lpstr>
      <vt:lpstr>LISTA PROYECTOS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2020-07-04T13:49:41Z</dcterms:created>
  <dcterms:modified xsi:type="dcterms:W3CDTF">2020-11-27T20:14:47Z</dcterms:modified>
</cp:coreProperties>
</file>