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usuario\Desktop\PUBLICAR\"/>
    </mc:Choice>
  </mc:AlternateContent>
  <bookViews>
    <workbookView xWindow="0" yWindow="0" windowWidth="20490" windowHeight="7755"/>
  </bookViews>
  <sheets>
    <sheet name="POAI IV TRIM 2020" sheetId="8" r:id="rId1"/>
    <sheet name="LISTA PROYECTOS" sheetId="7" r:id="rId2"/>
    <sheet name="PROGRAMAS " sheetId="11" r:id="rId3"/>
    <sheet name="LINEAS ESTRATEGICAS" sheetId="9" r:id="rId4"/>
  </sheets>
  <definedNames>
    <definedName name="_1._Apoyo_con_equipos_para_la_seguridad_vial_Licenciamiento_de_software_para_comunicaciones" localSheetId="0">#REF!</definedName>
    <definedName name="_1._Apoyo_con_equipos_para_la_seguridad_vial_Licenciamiento_de_software_para_comunicaciones">#REF!</definedName>
    <definedName name="_xlnm._FilterDatabase" localSheetId="1" hidden="1">'LISTA PROYECTOS'!$A$23:$J$23</definedName>
    <definedName name="_xlnm._FilterDatabase" localSheetId="0" hidden="1">'POAI IV TRIM 2020'!$A$6:$AI$389</definedName>
    <definedName name="CODIGO_DIVIPOLA">#REF!</definedName>
    <definedName name="DboREGISTRO_LEY_617">#REF!</definedName>
    <definedName name="ññ">#REF!</definedName>
  </definedNames>
  <calcPr calcId="152511"/>
</workbook>
</file>

<file path=xl/calcChain.xml><?xml version="1.0" encoding="utf-8"?>
<calcChain xmlns="http://schemas.openxmlformats.org/spreadsheetml/2006/main">
  <c r="B21" i="11" l="1"/>
  <c r="E175" i="7"/>
  <c r="D175" i="7"/>
  <c r="AF387" i="8"/>
  <c r="AF386" i="8"/>
  <c r="AF385" i="8"/>
  <c r="AF384" i="8"/>
  <c r="AE383" i="8"/>
  <c r="AE382" i="8" s="1"/>
  <c r="AE381" i="8" s="1"/>
  <c r="AD383" i="8"/>
  <c r="AD382" i="8" s="1"/>
  <c r="AD381" i="8" s="1"/>
  <c r="AC383" i="8"/>
  <c r="AC382" i="8" s="1"/>
  <c r="AC381" i="8" s="1"/>
  <c r="AB383" i="8"/>
  <c r="AB382" i="8" s="1"/>
  <c r="AB381" i="8" s="1"/>
  <c r="AA383" i="8"/>
  <c r="AA382" i="8" s="1"/>
  <c r="AA381" i="8" s="1"/>
  <c r="Z383" i="8"/>
  <c r="Z382" i="8" s="1"/>
  <c r="Z381" i="8" s="1"/>
  <c r="Y383" i="8"/>
  <c r="Y382" i="8" s="1"/>
  <c r="Y381" i="8" s="1"/>
  <c r="X383" i="8"/>
  <c r="X382" i="8" s="1"/>
  <c r="X381" i="8" s="1"/>
  <c r="W383" i="8"/>
  <c r="W382" i="8" s="1"/>
  <c r="W381" i="8" s="1"/>
  <c r="V383" i="8"/>
  <c r="V382" i="8" s="1"/>
  <c r="V381" i="8" s="1"/>
  <c r="U383" i="8"/>
  <c r="U382" i="8" s="1"/>
  <c r="U381" i="8" s="1"/>
  <c r="T383" i="8"/>
  <c r="T382" i="8" s="1"/>
  <c r="T381" i="8" s="1"/>
  <c r="S383" i="8"/>
  <c r="S382" i="8" s="1"/>
  <c r="S381" i="8" s="1"/>
  <c r="AD380" i="8"/>
  <c r="AF380" i="8" s="1"/>
  <c r="F181" i="7" s="1"/>
  <c r="AE379" i="8"/>
  <c r="AE378" i="8" s="1"/>
  <c r="AC379" i="8"/>
  <c r="AC378" i="8" s="1"/>
  <c r="AB379" i="8"/>
  <c r="AB378" i="8" s="1"/>
  <c r="AA379" i="8"/>
  <c r="AA378" i="8" s="1"/>
  <c r="Z379" i="8"/>
  <c r="Z378" i="8" s="1"/>
  <c r="Y379" i="8"/>
  <c r="Y378" i="8" s="1"/>
  <c r="X379" i="8"/>
  <c r="X378" i="8" s="1"/>
  <c r="W379" i="8"/>
  <c r="W378" i="8" s="1"/>
  <c r="V379" i="8"/>
  <c r="V378" i="8" s="1"/>
  <c r="U379" i="8"/>
  <c r="U378" i="8" s="1"/>
  <c r="T379" i="8"/>
  <c r="T378" i="8" s="1"/>
  <c r="S379" i="8"/>
  <c r="S378" i="8" s="1"/>
  <c r="AF377" i="8"/>
  <c r="AF376" i="8"/>
  <c r="AF375" i="8"/>
  <c r="AF374" i="8"/>
  <c r="AE373" i="8"/>
  <c r="AD373" i="8"/>
  <c r="AC373" i="8"/>
  <c r="AB373" i="8"/>
  <c r="AA373" i="8"/>
  <c r="Z373" i="8"/>
  <c r="Y373" i="8"/>
  <c r="X373" i="8"/>
  <c r="W373" i="8"/>
  <c r="V373" i="8"/>
  <c r="U373" i="8"/>
  <c r="T373" i="8"/>
  <c r="S373" i="8"/>
  <c r="AF372" i="8"/>
  <c r="AE371" i="8"/>
  <c r="AD371" i="8"/>
  <c r="AC371" i="8"/>
  <c r="AB371" i="8"/>
  <c r="AA371" i="8"/>
  <c r="Z371" i="8"/>
  <c r="Y371" i="8"/>
  <c r="X371" i="8"/>
  <c r="W371" i="8"/>
  <c r="V371" i="8"/>
  <c r="U371" i="8"/>
  <c r="T371" i="8"/>
  <c r="S371" i="8"/>
  <c r="S369" i="8"/>
  <c r="AF369" i="8" s="1"/>
  <c r="F178" i="7" s="1"/>
  <c r="AE368" i="8"/>
  <c r="AD368" i="8"/>
  <c r="AC368" i="8"/>
  <c r="AB368" i="8"/>
  <c r="AA368" i="8"/>
  <c r="Z368" i="8"/>
  <c r="Y368" i="8"/>
  <c r="X368" i="8"/>
  <c r="W368" i="8"/>
  <c r="V368" i="8"/>
  <c r="U368" i="8"/>
  <c r="T368" i="8"/>
  <c r="S367" i="8"/>
  <c r="AE366" i="8"/>
  <c r="AD366" i="8"/>
  <c r="AC366" i="8"/>
  <c r="AB366" i="8"/>
  <c r="AA366" i="8"/>
  <c r="Z366" i="8"/>
  <c r="Y366" i="8"/>
  <c r="X366" i="8"/>
  <c r="W366" i="8"/>
  <c r="V366" i="8"/>
  <c r="U366" i="8"/>
  <c r="T366" i="8"/>
  <c r="AE365" i="8"/>
  <c r="AD365" i="8"/>
  <c r="AC365" i="8"/>
  <c r="AB365" i="8"/>
  <c r="AA365" i="8"/>
  <c r="Z365" i="8"/>
  <c r="Y365" i="8"/>
  <c r="X365" i="8"/>
  <c r="W365" i="8"/>
  <c r="V365" i="8"/>
  <c r="U365" i="8"/>
  <c r="T365" i="8"/>
  <c r="AF363" i="8"/>
  <c r="F175" i="7" s="1"/>
  <c r="AD362" i="8"/>
  <c r="AF362" i="8" s="1"/>
  <c r="F174" i="7" s="1"/>
  <c r="AF361" i="8"/>
  <c r="AE360" i="8"/>
  <c r="AC360" i="8"/>
  <c r="AB360" i="8"/>
  <c r="AA360" i="8"/>
  <c r="Z360" i="8"/>
  <c r="Y360" i="8"/>
  <c r="X360" i="8"/>
  <c r="W360" i="8"/>
  <c r="V360" i="8"/>
  <c r="U360" i="8"/>
  <c r="T360" i="8"/>
  <c r="S360" i="8"/>
  <c r="AF359" i="8"/>
  <c r="AD358" i="8"/>
  <c r="AC358" i="8"/>
  <c r="AC347" i="8" s="1"/>
  <c r="AF357" i="8"/>
  <c r="AD356" i="8"/>
  <c r="AF356" i="8" s="1"/>
  <c r="AD355" i="8"/>
  <c r="AF354" i="8"/>
  <c r="AF353" i="8"/>
  <c r="AD352" i="8"/>
  <c r="AF352" i="8" s="1"/>
  <c r="AD351" i="8"/>
  <c r="AF351" i="8" s="1"/>
  <c r="AD350" i="8"/>
  <c r="AF350" i="8" s="1"/>
  <c r="F168" i="7" s="1"/>
  <c r="AD349" i="8"/>
  <c r="AF349" i="8" s="1"/>
  <c r="AD348" i="8"/>
  <c r="AF348" i="8" s="1"/>
  <c r="AE347" i="8"/>
  <c r="AB347" i="8"/>
  <c r="AA347" i="8"/>
  <c r="Z347" i="8"/>
  <c r="Y347" i="8"/>
  <c r="X347" i="8"/>
  <c r="W347" i="8"/>
  <c r="V347" i="8"/>
  <c r="U347" i="8"/>
  <c r="T347" i="8"/>
  <c r="S347" i="8"/>
  <c r="AC343" i="8"/>
  <c r="AF343" i="8" s="1"/>
  <c r="AF342" i="8"/>
  <c r="AE341" i="8"/>
  <c r="AE340" i="8" s="1"/>
  <c r="AD341" i="8"/>
  <c r="AD340" i="8" s="1"/>
  <c r="AB341" i="8"/>
  <c r="AB340" i="8" s="1"/>
  <c r="AA341" i="8"/>
  <c r="AA340" i="8" s="1"/>
  <c r="Z341" i="8"/>
  <c r="Z340" i="8" s="1"/>
  <c r="Y341" i="8"/>
  <c r="Y340" i="8" s="1"/>
  <c r="X341" i="8"/>
  <c r="X340" i="8" s="1"/>
  <c r="W341" i="8"/>
  <c r="W340" i="8" s="1"/>
  <c r="V341" i="8"/>
  <c r="V340" i="8" s="1"/>
  <c r="U341" i="8"/>
  <c r="U340" i="8" s="1"/>
  <c r="T341" i="8"/>
  <c r="T340" i="8" s="1"/>
  <c r="S341" i="8"/>
  <c r="S340" i="8" s="1"/>
  <c r="AF339" i="8"/>
  <c r="AE338" i="8"/>
  <c r="AD338" i="8"/>
  <c r="AC338" i="8"/>
  <c r="AB338" i="8"/>
  <c r="AA338" i="8"/>
  <c r="Z338" i="8"/>
  <c r="Y338" i="8"/>
  <c r="X338" i="8"/>
  <c r="W338" i="8"/>
  <c r="V338" i="8"/>
  <c r="U338" i="8"/>
  <c r="T338" i="8"/>
  <c r="S338" i="8"/>
  <c r="AC337" i="8"/>
  <c r="AE336" i="8"/>
  <c r="AD336" i="8"/>
  <c r="AB336" i="8"/>
  <c r="AA336" i="8"/>
  <c r="Z336" i="8"/>
  <c r="Y336" i="8"/>
  <c r="X336" i="8"/>
  <c r="W336" i="8"/>
  <c r="V336" i="8"/>
  <c r="U336" i="8"/>
  <c r="T336" i="8"/>
  <c r="S336" i="8"/>
  <c r="AF334" i="8"/>
  <c r="F160" i="7" s="1"/>
  <c r="AE333" i="8"/>
  <c r="AD333" i="8"/>
  <c r="AC333" i="8"/>
  <c r="AB333" i="8"/>
  <c r="AA333" i="8"/>
  <c r="Z333" i="8"/>
  <c r="Y333" i="8"/>
  <c r="X333" i="8"/>
  <c r="W333" i="8"/>
  <c r="V333" i="8"/>
  <c r="U333" i="8"/>
  <c r="T333" i="8"/>
  <c r="S333" i="8"/>
  <c r="AC332" i="8"/>
  <c r="AF332" i="8" s="1"/>
  <c r="AC331" i="8"/>
  <c r="AF331" i="8" s="1"/>
  <c r="AE330" i="8"/>
  <c r="AD330" i="8"/>
  <c r="AB330" i="8"/>
  <c r="AA330" i="8"/>
  <c r="Z330" i="8"/>
  <c r="Y330" i="8"/>
  <c r="X330" i="8"/>
  <c r="W330" i="8"/>
  <c r="V330" i="8"/>
  <c r="U330" i="8"/>
  <c r="T330" i="8"/>
  <c r="S330" i="8"/>
  <c r="AC327" i="8"/>
  <c r="AC320" i="8" s="1"/>
  <c r="W327" i="8"/>
  <c r="AE326" i="8"/>
  <c r="AD326" i="8"/>
  <c r="AD320" i="8" s="1"/>
  <c r="X326" i="8"/>
  <c r="W326" i="8"/>
  <c r="W325" i="8"/>
  <c r="AF325" i="8" s="1"/>
  <c r="AE323" i="8"/>
  <c r="AF323" i="8" s="1"/>
  <c r="X322" i="8"/>
  <c r="AF321" i="8"/>
  <c r="AB320" i="8"/>
  <c r="AA320" i="8"/>
  <c r="Z320" i="8"/>
  <c r="Y320" i="8"/>
  <c r="V320" i="8"/>
  <c r="U320" i="8"/>
  <c r="T320" i="8"/>
  <c r="S320" i="8"/>
  <c r="W319" i="8"/>
  <c r="AF319" i="8" s="1"/>
  <c r="F154" i="7" s="1"/>
  <c r="AC318" i="8"/>
  <c r="AF318" i="8" s="1"/>
  <c r="F153" i="7" s="1"/>
  <c r="W317" i="8"/>
  <c r="AF317" i="8" s="1"/>
  <c r="F152" i="7" s="1"/>
  <c r="W316" i="8"/>
  <c r="AF316" i="8" s="1"/>
  <c r="F151" i="7" s="1"/>
  <c r="W315" i="8"/>
  <c r="AF315" i="8" s="1"/>
  <c r="W314" i="8"/>
  <c r="AF314" i="8" s="1"/>
  <c r="AF313" i="8"/>
  <c r="F149" i="7" s="1"/>
  <c r="AE312" i="8"/>
  <c r="AF312" i="8" s="1"/>
  <c r="W311" i="8"/>
  <c r="AF311" i="8" s="1"/>
  <c r="AE310" i="8"/>
  <c r="AF310" i="8" s="1"/>
  <c r="AE309" i="8"/>
  <c r="AC309" i="8"/>
  <c r="W309" i="8"/>
  <c r="AC308" i="8"/>
  <c r="AF308" i="8" s="1"/>
  <c r="W307" i="8"/>
  <c r="AF307" i="8" s="1"/>
  <c r="AF306" i="8"/>
  <c r="W305" i="8"/>
  <c r="AF305" i="8" s="1"/>
  <c r="AF304" i="8"/>
  <c r="W303" i="8"/>
  <c r="AF303" i="8" s="1"/>
  <c r="W302" i="8"/>
  <c r="AF302" i="8" s="1"/>
  <c r="W301" i="8"/>
  <c r="AF301" i="8" s="1"/>
  <c r="W300" i="8"/>
  <c r="AF300" i="8" s="1"/>
  <c r="W299" i="8"/>
  <c r="AF299" i="8" s="1"/>
  <c r="W298" i="8"/>
  <c r="W297" i="8"/>
  <c r="AF297" i="8" s="1"/>
  <c r="AF296" i="8"/>
  <c r="W295" i="8"/>
  <c r="AF295" i="8" s="1"/>
  <c r="W294" i="8"/>
  <c r="AF294" i="8" s="1"/>
  <c r="W293" i="8"/>
  <c r="AF293" i="8" s="1"/>
  <c r="W292" i="8"/>
  <c r="AF292" i="8" s="1"/>
  <c r="W291" i="8"/>
  <c r="AF291" i="8" s="1"/>
  <c r="AF290" i="8"/>
  <c r="AD289" i="8"/>
  <c r="AB289" i="8"/>
  <c r="AA289" i="8"/>
  <c r="Z289" i="8"/>
  <c r="Y289" i="8"/>
  <c r="X289" i="8"/>
  <c r="V289" i="8"/>
  <c r="U289" i="8"/>
  <c r="T289" i="8"/>
  <c r="S289" i="8"/>
  <c r="X288" i="8"/>
  <c r="AF288" i="8" s="1"/>
  <c r="X287" i="8"/>
  <c r="AF287" i="8" s="1"/>
  <c r="X286" i="8"/>
  <c r="AF286" i="8" s="1"/>
  <c r="AF285" i="8"/>
  <c r="AF284" i="8"/>
  <c r="AF283" i="8"/>
  <c r="AF282" i="8"/>
  <c r="AC281" i="8"/>
  <c r="AF281" i="8" s="1"/>
  <c r="AF280" i="8"/>
  <c r="F138" i="7" s="1"/>
  <c r="W279" i="8"/>
  <c r="AF279" i="8" s="1"/>
  <c r="F137" i="7" s="1"/>
  <c r="AF278" i="8"/>
  <c r="W277" i="8"/>
  <c r="AF277" i="8" s="1"/>
  <c r="AC276" i="8"/>
  <c r="W276" i="8"/>
  <c r="W275" i="8"/>
  <c r="AF275" i="8" s="1"/>
  <c r="AF274" i="8"/>
  <c r="AF273" i="8"/>
  <c r="W272" i="8"/>
  <c r="AF272" i="8" s="1"/>
  <c r="W271" i="8"/>
  <c r="AF271" i="8" s="1"/>
  <c r="X270" i="8"/>
  <c r="W269" i="8"/>
  <c r="AF269" i="8" s="1"/>
  <c r="W268" i="8"/>
  <c r="AC267" i="8"/>
  <c r="W267" i="8"/>
  <c r="W266" i="8"/>
  <c r="AF266" i="8" s="1"/>
  <c r="F133" i="7" s="1"/>
  <c r="AE265" i="8"/>
  <c r="AD265" i="8"/>
  <c r="AB265" i="8"/>
  <c r="AA265" i="8"/>
  <c r="Z265" i="8"/>
  <c r="Y265" i="8"/>
  <c r="V265" i="8"/>
  <c r="U265" i="8"/>
  <c r="T265" i="8"/>
  <c r="S265" i="8"/>
  <c r="AF262" i="8"/>
  <c r="AE261" i="8"/>
  <c r="AE260" i="8" s="1"/>
  <c r="AD261" i="8"/>
  <c r="AD260" i="8" s="1"/>
  <c r="AC261" i="8"/>
  <c r="AC260" i="8" s="1"/>
  <c r="AB261" i="8"/>
  <c r="AB260" i="8" s="1"/>
  <c r="AA261" i="8"/>
  <c r="AA260" i="8" s="1"/>
  <c r="Z261" i="8"/>
  <c r="Z260" i="8" s="1"/>
  <c r="Y261" i="8"/>
  <c r="Y260" i="8" s="1"/>
  <c r="X261" i="8"/>
  <c r="X260" i="8" s="1"/>
  <c r="W261" i="8"/>
  <c r="W260" i="8" s="1"/>
  <c r="V261" i="8"/>
  <c r="V260" i="8" s="1"/>
  <c r="U261" i="8"/>
  <c r="U260" i="8" s="1"/>
  <c r="T261" i="8"/>
  <c r="T260" i="8" s="1"/>
  <c r="S261" i="8"/>
  <c r="S260" i="8" s="1"/>
  <c r="AF259" i="8"/>
  <c r="F130" i="7" s="1"/>
  <c r="AE258" i="8"/>
  <c r="AE257" i="8" s="1"/>
  <c r="AD258" i="8"/>
  <c r="AD257" i="8" s="1"/>
  <c r="AC258" i="8"/>
  <c r="AC257" i="8" s="1"/>
  <c r="AB258" i="8"/>
  <c r="AB257" i="8" s="1"/>
  <c r="AA258" i="8"/>
  <c r="AA257" i="8" s="1"/>
  <c r="Z258" i="8"/>
  <c r="Z257" i="8" s="1"/>
  <c r="Y258" i="8"/>
  <c r="Y257" i="8" s="1"/>
  <c r="X258" i="8"/>
  <c r="X257" i="8" s="1"/>
  <c r="W258" i="8"/>
  <c r="W257" i="8" s="1"/>
  <c r="V258" i="8"/>
  <c r="V257" i="8" s="1"/>
  <c r="U258" i="8"/>
  <c r="U257" i="8" s="1"/>
  <c r="T258" i="8"/>
  <c r="T257" i="8" s="1"/>
  <c r="S258" i="8"/>
  <c r="S257" i="8" s="1"/>
  <c r="AF256" i="8"/>
  <c r="F129" i="7" s="1"/>
  <c r="AC255" i="8"/>
  <c r="AF255" i="8" s="1"/>
  <c r="AE254" i="8"/>
  <c r="AD254" i="8"/>
  <c r="AB254" i="8"/>
  <c r="AA254" i="8"/>
  <c r="Z254" i="8"/>
  <c r="Y254" i="8"/>
  <c r="X254" i="8"/>
  <c r="W254" i="8"/>
  <c r="V254" i="8"/>
  <c r="U254" i="8"/>
  <c r="T254" i="8"/>
  <c r="S254" i="8"/>
  <c r="AF253" i="8"/>
  <c r="F127" i="7" s="1"/>
  <c r="AF252" i="8"/>
  <c r="AC251" i="8"/>
  <c r="AF251" i="8" s="1"/>
  <c r="AC250" i="8"/>
  <c r="AF250" i="8" s="1"/>
  <c r="AC249" i="8"/>
  <c r="AF249" i="8" s="1"/>
  <c r="F125" i="7" s="1"/>
  <c r="AC248" i="8"/>
  <c r="AF247" i="8"/>
  <c r="F123" i="7" s="1"/>
  <c r="AC246" i="8"/>
  <c r="AF246" i="8" s="1"/>
  <c r="AC245" i="8"/>
  <c r="AF245" i="8" s="1"/>
  <c r="AE244" i="8"/>
  <c r="AD244" i="8"/>
  <c r="AB244" i="8"/>
  <c r="AA244" i="8"/>
  <c r="Z244" i="8"/>
  <c r="Y244" i="8"/>
  <c r="X244" i="8"/>
  <c r="W244" i="8"/>
  <c r="V244" i="8"/>
  <c r="U244" i="8"/>
  <c r="T244" i="8"/>
  <c r="S244" i="8"/>
  <c r="AC243" i="8"/>
  <c r="AF242" i="8"/>
  <c r="AF241" i="8"/>
  <c r="AF240" i="8"/>
  <c r="F119" i="7" s="1"/>
  <c r="AF239" i="8"/>
  <c r="F118" i="7" s="1"/>
  <c r="AF238" i="8"/>
  <c r="F117" i="7" s="1"/>
  <c r="AF237" i="8"/>
  <c r="AE236" i="8"/>
  <c r="AD236" i="8"/>
  <c r="AB236" i="8"/>
  <c r="AA236" i="8"/>
  <c r="Z236" i="8"/>
  <c r="Y236" i="8"/>
  <c r="X236" i="8"/>
  <c r="W236" i="8"/>
  <c r="V236" i="8"/>
  <c r="U236" i="8"/>
  <c r="T236" i="8"/>
  <c r="S236" i="8"/>
  <c r="AF235" i="8"/>
  <c r="F115" i="7" s="1"/>
  <c r="AF234" i="8"/>
  <c r="F114" i="7" s="1"/>
  <c r="AF233" i="8"/>
  <c r="F113" i="7" s="1"/>
  <c r="AC232" i="8"/>
  <c r="AF232" i="8" s="1"/>
  <c r="F112" i="7" s="1"/>
  <c r="AC231" i="8"/>
  <c r="AF231" i="8" s="1"/>
  <c r="F111" i="7" s="1"/>
  <c r="AC230" i="8"/>
  <c r="AF230" i="8" s="1"/>
  <c r="F110" i="7" s="1"/>
  <c r="AF229" i="8"/>
  <c r="AF228" i="8"/>
  <c r="AE227" i="8"/>
  <c r="AD227" i="8"/>
  <c r="AB227" i="8"/>
  <c r="AA227" i="8"/>
  <c r="Z227" i="8"/>
  <c r="Y227" i="8"/>
  <c r="X227" i="8"/>
  <c r="W227" i="8"/>
  <c r="V227" i="8"/>
  <c r="U227" i="8"/>
  <c r="T227" i="8"/>
  <c r="S227" i="8"/>
  <c r="AC226" i="8"/>
  <c r="AE225" i="8"/>
  <c r="AD225" i="8"/>
  <c r="AB225" i="8"/>
  <c r="AA225" i="8"/>
  <c r="Z225" i="8"/>
  <c r="Y225" i="8"/>
  <c r="X225" i="8"/>
  <c r="W225" i="8"/>
  <c r="V225" i="8"/>
  <c r="U225" i="8"/>
  <c r="T225" i="8"/>
  <c r="S225" i="8"/>
  <c r="AC224" i="8"/>
  <c r="AF224" i="8" s="1"/>
  <c r="AC223" i="8"/>
  <c r="AF223" i="8" s="1"/>
  <c r="AE222" i="8"/>
  <c r="AD222" i="8"/>
  <c r="AB222" i="8"/>
  <c r="AA222" i="8"/>
  <c r="Z222" i="8"/>
  <c r="Y222" i="8"/>
  <c r="X222" i="8"/>
  <c r="W222" i="8"/>
  <c r="V222" i="8"/>
  <c r="U222" i="8"/>
  <c r="T222" i="8"/>
  <c r="S222" i="8"/>
  <c r="AC219" i="8"/>
  <c r="AF219" i="8" s="1"/>
  <c r="F105" i="7" s="1"/>
  <c r="AC218" i="8"/>
  <c r="AF218" i="8" s="1"/>
  <c r="AE217" i="8"/>
  <c r="AD217" i="8"/>
  <c r="AB217" i="8"/>
  <c r="AA217" i="8"/>
  <c r="Z217" i="8"/>
  <c r="Y217" i="8"/>
  <c r="X217" i="8"/>
  <c r="W217" i="8"/>
  <c r="V217" i="8"/>
  <c r="U217" i="8"/>
  <c r="T217" i="8"/>
  <c r="S217" i="8"/>
  <c r="AF216" i="8"/>
  <c r="F103" i="7" s="1"/>
  <c r="AF215" i="8"/>
  <c r="AC214" i="8"/>
  <c r="AF214" i="8" s="1"/>
  <c r="AC213" i="8"/>
  <c r="AF213" i="8" s="1"/>
  <c r="AF212" i="8"/>
  <c r="Y211" i="8"/>
  <c r="AF211" i="8" s="1"/>
  <c r="AC210" i="8"/>
  <c r="AF210" i="8" s="1"/>
  <c r="F100" i="7" s="1"/>
  <c r="AC209" i="8"/>
  <c r="AF209" i="8" s="1"/>
  <c r="F99" i="7" s="1"/>
  <c r="AF208" i="8"/>
  <c r="F98" i="7" s="1"/>
  <c r="AC207" i="8"/>
  <c r="Y207" i="8"/>
  <c r="AE206" i="8"/>
  <c r="AF206" i="8" s="1"/>
  <c r="AC205" i="8"/>
  <c r="AF205" i="8" s="1"/>
  <c r="AC204" i="8"/>
  <c r="AF204" i="8" s="1"/>
  <c r="Y203" i="8"/>
  <c r="AF203" i="8" s="1"/>
  <c r="AC202" i="8"/>
  <c r="AF202" i="8" s="1"/>
  <c r="Y201" i="8"/>
  <c r="AF201" i="8" s="1"/>
  <c r="F96" i="7" s="1"/>
  <c r="Z195" i="8"/>
  <c r="AF200" i="8"/>
  <c r="F95" i="7" s="1"/>
  <c r="Y199" i="8"/>
  <c r="AF199" i="8" s="1"/>
  <c r="Y198" i="8"/>
  <c r="AF198" i="8" s="1"/>
  <c r="AA197" i="8"/>
  <c r="AA195" i="8" s="1"/>
  <c r="V197" i="8"/>
  <c r="AC196" i="8"/>
  <c r="V196" i="8"/>
  <c r="AD195" i="8"/>
  <c r="AB195" i="8"/>
  <c r="X195" i="8"/>
  <c r="W195" i="8"/>
  <c r="U195" i="8"/>
  <c r="T195" i="8"/>
  <c r="S195" i="8"/>
  <c r="AF192" i="8"/>
  <c r="AE191" i="8"/>
  <c r="AD191" i="8"/>
  <c r="AC191" i="8"/>
  <c r="AB191" i="8"/>
  <c r="AA191" i="8"/>
  <c r="Z191" i="8"/>
  <c r="Y191" i="8"/>
  <c r="X191" i="8"/>
  <c r="W191" i="8"/>
  <c r="V191" i="8"/>
  <c r="U191" i="8"/>
  <c r="T191" i="8"/>
  <c r="S191" i="8"/>
  <c r="AC190" i="8"/>
  <c r="AF189" i="8"/>
  <c r="F89" i="7" s="1"/>
  <c r="AE188" i="8"/>
  <c r="AD188" i="8"/>
  <c r="AB188" i="8"/>
  <c r="AA188" i="8"/>
  <c r="Z188" i="8"/>
  <c r="Y188" i="8"/>
  <c r="X188" i="8"/>
  <c r="W188" i="8"/>
  <c r="V188" i="8"/>
  <c r="U188" i="8"/>
  <c r="T188" i="8"/>
  <c r="S188" i="8"/>
  <c r="AF185" i="8"/>
  <c r="F87" i="7" s="1"/>
  <c r="AE184" i="8"/>
  <c r="AD184" i="8"/>
  <c r="AC184" i="8"/>
  <c r="AB184" i="8"/>
  <c r="AA184" i="8"/>
  <c r="Z184" i="8"/>
  <c r="Y184" i="8"/>
  <c r="X184" i="8"/>
  <c r="W184" i="8"/>
  <c r="V184" i="8"/>
  <c r="U184" i="8"/>
  <c r="T184" i="8"/>
  <c r="S184" i="8"/>
  <c r="AF183" i="8"/>
  <c r="F86" i="7" s="1"/>
  <c r="AE182" i="8"/>
  <c r="AD182" i="8"/>
  <c r="AC182" i="8"/>
  <c r="AB182" i="8"/>
  <c r="AA182" i="8"/>
  <c r="Z182" i="8"/>
  <c r="Y182" i="8"/>
  <c r="X182" i="8"/>
  <c r="W182" i="8"/>
  <c r="V182" i="8"/>
  <c r="U182" i="8"/>
  <c r="T182" i="8"/>
  <c r="S182" i="8"/>
  <c r="AF181" i="8"/>
  <c r="AE180" i="8"/>
  <c r="AD180" i="8"/>
  <c r="AC180" i="8"/>
  <c r="AB180" i="8"/>
  <c r="AA180" i="8"/>
  <c r="Z180" i="8"/>
  <c r="Y180" i="8"/>
  <c r="X180" i="8"/>
  <c r="W180" i="8"/>
  <c r="V180" i="8"/>
  <c r="U180" i="8"/>
  <c r="T180" i="8"/>
  <c r="S180" i="8"/>
  <c r="AF179" i="8"/>
  <c r="F84" i="7" s="1"/>
  <c r="AF178" i="8"/>
  <c r="F83" i="7" s="1"/>
  <c r="AC177" i="8"/>
  <c r="AF177" i="8" s="1"/>
  <c r="AC176" i="8"/>
  <c r="AF176" i="8" s="1"/>
  <c r="AF175" i="8"/>
  <c r="F81" i="7" s="1"/>
  <c r="AE174" i="8"/>
  <c r="AD174" i="8"/>
  <c r="AB174" i="8"/>
  <c r="AA174" i="8"/>
  <c r="Z174" i="8"/>
  <c r="Y174" i="8"/>
  <c r="X174" i="8"/>
  <c r="W174" i="8"/>
  <c r="V174" i="8"/>
  <c r="U174" i="8"/>
  <c r="T174" i="8"/>
  <c r="S174" i="8"/>
  <c r="AF173" i="8"/>
  <c r="AE172" i="8"/>
  <c r="AD172" i="8"/>
  <c r="AC172" i="8"/>
  <c r="AB172" i="8"/>
  <c r="AA172" i="8"/>
  <c r="Z172" i="8"/>
  <c r="Y172" i="8"/>
  <c r="X172" i="8"/>
  <c r="W172" i="8"/>
  <c r="V172" i="8"/>
  <c r="U172" i="8"/>
  <c r="T172" i="8"/>
  <c r="S172" i="8"/>
  <c r="AC170" i="8"/>
  <c r="AF169" i="8"/>
  <c r="AE168" i="8"/>
  <c r="AD168" i="8"/>
  <c r="AB168" i="8"/>
  <c r="AA168" i="8"/>
  <c r="Z168" i="8"/>
  <c r="Y168" i="8"/>
  <c r="X168" i="8"/>
  <c r="W168" i="8"/>
  <c r="V168" i="8"/>
  <c r="U168" i="8"/>
  <c r="T168" i="8"/>
  <c r="S168" i="8"/>
  <c r="AC167" i="8"/>
  <c r="AF167" i="8" s="1"/>
  <c r="AC166" i="8"/>
  <c r="AF166" i="8" s="1"/>
  <c r="AE165" i="8"/>
  <c r="AD165" i="8"/>
  <c r="AB165" i="8"/>
  <c r="AA165" i="8"/>
  <c r="Z165" i="8"/>
  <c r="Y165" i="8"/>
  <c r="X165" i="8"/>
  <c r="W165" i="8"/>
  <c r="V165" i="8"/>
  <c r="U165" i="8"/>
  <c r="T165" i="8"/>
  <c r="S165" i="8"/>
  <c r="AF164" i="8"/>
  <c r="AC163" i="8"/>
  <c r="AF163" i="8" s="1"/>
  <c r="AE162" i="8"/>
  <c r="AD162" i="8"/>
  <c r="AB162" i="8"/>
  <c r="AA162" i="8"/>
  <c r="Z162" i="8"/>
  <c r="Y162" i="8"/>
  <c r="X162" i="8"/>
  <c r="W162" i="8"/>
  <c r="V162" i="8"/>
  <c r="U162" i="8"/>
  <c r="T162" i="8"/>
  <c r="S162" i="8"/>
  <c r="AF161" i="8"/>
  <c r="AE160" i="8"/>
  <c r="AD160" i="8"/>
  <c r="AC160" i="8"/>
  <c r="AB160" i="8"/>
  <c r="AA160" i="8"/>
  <c r="Z160" i="8"/>
  <c r="Y160" i="8"/>
  <c r="X160" i="8"/>
  <c r="W160" i="8"/>
  <c r="V160" i="8"/>
  <c r="U160" i="8"/>
  <c r="T160" i="8"/>
  <c r="S160" i="8"/>
  <c r="AC159" i="8"/>
  <c r="AC158" i="8" s="1"/>
  <c r="AE158" i="8"/>
  <c r="AD158" i="8"/>
  <c r="AB158" i="8"/>
  <c r="AA158" i="8"/>
  <c r="Z158" i="8"/>
  <c r="Y158" i="8"/>
  <c r="X158" i="8"/>
  <c r="W158" i="8"/>
  <c r="V158" i="8"/>
  <c r="U158" i="8"/>
  <c r="T158" i="8"/>
  <c r="S158" i="8"/>
  <c r="AF157" i="8"/>
  <c r="AC156" i="8"/>
  <c r="AF156" i="8" s="1"/>
  <c r="AE155" i="8"/>
  <c r="AD155" i="8"/>
  <c r="AB155" i="8"/>
  <c r="AA155" i="8"/>
  <c r="Z155" i="8"/>
  <c r="Y155" i="8"/>
  <c r="X155" i="8"/>
  <c r="W155" i="8"/>
  <c r="V155" i="8"/>
  <c r="U155" i="8"/>
  <c r="T155" i="8"/>
  <c r="S155" i="8"/>
  <c r="AC154" i="8"/>
  <c r="AF154" i="8" s="1"/>
  <c r="AE153" i="8"/>
  <c r="AD153" i="8"/>
  <c r="AB153" i="8"/>
  <c r="AA153" i="8"/>
  <c r="Z153" i="8"/>
  <c r="Y153" i="8"/>
  <c r="X153" i="8"/>
  <c r="W153" i="8"/>
  <c r="V153" i="8"/>
  <c r="U153" i="8"/>
  <c r="T153" i="8"/>
  <c r="S153" i="8"/>
  <c r="AF152" i="8"/>
  <c r="F72" i="7" s="1"/>
  <c r="AF151" i="8"/>
  <c r="AF150" i="8"/>
  <c r="AC149" i="8"/>
  <c r="AF149" i="8" s="1"/>
  <c r="AC148" i="8"/>
  <c r="AF148" i="8" s="1"/>
  <c r="AC147" i="8"/>
  <c r="AF147" i="8" s="1"/>
  <c r="AF146" i="8"/>
  <c r="AC145" i="8"/>
  <c r="AF144" i="8"/>
  <c r="F68" i="7" s="1"/>
  <c r="AC143" i="8"/>
  <c r="AF143" i="8" s="1"/>
  <c r="AC142" i="8"/>
  <c r="AF142" i="8" s="1"/>
  <c r="AE141" i="8"/>
  <c r="AD141" i="8"/>
  <c r="AB141" i="8"/>
  <c r="AA141" i="8"/>
  <c r="Z141" i="8"/>
  <c r="Y141" i="8"/>
  <c r="X141" i="8"/>
  <c r="W141" i="8"/>
  <c r="V141" i="8"/>
  <c r="U141" i="8"/>
  <c r="T141" i="8"/>
  <c r="S141" i="8"/>
  <c r="AF138" i="8"/>
  <c r="AF137" i="8"/>
  <c r="AF136" i="8"/>
  <c r="AC135" i="8"/>
  <c r="AE134" i="8"/>
  <c r="AD134" i="8"/>
  <c r="AB134" i="8"/>
  <c r="AA134" i="8"/>
  <c r="Z134" i="8"/>
  <c r="Y134" i="8"/>
  <c r="X134" i="8"/>
  <c r="W134" i="8"/>
  <c r="V134" i="8"/>
  <c r="U134" i="8"/>
  <c r="T134" i="8"/>
  <c r="S134" i="8"/>
  <c r="AD133" i="8"/>
  <c r="AF133" i="8" s="1"/>
  <c r="AC132" i="8"/>
  <c r="AF132" i="8" s="1"/>
  <c r="AC131" i="8"/>
  <c r="AF131" i="8" s="1"/>
  <c r="AC130" i="8"/>
  <c r="AF130" i="8" s="1"/>
  <c r="AC129" i="8"/>
  <c r="AF129" i="8" s="1"/>
  <c r="AC128" i="8"/>
  <c r="AF128" i="8" s="1"/>
  <c r="AC127" i="8"/>
  <c r="AF127" i="8" s="1"/>
  <c r="AC126" i="8"/>
  <c r="AE125" i="8"/>
  <c r="AB125" i="8"/>
  <c r="AA125" i="8"/>
  <c r="Z125" i="8"/>
  <c r="Y125" i="8"/>
  <c r="X125" i="8"/>
  <c r="W125" i="8"/>
  <c r="V125" i="8"/>
  <c r="U125" i="8"/>
  <c r="T125" i="8"/>
  <c r="S125" i="8"/>
  <c r="AD122" i="8"/>
  <c r="AD120" i="8" s="1"/>
  <c r="AC122" i="8"/>
  <c r="AC121" i="8"/>
  <c r="AE120" i="8"/>
  <c r="AB120" i="8"/>
  <c r="AA120" i="8"/>
  <c r="Z120" i="8"/>
  <c r="Y120" i="8"/>
  <c r="X120" i="8"/>
  <c r="W120" i="8"/>
  <c r="V120" i="8"/>
  <c r="U120" i="8"/>
  <c r="T120" i="8"/>
  <c r="S120" i="8"/>
  <c r="AC119" i="8"/>
  <c r="S119" i="8"/>
  <c r="AC118" i="8"/>
  <c r="AF118" i="8" s="1"/>
  <c r="F57" i="7" s="1"/>
  <c r="S117" i="8"/>
  <c r="AF117" i="8" s="1"/>
  <c r="AF116" i="8"/>
  <c r="AC115" i="8"/>
  <c r="S115" i="8"/>
  <c r="AC114" i="8"/>
  <c r="AE113" i="8"/>
  <c r="AD113" i="8"/>
  <c r="AB113" i="8"/>
  <c r="AA113" i="8"/>
  <c r="Z113" i="8"/>
  <c r="Y113" i="8"/>
  <c r="X113" i="8"/>
  <c r="W113" i="8"/>
  <c r="V113" i="8"/>
  <c r="U113" i="8"/>
  <c r="T113" i="8"/>
  <c r="AC110" i="8"/>
  <c r="AF110" i="8" s="1"/>
  <c r="F53" i="7" s="1"/>
  <c r="AF109" i="8"/>
  <c r="AC108" i="8"/>
  <c r="AF108" i="8" s="1"/>
  <c r="AC107" i="8"/>
  <c r="AF107" i="8" s="1"/>
  <c r="AC106" i="8"/>
  <c r="AF106" i="8" s="1"/>
  <c r="AE105" i="8"/>
  <c r="AE104" i="8" s="1"/>
  <c r="AD105" i="8"/>
  <c r="AD104" i="8" s="1"/>
  <c r="AB105" i="8"/>
  <c r="AB104" i="8" s="1"/>
  <c r="AA105" i="8"/>
  <c r="AA104" i="8" s="1"/>
  <c r="Z105" i="8"/>
  <c r="Y105" i="8"/>
  <c r="Y104" i="8" s="1"/>
  <c r="X105" i="8"/>
  <c r="X104" i="8" s="1"/>
  <c r="W105" i="8"/>
  <c r="W104" i="8" s="1"/>
  <c r="V105" i="8"/>
  <c r="V104" i="8" s="1"/>
  <c r="U105" i="8"/>
  <c r="U104" i="8" s="1"/>
  <c r="T105" i="8"/>
  <c r="T104" i="8" s="1"/>
  <c r="S105" i="8"/>
  <c r="S104" i="8" s="1"/>
  <c r="Z104" i="8"/>
  <c r="AC103" i="8"/>
  <c r="AF103" i="8" s="1"/>
  <c r="F50" i="7" s="1"/>
  <c r="AC102" i="8"/>
  <c r="AF102" i="8" s="1"/>
  <c r="AC101" i="8"/>
  <c r="AF101" i="8" s="1"/>
  <c r="AE100" i="8"/>
  <c r="AD100" i="8"/>
  <c r="AB100" i="8"/>
  <c r="AA100" i="8"/>
  <c r="Z100" i="8"/>
  <c r="Y100" i="8"/>
  <c r="X100" i="8"/>
  <c r="W100" i="8"/>
  <c r="V100" i="8"/>
  <c r="U100" i="8"/>
  <c r="T100" i="8"/>
  <c r="S100" i="8"/>
  <c r="AF99" i="8"/>
  <c r="AC98" i="8"/>
  <c r="AE97" i="8"/>
  <c r="AD97" i="8"/>
  <c r="AB97" i="8"/>
  <c r="AA97" i="8"/>
  <c r="AA96" i="8" s="1"/>
  <c r="Z97" i="8"/>
  <c r="Y97" i="8"/>
  <c r="X97" i="8"/>
  <c r="W97" i="8"/>
  <c r="W96" i="8" s="1"/>
  <c r="V97" i="8"/>
  <c r="U97" i="8"/>
  <c r="T97" i="8"/>
  <c r="S97" i="8"/>
  <c r="S96" i="8" s="1"/>
  <c r="AC95" i="8"/>
  <c r="AC92" i="8" s="1"/>
  <c r="AF94" i="8"/>
  <c r="F46" i="7" s="1"/>
  <c r="T93" i="8"/>
  <c r="T92" i="8" s="1"/>
  <c r="AE92" i="8"/>
  <c r="AB92" i="8"/>
  <c r="AA92" i="8"/>
  <c r="Z92" i="8"/>
  <c r="Y92" i="8"/>
  <c r="X92" i="8"/>
  <c r="W92" i="8"/>
  <c r="V92" i="8"/>
  <c r="U92" i="8"/>
  <c r="S92" i="8"/>
  <c r="AF91" i="8"/>
  <c r="AF90" i="8" s="1"/>
  <c r="AE90" i="8"/>
  <c r="AD90" i="8"/>
  <c r="AD75" i="8" s="1"/>
  <c r="AC90" i="8"/>
  <c r="AB90" i="8"/>
  <c r="AA90" i="8"/>
  <c r="Z90" i="8"/>
  <c r="Y90" i="8"/>
  <c r="X90" i="8"/>
  <c r="W90" i="8"/>
  <c r="V90" i="8"/>
  <c r="U90" i="8"/>
  <c r="T90" i="8"/>
  <c r="S90" i="8"/>
  <c r="AF89" i="8"/>
  <c r="AF88" i="8"/>
  <c r="AF87" i="8"/>
  <c r="AF86" i="8"/>
  <c r="AF85" i="8"/>
  <c r="AE84" i="8"/>
  <c r="AC84" i="8"/>
  <c r="AB84" i="8"/>
  <c r="AA84" i="8"/>
  <c r="Z84" i="8"/>
  <c r="Y84" i="8"/>
  <c r="X84" i="8"/>
  <c r="W84" i="8"/>
  <c r="V84" i="8"/>
  <c r="U84" i="8"/>
  <c r="T84" i="8"/>
  <c r="S84" i="8"/>
  <c r="AC83" i="8"/>
  <c r="AF83" i="8" s="1"/>
  <c r="AC81" i="8"/>
  <c r="AC79" i="8"/>
  <c r="AF79" i="8" s="1"/>
  <c r="AF77" i="8"/>
  <c r="F39" i="7" s="1"/>
  <c r="AC76" i="8"/>
  <c r="AF73" i="8"/>
  <c r="F37" i="7" s="1"/>
  <c r="AE72" i="8"/>
  <c r="AD72" i="8"/>
  <c r="AC72" i="8"/>
  <c r="AB72" i="8"/>
  <c r="AA72" i="8"/>
  <c r="Z72" i="8"/>
  <c r="Y72" i="8"/>
  <c r="X72" i="8"/>
  <c r="W72" i="8"/>
  <c r="V72" i="8"/>
  <c r="U72" i="8"/>
  <c r="T72" i="8"/>
  <c r="S72" i="8"/>
  <c r="AF71" i="8"/>
  <c r="F36" i="7" s="1"/>
  <c r="AE70" i="8"/>
  <c r="AD70" i="8"/>
  <c r="AC70" i="8"/>
  <c r="AB70" i="8"/>
  <c r="AA70" i="8"/>
  <c r="Z70" i="8"/>
  <c r="Y70" i="8"/>
  <c r="X70" i="8"/>
  <c r="W70" i="8"/>
  <c r="V70" i="8"/>
  <c r="U70" i="8"/>
  <c r="T70" i="8"/>
  <c r="S70" i="8"/>
  <c r="AF68" i="8"/>
  <c r="AF67" i="8"/>
  <c r="S66" i="8"/>
  <c r="AF66" i="8" s="1"/>
  <c r="AF65" i="8"/>
  <c r="AF64" i="8"/>
  <c r="AE63" i="8"/>
  <c r="AD63" i="8"/>
  <c r="AC63" i="8"/>
  <c r="AB63" i="8"/>
  <c r="AA63" i="8"/>
  <c r="Z63" i="8"/>
  <c r="Y63" i="8"/>
  <c r="X63" i="8"/>
  <c r="W63" i="8"/>
  <c r="V63" i="8"/>
  <c r="U63" i="8"/>
  <c r="T63" i="8"/>
  <c r="S62" i="8"/>
  <c r="AF62" i="8" s="1"/>
  <c r="F34" i="7" s="1"/>
  <c r="AE61" i="8"/>
  <c r="AD61" i="8"/>
  <c r="AC61" i="8"/>
  <c r="AB61" i="8"/>
  <c r="AA61" i="8"/>
  <c r="Z61" i="8"/>
  <c r="Y61" i="8"/>
  <c r="X61" i="8"/>
  <c r="W61" i="8"/>
  <c r="V61" i="8"/>
  <c r="U61" i="8"/>
  <c r="T61" i="8"/>
  <c r="AF60" i="8"/>
  <c r="F33" i="7" s="1"/>
  <c r="AE59" i="8"/>
  <c r="AD59" i="8"/>
  <c r="AC59" i="8"/>
  <c r="AB59" i="8"/>
  <c r="AA59" i="8"/>
  <c r="Z59" i="8"/>
  <c r="Y59" i="8"/>
  <c r="X59" i="8"/>
  <c r="W59" i="8"/>
  <c r="V59" i="8"/>
  <c r="U59" i="8"/>
  <c r="T59" i="8"/>
  <c r="S59" i="8"/>
  <c r="AF58" i="8"/>
  <c r="F32" i="7" s="1"/>
  <c r="AE57" i="8"/>
  <c r="AD57" i="8"/>
  <c r="AC57" i="8"/>
  <c r="AB57" i="8"/>
  <c r="AA57" i="8"/>
  <c r="Z57" i="8"/>
  <c r="Y57" i="8"/>
  <c r="X57" i="8"/>
  <c r="W57" i="8"/>
  <c r="V57" i="8"/>
  <c r="U57" i="8"/>
  <c r="T57" i="8"/>
  <c r="S57" i="8"/>
  <c r="AC56" i="8"/>
  <c r="AF56" i="8" s="1"/>
  <c r="AC55" i="8"/>
  <c r="U55" i="8"/>
  <c r="AE54" i="8"/>
  <c r="AD54" i="8"/>
  <c r="AB54" i="8"/>
  <c r="AA54" i="8"/>
  <c r="Z54" i="8"/>
  <c r="Y54" i="8"/>
  <c r="X54" i="8"/>
  <c r="W54" i="8"/>
  <c r="V54" i="8"/>
  <c r="T54" i="8"/>
  <c r="S54" i="8"/>
  <c r="AF52" i="8"/>
  <c r="F30" i="7" s="1"/>
  <c r="AE51" i="8"/>
  <c r="AD51" i="8"/>
  <c r="AC51" i="8"/>
  <c r="AB51" i="8"/>
  <c r="AA51" i="8"/>
  <c r="Z51" i="8"/>
  <c r="Y51" i="8"/>
  <c r="X51" i="8"/>
  <c r="W51" i="8"/>
  <c r="V51" i="8"/>
  <c r="U51" i="8"/>
  <c r="T51" i="8"/>
  <c r="S51" i="8"/>
  <c r="AC50" i="8"/>
  <c r="AF50" i="8" s="1"/>
  <c r="F29" i="7" s="1"/>
  <c r="AE49" i="8"/>
  <c r="AD49" i="8"/>
  <c r="AB49" i="8"/>
  <c r="AA49" i="8"/>
  <c r="Z49" i="8"/>
  <c r="Y49" i="8"/>
  <c r="X49" i="8"/>
  <c r="W49" i="8"/>
  <c r="V49" i="8"/>
  <c r="U49" i="8"/>
  <c r="T49" i="8"/>
  <c r="S49" i="8"/>
  <c r="S47" i="8"/>
  <c r="AF47" i="8" s="1"/>
  <c r="AF46" i="8" s="1"/>
  <c r="AE46" i="8"/>
  <c r="AD46" i="8"/>
  <c r="AC46" i="8"/>
  <c r="AB46" i="8"/>
  <c r="AA46" i="8"/>
  <c r="Z46" i="8"/>
  <c r="Y46" i="8"/>
  <c r="X46" i="8"/>
  <c r="W46" i="8"/>
  <c r="V46" i="8"/>
  <c r="U46" i="8"/>
  <c r="T46" i="8"/>
  <c r="S45" i="8"/>
  <c r="AF45" i="8" s="1"/>
  <c r="F27" i="7" s="1"/>
  <c r="AE44" i="8"/>
  <c r="AD44" i="8"/>
  <c r="AC44" i="8"/>
  <c r="AB44" i="8"/>
  <c r="AA44" i="8"/>
  <c r="Z44" i="8"/>
  <c r="Y44" i="8"/>
  <c r="X44" i="8"/>
  <c r="W44" i="8"/>
  <c r="V44" i="8"/>
  <c r="U44" i="8"/>
  <c r="T44" i="8"/>
  <c r="AC43" i="8"/>
  <c r="AF43" i="8" s="1"/>
  <c r="F26" i="7" s="1"/>
  <c r="AE42" i="8"/>
  <c r="AD42" i="8"/>
  <c r="AB42" i="8"/>
  <c r="AA42" i="8"/>
  <c r="Z42" i="8"/>
  <c r="Y42" i="8"/>
  <c r="X42" i="8"/>
  <c r="W42" i="8"/>
  <c r="V42" i="8"/>
  <c r="U42" i="8"/>
  <c r="T42" i="8"/>
  <c r="S42" i="8"/>
  <c r="S41" i="8"/>
  <c r="AF41" i="8" s="1"/>
  <c r="F25" i="7" s="1"/>
  <c r="AE40" i="8"/>
  <c r="AD40" i="8"/>
  <c r="AC40" i="8"/>
  <c r="AB40" i="8"/>
  <c r="AA40" i="8"/>
  <c r="Z40" i="8"/>
  <c r="Y40" i="8"/>
  <c r="X40" i="8"/>
  <c r="W40" i="8"/>
  <c r="V40" i="8"/>
  <c r="U40" i="8"/>
  <c r="T40" i="8"/>
  <c r="AC39" i="8"/>
  <c r="AC38" i="8" s="1"/>
  <c r="AE38" i="8"/>
  <c r="AD38" i="8"/>
  <c r="AB38" i="8"/>
  <c r="AA38" i="8"/>
  <c r="Z38" i="8"/>
  <c r="Y38" i="8"/>
  <c r="X38" i="8"/>
  <c r="W38" i="8"/>
  <c r="V38" i="8"/>
  <c r="U38" i="8"/>
  <c r="T38" i="8"/>
  <c r="AF37" i="8"/>
  <c r="F23" i="7" s="1"/>
  <c r="AE36" i="8"/>
  <c r="AD36" i="8"/>
  <c r="AC36" i="8"/>
  <c r="AB36" i="8"/>
  <c r="AA36" i="8"/>
  <c r="Z36" i="8"/>
  <c r="Y36" i="8"/>
  <c r="X36" i="8"/>
  <c r="W36" i="8"/>
  <c r="V36" i="8"/>
  <c r="U36" i="8"/>
  <c r="T36" i="8"/>
  <c r="S36" i="8"/>
  <c r="AF33" i="8"/>
  <c r="F21" i="7" s="1"/>
  <c r="AF32" i="8"/>
  <c r="F20" i="7" s="1"/>
  <c r="AE31" i="8"/>
  <c r="AE30" i="8" s="1"/>
  <c r="AE29" i="8" s="1"/>
  <c r="AD31" i="8"/>
  <c r="AD30" i="8" s="1"/>
  <c r="AD29" i="8" s="1"/>
  <c r="AC31" i="8"/>
  <c r="AC30" i="8" s="1"/>
  <c r="AC29" i="8" s="1"/>
  <c r="AB31" i="8"/>
  <c r="AB30" i="8" s="1"/>
  <c r="AB29" i="8" s="1"/>
  <c r="AA31" i="8"/>
  <c r="AA30" i="8" s="1"/>
  <c r="AA29" i="8" s="1"/>
  <c r="Z31" i="8"/>
  <c r="Z30" i="8" s="1"/>
  <c r="Z29" i="8" s="1"/>
  <c r="Y31" i="8"/>
  <c r="Y30" i="8" s="1"/>
  <c r="Y29" i="8" s="1"/>
  <c r="X31" i="8"/>
  <c r="X30" i="8" s="1"/>
  <c r="X29" i="8" s="1"/>
  <c r="W31" i="8"/>
  <c r="W30" i="8" s="1"/>
  <c r="W29" i="8" s="1"/>
  <c r="V31" i="8"/>
  <c r="V30" i="8" s="1"/>
  <c r="V29" i="8" s="1"/>
  <c r="U31" i="8"/>
  <c r="U30" i="8" s="1"/>
  <c r="U29" i="8" s="1"/>
  <c r="T31" i="8"/>
  <c r="T30" i="8" s="1"/>
  <c r="T29" i="8" s="1"/>
  <c r="S31" i="8"/>
  <c r="S30" i="8" s="1"/>
  <c r="S29" i="8" s="1"/>
  <c r="AC28" i="8"/>
  <c r="AF28" i="8" s="1"/>
  <c r="F18" i="7" s="1"/>
  <c r="AC27" i="8"/>
  <c r="AF27" i="8" s="1"/>
  <c r="AC26" i="8"/>
  <c r="AF26" i="8" s="1"/>
  <c r="AC25" i="8"/>
  <c r="AF25" i="8" s="1"/>
  <c r="AC24" i="8"/>
  <c r="AF24" i="8" s="1"/>
  <c r="AF23" i="8"/>
  <c r="AC22" i="8"/>
  <c r="AC21" i="8"/>
  <c r="AF21" i="8" s="1"/>
  <c r="F16" i="7" s="1"/>
  <c r="AC20" i="8"/>
  <c r="AF20" i="8" s="1"/>
  <c r="F15" i="7" s="1"/>
  <c r="AC19" i="8"/>
  <c r="AF19" i="8" s="1"/>
  <c r="F14" i="7" s="1"/>
  <c r="AF18" i="8"/>
  <c r="F13" i="7" s="1"/>
  <c r="AE17" i="8"/>
  <c r="AD17" i="8"/>
  <c r="AB17" i="8"/>
  <c r="AA17" i="8"/>
  <c r="Z17" i="8"/>
  <c r="Y17" i="8"/>
  <c r="X17" i="8"/>
  <c r="W17" i="8"/>
  <c r="V17" i="8"/>
  <c r="U17" i="8"/>
  <c r="T17" i="8"/>
  <c r="S17" i="8"/>
  <c r="AC16" i="8"/>
  <c r="AF16" i="8" s="1"/>
  <c r="F12" i="7" s="1"/>
  <c r="AE15" i="8"/>
  <c r="AD15" i="8"/>
  <c r="AB15" i="8"/>
  <c r="AA15" i="8"/>
  <c r="Z15" i="8"/>
  <c r="Y15" i="8"/>
  <c r="X15" i="8"/>
  <c r="W15" i="8"/>
  <c r="V15" i="8"/>
  <c r="U15" i="8"/>
  <c r="T15" i="8"/>
  <c r="S15" i="8"/>
  <c r="AC12" i="8"/>
  <c r="AF12" i="8" s="1"/>
  <c r="F10" i="7" s="1"/>
  <c r="AE11" i="8"/>
  <c r="AD11" i="8"/>
  <c r="AB11" i="8"/>
  <c r="AA11" i="8"/>
  <c r="Z11" i="8"/>
  <c r="Y11" i="8"/>
  <c r="X11" i="8"/>
  <c r="W11" i="8"/>
  <c r="V11" i="8"/>
  <c r="U11" i="8"/>
  <c r="T11" i="8"/>
  <c r="S11" i="8"/>
  <c r="AC10" i="8"/>
  <c r="AF10" i="8" s="1"/>
  <c r="F9" i="7" s="1"/>
  <c r="AC9" i="8"/>
  <c r="AF9" i="8" s="1"/>
  <c r="AE8" i="8"/>
  <c r="AD8" i="8"/>
  <c r="AB8" i="8"/>
  <c r="AA8" i="8"/>
  <c r="Z8" i="8"/>
  <c r="Y8" i="8"/>
  <c r="X8" i="8"/>
  <c r="W8" i="8"/>
  <c r="V8" i="8"/>
  <c r="U8" i="8"/>
  <c r="T8" i="8"/>
  <c r="S8" i="8"/>
  <c r="W194" i="8" l="1"/>
  <c r="W193" i="8" s="1"/>
  <c r="T187" i="8"/>
  <c r="T186" i="8" s="1"/>
  <c r="X187" i="8"/>
  <c r="X186" i="8" s="1"/>
  <c r="AB187" i="8"/>
  <c r="AB186" i="8" s="1"/>
  <c r="AB96" i="8"/>
  <c r="AD379" i="8"/>
  <c r="AD378" i="8" s="1"/>
  <c r="U96" i="8"/>
  <c r="Y96" i="8"/>
  <c r="F170" i="7"/>
  <c r="V96" i="8"/>
  <c r="Z96" i="8"/>
  <c r="V187" i="8"/>
  <c r="V186" i="8" s="1"/>
  <c r="Z187" i="8"/>
  <c r="Z186" i="8" s="1"/>
  <c r="AC341" i="8"/>
  <c r="AC340" i="8" s="1"/>
  <c r="AE195" i="8"/>
  <c r="AE194" i="8" s="1"/>
  <c r="AE193" i="8" s="1"/>
  <c r="X194" i="8"/>
  <c r="X193" i="8" s="1"/>
  <c r="S61" i="8"/>
  <c r="AC265" i="8"/>
  <c r="AC289" i="8"/>
  <c r="AC11" i="8"/>
  <c r="AF55" i="8"/>
  <c r="F31" i="7" s="1"/>
  <c r="AF197" i="8"/>
  <c r="AF276" i="8"/>
  <c r="F136" i="7" s="1"/>
  <c r="AC78" i="8"/>
  <c r="AC82" i="8"/>
  <c r="AC113" i="8"/>
  <c r="AF119" i="8"/>
  <c r="F58" i="7" s="1"/>
  <c r="W320" i="8"/>
  <c r="T370" i="8"/>
  <c r="T364" i="8" s="1"/>
  <c r="X370" i="8"/>
  <c r="X364" i="8" s="1"/>
  <c r="AB370" i="8"/>
  <c r="AB364" i="8" s="1"/>
  <c r="S46" i="8"/>
  <c r="S370" i="8"/>
  <c r="W370" i="8"/>
  <c r="W364" i="8" s="1"/>
  <c r="F49" i="7"/>
  <c r="AC100" i="8"/>
  <c r="AE112" i="8"/>
  <c r="AE111" i="8" s="1"/>
  <c r="AC222" i="8"/>
  <c r="AE320" i="8"/>
  <c r="S113" i="8"/>
  <c r="S112" i="8" s="1"/>
  <c r="S111" i="8" s="1"/>
  <c r="F78" i="7"/>
  <c r="AF196" i="8"/>
  <c r="S368" i="8"/>
  <c r="AD125" i="8"/>
  <c r="AD124" i="8" s="1"/>
  <c r="AD123" i="8" s="1"/>
  <c r="F70" i="7"/>
  <c r="AF159" i="8"/>
  <c r="F75" i="7" s="1"/>
  <c r="F169" i="7"/>
  <c r="AF222" i="8"/>
  <c r="F107" i="7" s="1"/>
  <c r="S63" i="8"/>
  <c r="F82" i="7"/>
  <c r="AC15" i="8"/>
  <c r="AC105" i="8"/>
  <c r="AC104" i="8" s="1"/>
  <c r="AC195" i="8"/>
  <c r="AF309" i="8"/>
  <c r="F147" i="7" s="1"/>
  <c r="AF327" i="8"/>
  <c r="F157" i="7" s="1"/>
  <c r="F167" i="7"/>
  <c r="U370" i="8"/>
  <c r="U364" i="8" s="1"/>
  <c r="Y370" i="8"/>
  <c r="Y364" i="8" s="1"/>
  <c r="AC370" i="8"/>
  <c r="AC364" i="8" s="1"/>
  <c r="AE370" i="8"/>
  <c r="AE364" i="8" s="1"/>
  <c r="AC17" i="8"/>
  <c r="AC174" i="8"/>
  <c r="AC171" i="8" s="1"/>
  <c r="V195" i="8"/>
  <c r="V194" i="8" s="1"/>
  <c r="V193" i="8" s="1"/>
  <c r="Y195" i="8"/>
  <c r="Y194" i="8" s="1"/>
  <c r="Y193" i="8" s="1"/>
  <c r="F67" i="7"/>
  <c r="AC49" i="8"/>
  <c r="AC48" i="8" s="1"/>
  <c r="U54" i="8"/>
  <c r="U53" i="8" s="1"/>
  <c r="AC54" i="8"/>
  <c r="AC53" i="8" s="1"/>
  <c r="AF114" i="8"/>
  <c r="AF122" i="8"/>
  <c r="AC165" i="8"/>
  <c r="AC254" i="8"/>
  <c r="AF267" i="8"/>
  <c r="AE289" i="8"/>
  <c r="AF326" i="8"/>
  <c r="F156" i="7" s="1"/>
  <c r="AC330" i="8"/>
  <c r="AC329" i="8" s="1"/>
  <c r="AD360" i="8"/>
  <c r="AC8" i="8"/>
  <c r="AF22" i="8"/>
  <c r="F17" i="7" s="1"/>
  <c r="F11" i="7" s="1"/>
  <c r="S40" i="8"/>
  <c r="AC42" i="8"/>
  <c r="AC35" i="8" s="1"/>
  <c r="S44" i="8"/>
  <c r="AF95" i="8"/>
  <c r="F47" i="7" s="1"/>
  <c r="F145" i="7"/>
  <c r="AC227" i="8"/>
  <c r="AF330" i="8"/>
  <c r="F159" i="7" s="1"/>
  <c r="Y75" i="8"/>
  <c r="S14" i="8"/>
  <c r="S13" i="8" s="1"/>
  <c r="V48" i="8"/>
  <c r="S7" i="8"/>
  <c r="S6" i="8" s="1"/>
  <c r="W7" i="8"/>
  <c r="W6" i="8" s="1"/>
  <c r="AA7" i="8"/>
  <c r="AA6" i="8" s="1"/>
  <c r="AF57" i="8"/>
  <c r="T69" i="8"/>
  <c r="V35" i="8"/>
  <c r="Z35" i="8"/>
  <c r="AD35" i="8"/>
  <c r="AB35" i="8"/>
  <c r="AE96" i="8"/>
  <c r="AA194" i="8"/>
  <c r="AA193" i="8" s="1"/>
  <c r="AD187" i="8"/>
  <c r="AD186" i="8" s="1"/>
  <c r="S194" i="8"/>
  <c r="S193" i="8" s="1"/>
  <c r="U69" i="8"/>
  <c r="Y69" i="8"/>
  <c r="AC69" i="8"/>
  <c r="Y124" i="8"/>
  <c r="Y123" i="8" s="1"/>
  <c r="X69" i="8"/>
  <c r="AB69" i="8"/>
  <c r="S124" i="8"/>
  <c r="S123" i="8" s="1"/>
  <c r="W124" i="8"/>
  <c r="W123" i="8" s="1"/>
  <c r="AA124" i="8"/>
  <c r="AA123" i="8" s="1"/>
  <c r="U124" i="8"/>
  <c r="U123" i="8" s="1"/>
  <c r="S48" i="8"/>
  <c r="W48" i="8"/>
  <c r="AA48" i="8"/>
  <c r="AE48" i="8"/>
  <c r="V69" i="8"/>
  <c r="Z69" i="8"/>
  <c r="AD69" i="8"/>
  <c r="AE124" i="8"/>
  <c r="AE123" i="8" s="1"/>
  <c r="F148" i="7"/>
  <c r="V7" i="8"/>
  <c r="V6" i="8" s="1"/>
  <c r="Z7" i="8"/>
  <c r="Z6" i="8" s="1"/>
  <c r="U14" i="8"/>
  <c r="U13" i="8" s="1"/>
  <c r="Y14" i="8"/>
  <c r="Y13" i="8" s="1"/>
  <c r="W14" i="8"/>
  <c r="W13" i="8" s="1"/>
  <c r="AA14" i="8"/>
  <c r="AA13" i="8" s="1"/>
  <c r="Z48" i="8"/>
  <c r="AD48" i="8"/>
  <c r="AF51" i="8"/>
  <c r="V124" i="8"/>
  <c r="V123" i="8" s="1"/>
  <c r="Z124" i="8"/>
  <c r="Z123" i="8" s="1"/>
  <c r="V140" i="8"/>
  <c r="AF165" i="8"/>
  <c r="Y53" i="8"/>
  <c r="AF70" i="8"/>
  <c r="AF76" i="8"/>
  <c r="S221" i="8"/>
  <c r="S220" i="8" s="1"/>
  <c r="W221" i="8"/>
  <c r="W220" i="8" s="1"/>
  <c r="U112" i="8"/>
  <c r="U111" i="8" s="1"/>
  <c r="Y112" i="8"/>
  <c r="Y111" i="8" s="1"/>
  <c r="T112" i="8"/>
  <c r="T111" i="8" s="1"/>
  <c r="X112" i="8"/>
  <c r="X111" i="8" s="1"/>
  <c r="AB112" i="8"/>
  <c r="AB111" i="8" s="1"/>
  <c r="AE187" i="8"/>
  <c r="AE186" i="8" s="1"/>
  <c r="AB194" i="8"/>
  <c r="AB193" i="8" s="1"/>
  <c r="V14" i="8"/>
  <c r="V13" i="8" s="1"/>
  <c r="Z14" i="8"/>
  <c r="Z13" i="8" s="1"/>
  <c r="AA53" i="8"/>
  <c r="U171" i="8"/>
  <c r="Y171" i="8"/>
  <c r="AE171" i="8"/>
  <c r="U187" i="8"/>
  <c r="U186" i="8" s="1"/>
  <c r="F77" i="7"/>
  <c r="F94" i="7"/>
  <c r="Y187" i="8"/>
  <c r="Y186" i="8" s="1"/>
  <c r="T7" i="8"/>
  <c r="T6" i="8" s="1"/>
  <c r="X7" i="8"/>
  <c r="X6" i="8" s="1"/>
  <c r="AB7" i="8"/>
  <c r="AB6" i="8" s="1"/>
  <c r="AD7" i="8"/>
  <c r="AD6" i="8" s="1"/>
  <c r="AE14" i="8"/>
  <c r="AE13" i="8" s="1"/>
  <c r="T35" i="8"/>
  <c r="X75" i="8"/>
  <c r="AE75" i="8"/>
  <c r="T140" i="8"/>
  <c r="X140" i="8"/>
  <c r="AB140" i="8"/>
  <c r="AE140" i="8"/>
  <c r="T194" i="8"/>
  <c r="T193" i="8" s="1"/>
  <c r="F101" i="7"/>
  <c r="U7" i="8"/>
  <c r="U6" i="8" s="1"/>
  <c r="Y7" i="8"/>
  <c r="Y6" i="8" s="1"/>
  <c r="AE7" i="8"/>
  <c r="AE6" i="8" s="1"/>
  <c r="F19" i="7"/>
  <c r="X35" i="8"/>
  <c r="AF36" i="8"/>
  <c r="U48" i="8"/>
  <c r="Y48" i="8"/>
  <c r="V53" i="8"/>
  <c r="Z53" i="8"/>
  <c r="AD96" i="8"/>
  <c r="AD74" i="8" s="1"/>
  <c r="W112" i="8"/>
  <c r="W111" i="8" s="1"/>
  <c r="AA112" i="8"/>
  <c r="AA111" i="8" s="1"/>
  <c r="Z140" i="8"/>
  <c r="W171" i="8"/>
  <c r="F126" i="7"/>
  <c r="T14" i="8"/>
  <c r="T13" i="8" s="1"/>
  <c r="X14" i="8"/>
  <c r="X13" i="8" s="1"/>
  <c r="AB14" i="8"/>
  <c r="AB13" i="8" s="1"/>
  <c r="T48" i="8"/>
  <c r="X48" i="8"/>
  <c r="AB48" i="8"/>
  <c r="W53" i="8"/>
  <c r="AE53" i="8"/>
  <c r="AF63" i="8"/>
  <c r="D47" i="11" s="1"/>
  <c r="AD221" i="8"/>
  <c r="AD220" i="8" s="1"/>
  <c r="F8" i="7"/>
  <c r="F7" i="7" s="1"/>
  <c r="AF8" i="8"/>
  <c r="F42" i="7"/>
  <c r="AF82" i="8"/>
  <c r="X96" i="8"/>
  <c r="AF105" i="8"/>
  <c r="AF104" i="8" s="1"/>
  <c r="AF115" i="8"/>
  <c r="AF81" i="8"/>
  <c r="AC80" i="8"/>
  <c r="T75" i="8"/>
  <c r="AB75" i="8"/>
  <c r="T96" i="8"/>
  <c r="AF121" i="8"/>
  <c r="AC120" i="8"/>
  <c r="AF135" i="8"/>
  <c r="AF134" i="8" s="1"/>
  <c r="AC134" i="8"/>
  <c r="AF145" i="8"/>
  <c r="F69" i="7" s="1"/>
  <c r="AC141" i="8"/>
  <c r="F73" i="7"/>
  <c r="AF153" i="8"/>
  <c r="D25" i="11" s="1"/>
  <c r="AF170" i="8"/>
  <c r="F79" i="7" s="1"/>
  <c r="AC168" i="8"/>
  <c r="F104" i="7"/>
  <c r="AF217" i="8"/>
  <c r="D22" i="11" s="1"/>
  <c r="AF298" i="8"/>
  <c r="F142" i="7" s="1"/>
  <c r="W289" i="8"/>
  <c r="AF322" i="8"/>
  <c r="X320" i="8"/>
  <c r="AD14" i="8"/>
  <c r="AD13" i="8" s="1"/>
  <c r="U35" i="8"/>
  <c r="Y35" i="8"/>
  <c r="W35" i="8"/>
  <c r="AA35" i="8"/>
  <c r="AE35" i="8"/>
  <c r="S39" i="8"/>
  <c r="T53" i="8"/>
  <c r="X53" i="8"/>
  <c r="AB53" i="8"/>
  <c r="S69" i="8"/>
  <c r="W69" i="8"/>
  <c r="AA69" i="8"/>
  <c r="AE69" i="8"/>
  <c r="F40" i="7"/>
  <c r="AF78" i="8"/>
  <c r="D5" i="11" s="1"/>
  <c r="AF93" i="8"/>
  <c r="F45" i="7" s="1"/>
  <c r="AF98" i="8"/>
  <c r="AF97" i="8" s="1"/>
  <c r="AC97" i="8"/>
  <c r="F51" i="7"/>
  <c r="AF126" i="8"/>
  <c r="F61" i="7" s="1"/>
  <c r="AC125" i="8"/>
  <c r="F62" i="7"/>
  <c r="F63" i="7"/>
  <c r="AD140" i="8"/>
  <c r="AC153" i="8"/>
  <c r="S140" i="8"/>
  <c r="W140" i="8"/>
  <c r="AA140" i="8"/>
  <c r="AC155" i="8"/>
  <c r="AF155" i="8"/>
  <c r="D26" i="11" s="1"/>
  <c r="AC162" i="8"/>
  <c r="AF162" i="8"/>
  <c r="D29" i="11" s="1"/>
  <c r="S171" i="8"/>
  <c r="AA171" i="8"/>
  <c r="AF190" i="8"/>
  <c r="AC188" i="8"/>
  <c r="AC187" i="8" s="1"/>
  <c r="AC186" i="8" s="1"/>
  <c r="AF207" i="8"/>
  <c r="AC217" i="8"/>
  <c r="AA221" i="8"/>
  <c r="AA220" i="8" s="1"/>
  <c r="AE221" i="8"/>
  <c r="AE220" i="8" s="1"/>
  <c r="T221" i="8"/>
  <c r="T220" i="8" s="1"/>
  <c r="V221" i="8"/>
  <c r="V220" i="8" s="1"/>
  <c r="X221" i="8"/>
  <c r="X220" i="8" s="1"/>
  <c r="AB221" i="8"/>
  <c r="AB220" i="8" s="1"/>
  <c r="AF226" i="8"/>
  <c r="AC225" i="8"/>
  <c r="F116" i="7"/>
  <c r="AF243" i="8"/>
  <c r="F121" i="7" s="1"/>
  <c r="AC236" i="8"/>
  <c r="AF248" i="8"/>
  <c r="F124" i="7" s="1"/>
  <c r="AC244" i="8"/>
  <c r="AF268" i="8"/>
  <c r="W265" i="8"/>
  <c r="AF270" i="8"/>
  <c r="X265" i="8"/>
  <c r="AF367" i="8"/>
  <c r="F177" i="7" s="1"/>
  <c r="S366" i="8"/>
  <c r="S365" i="8"/>
  <c r="AD53" i="8"/>
  <c r="S75" i="8"/>
  <c r="S74" i="8" s="1"/>
  <c r="U75" i="8"/>
  <c r="U74" i="8" s="1"/>
  <c r="W75" i="8"/>
  <c r="W74" i="8" s="1"/>
  <c r="AA75" i="8"/>
  <c r="AA74" i="8" s="1"/>
  <c r="AF84" i="8"/>
  <c r="F43" i="7" s="1"/>
  <c r="V75" i="8"/>
  <c r="V74" i="8" s="1"/>
  <c r="Z75" i="8"/>
  <c r="V112" i="8"/>
  <c r="V111" i="8" s="1"/>
  <c r="Z112" i="8"/>
  <c r="Z111" i="8" s="1"/>
  <c r="AD112" i="8"/>
  <c r="AD111" i="8" s="1"/>
  <c r="F56" i="7"/>
  <c r="U140" i="8"/>
  <c r="Y140" i="8"/>
  <c r="AF160" i="8"/>
  <c r="D28" i="11" s="1"/>
  <c r="F76" i="7"/>
  <c r="V171" i="8"/>
  <c r="Z171" i="8"/>
  <c r="S187" i="8"/>
  <c r="S186" i="8" s="1"/>
  <c r="W187" i="8"/>
  <c r="W186" i="8" s="1"/>
  <c r="AA187" i="8"/>
  <c r="AA186" i="8" s="1"/>
  <c r="U194" i="8"/>
  <c r="U193" i="8" s="1"/>
  <c r="Z221" i="8"/>
  <c r="Z220" i="8" s="1"/>
  <c r="U221" i="8"/>
  <c r="U220" i="8" s="1"/>
  <c r="Y221" i="8"/>
  <c r="Y220" i="8" s="1"/>
  <c r="F109" i="7"/>
  <c r="AF227" i="8"/>
  <c r="D16" i="11" s="1"/>
  <c r="F122" i="7"/>
  <c r="F128" i="7"/>
  <c r="AF254" i="8"/>
  <c r="F144" i="7"/>
  <c r="F150" i="7"/>
  <c r="AF337" i="8"/>
  <c r="F161" i="7" s="1"/>
  <c r="AC336" i="8"/>
  <c r="AC335" i="8" s="1"/>
  <c r="AD347" i="8"/>
  <c r="AF355" i="8"/>
  <c r="F171" i="7" s="1"/>
  <c r="AF358" i="8"/>
  <c r="F172" i="7" s="1"/>
  <c r="F135" i="7"/>
  <c r="F140" i="7"/>
  <c r="F146" i="7"/>
  <c r="AF341" i="8"/>
  <c r="AF340" i="8" s="1"/>
  <c r="F143" i="7"/>
  <c r="V335" i="8"/>
  <c r="Z335" i="8"/>
  <c r="AA264" i="8"/>
  <c r="AA263" i="8" s="1"/>
  <c r="T329" i="8"/>
  <c r="X329" i="8"/>
  <c r="AB329" i="8"/>
  <c r="AD329" i="8"/>
  <c r="V346" i="8"/>
  <c r="V345" i="8" s="1"/>
  <c r="Z346" i="8"/>
  <c r="Z345" i="8" s="1"/>
  <c r="V329" i="8"/>
  <c r="U329" i="8"/>
  <c r="U264" i="8"/>
  <c r="U263" i="8" s="1"/>
  <c r="U335" i="8"/>
  <c r="AB264" i="8"/>
  <c r="AB263" i="8" s="1"/>
  <c r="T346" i="8"/>
  <c r="T345" i="8" s="1"/>
  <c r="X346" i="8"/>
  <c r="X345" i="8" s="1"/>
  <c r="AB346" i="8"/>
  <c r="AB345" i="8" s="1"/>
  <c r="AE335" i="8"/>
  <c r="AA346" i="8"/>
  <c r="AA345" i="8" s="1"/>
  <c r="Y335" i="8"/>
  <c r="AD264" i="8"/>
  <c r="AD263" i="8" s="1"/>
  <c r="T335" i="8"/>
  <c r="X335" i="8"/>
  <c r="AB335" i="8"/>
  <c r="AD335" i="8"/>
  <c r="AA370" i="8"/>
  <c r="AA364" i="8" s="1"/>
  <c r="AF368" i="8"/>
  <c r="AF379" i="8"/>
  <c r="AF378" i="8" s="1"/>
  <c r="Y264" i="8"/>
  <c r="Y263" i="8" s="1"/>
  <c r="S329" i="8"/>
  <c r="W329" i="8"/>
  <c r="AA329" i="8"/>
  <c r="Z329" i="8"/>
  <c r="AF333" i="8"/>
  <c r="D12" i="11" s="1"/>
  <c r="S346" i="8"/>
  <c r="S345" i="8" s="1"/>
  <c r="W346" i="8"/>
  <c r="W345" i="8" s="1"/>
  <c r="V370" i="8"/>
  <c r="V364" i="8" s="1"/>
  <c r="Z370" i="8"/>
  <c r="Z364" i="8" s="1"/>
  <c r="AD370" i="8"/>
  <c r="AD364" i="8" s="1"/>
  <c r="AF373" i="8"/>
  <c r="F180" i="7" s="1"/>
  <c r="T264" i="8"/>
  <c r="T263" i="8" s="1"/>
  <c r="Y329" i="8"/>
  <c r="AE329" i="8"/>
  <c r="S335" i="8"/>
  <c r="W335" i="8"/>
  <c r="AA335" i="8"/>
  <c r="AE346" i="8"/>
  <c r="AE345" i="8" s="1"/>
  <c r="U346" i="8"/>
  <c r="U345" i="8" s="1"/>
  <c r="Y346" i="8"/>
  <c r="Y345" i="8" s="1"/>
  <c r="AC346" i="8"/>
  <c r="AC345" i="8" s="1"/>
  <c r="AF11" i="8"/>
  <c r="AF42" i="8"/>
  <c r="AF49" i="8"/>
  <c r="AF61" i="8"/>
  <c r="AF180" i="8"/>
  <c r="D43" i="11" s="1"/>
  <c r="F85" i="7"/>
  <c r="AF15" i="8"/>
  <c r="AF40" i="8"/>
  <c r="F141" i="7"/>
  <c r="AF31" i="8"/>
  <c r="AF30" i="8" s="1"/>
  <c r="AF29" i="8" s="1"/>
  <c r="AF59" i="8"/>
  <c r="AF72" i="8"/>
  <c r="T124" i="8"/>
  <c r="T123" i="8" s="1"/>
  <c r="X124" i="8"/>
  <c r="X123" i="8" s="1"/>
  <c r="AB124" i="8"/>
  <c r="AB123" i="8" s="1"/>
  <c r="Z194" i="8"/>
  <c r="Z193" i="8" s="1"/>
  <c r="AD194" i="8"/>
  <c r="AD193" i="8" s="1"/>
  <c r="F173" i="7"/>
  <c r="AF360" i="8"/>
  <c r="D20" i="11" s="1"/>
  <c r="F28" i="7"/>
  <c r="F162" i="7"/>
  <c r="AF338" i="8"/>
  <c r="D37" i="11" s="1"/>
  <c r="F52" i="7"/>
  <c r="F80" i="7"/>
  <c r="AF172" i="8"/>
  <c r="T171" i="8"/>
  <c r="X171" i="8"/>
  <c r="AB171" i="8"/>
  <c r="AD171" i="8"/>
  <c r="F93" i="7"/>
  <c r="F91" i="7"/>
  <c r="AF191" i="8"/>
  <c r="AF44" i="8"/>
  <c r="AF100" i="8"/>
  <c r="D48" i="11" s="1"/>
  <c r="F64" i="7"/>
  <c r="F44" i="7"/>
  <c r="F74" i="7"/>
  <c r="AF184" i="8"/>
  <c r="D45" i="11" s="1"/>
  <c r="V264" i="8"/>
  <c r="V263" i="8" s="1"/>
  <c r="Z264" i="8"/>
  <c r="Z263" i="8" s="1"/>
  <c r="F131" i="7"/>
  <c r="AF261" i="8"/>
  <c r="AF260" i="8" s="1"/>
  <c r="AF371" i="8"/>
  <c r="F179" i="7"/>
  <c r="F71" i="7"/>
  <c r="AF174" i="8"/>
  <c r="AF182" i="8"/>
  <c r="F102" i="7"/>
  <c r="F120" i="7"/>
  <c r="S264" i="8"/>
  <c r="S263" i="8" s="1"/>
  <c r="F139" i="7"/>
  <c r="AF258" i="8"/>
  <c r="AF383" i="8"/>
  <c r="S364" i="8" l="1"/>
  <c r="AB74" i="8"/>
  <c r="F55" i="7"/>
  <c r="Y74" i="8"/>
  <c r="AA139" i="8"/>
  <c r="Z74" i="8"/>
  <c r="AC112" i="8"/>
  <c r="AC111" i="8" s="1"/>
  <c r="AC194" i="8"/>
  <c r="AC193" i="8" s="1"/>
  <c r="AC264" i="8"/>
  <c r="AC263" i="8" s="1"/>
  <c r="AF54" i="8"/>
  <c r="AD346" i="8"/>
  <c r="AD345" i="8" s="1"/>
  <c r="AF195" i="8"/>
  <c r="D10" i="11" s="1"/>
  <c r="D11" i="11"/>
  <c r="S53" i="8"/>
  <c r="AE264" i="8"/>
  <c r="AE263" i="8" s="1"/>
  <c r="AC96" i="8"/>
  <c r="AF158" i="8"/>
  <c r="D27" i="11" s="1"/>
  <c r="AC7" i="8"/>
  <c r="AC6" i="8" s="1"/>
  <c r="AF120" i="8"/>
  <c r="D14" i="11" s="1"/>
  <c r="AC75" i="8"/>
  <c r="AC74" i="8" s="1"/>
  <c r="AE139" i="8"/>
  <c r="AF320" i="8"/>
  <c r="AF17" i="8"/>
  <c r="AF14" i="8" s="1"/>
  <c r="AF13" i="8" s="1"/>
  <c r="AC14" i="8"/>
  <c r="AC13" i="8" s="1"/>
  <c r="AF113" i="8"/>
  <c r="AF365" i="8"/>
  <c r="AF366" i="8"/>
  <c r="U139" i="8"/>
  <c r="AF194" i="8"/>
  <c r="AF193" i="8" s="1"/>
  <c r="D42" i="11"/>
  <c r="S139" i="8"/>
  <c r="D15" i="11"/>
  <c r="W139" i="8"/>
  <c r="T139" i="8"/>
  <c r="AC34" i="8"/>
  <c r="AC124" i="8"/>
  <c r="AC123" i="8" s="1"/>
  <c r="AF92" i="8"/>
  <c r="D21" i="11" s="1"/>
  <c r="W264" i="8"/>
  <c r="W263" i="8" s="1"/>
  <c r="Z34" i="8"/>
  <c r="AF265" i="8"/>
  <c r="D7" i="11" s="1"/>
  <c r="F163" i="7"/>
  <c r="F158" i="7" s="1"/>
  <c r="X74" i="8"/>
  <c r="U34" i="8"/>
  <c r="V139" i="8"/>
  <c r="AF289" i="8"/>
  <c r="AE74" i="8"/>
  <c r="X264" i="8"/>
  <c r="X263" i="8" s="1"/>
  <c r="F134" i="7"/>
  <c r="Z328" i="8"/>
  <c r="AB139" i="8"/>
  <c r="AE34" i="8"/>
  <c r="W34" i="8"/>
  <c r="F35" i="7"/>
  <c r="D50" i="11"/>
  <c r="F97" i="7"/>
  <c r="F92" i="7" s="1"/>
  <c r="AF168" i="8"/>
  <c r="F155" i="7"/>
  <c r="AF69" i="8"/>
  <c r="AF347" i="8"/>
  <c r="AF346" i="8" s="1"/>
  <c r="AF345" i="8" s="1"/>
  <c r="V34" i="8"/>
  <c r="D4" i="11"/>
  <c r="X139" i="8"/>
  <c r="Y139" i="8"/>
  <c r="AD34" i="8"/>
  <c r="AB34" i="8"/>
  <c r="AA34" i="8"/>
  <c r="Y34" i="8"/>
  <c r="Z139" i="8"/>
  <c r="AF141" i="8"/>
  <c r="D24" i="11" s="1"/>
  <c r="T34" i="8"/>
  <c r="AF125" i="8"/>
  <c r="AF124" i="8" s="1"/>
  <c r="AF123" i="8" s="1"/>
  <c r="X34" i="8"/>
  <c r="F66" i="7"/>
  <c r="AF244" i="8"/>
  <c r="D18" i="11" s="1"/>
  <c r="AD139" i="8"/>
  <c r="AF336" i="8"/>
  <c r="D36" i="11" s="1"/>
  <c r="T74" i="8"/>
  <c r="AF96" i="8"/>
  <c r="F48" i="7"/>
  <c r="F108" i="7"/>
  <c r="F106" i="7" s="1"/>
  <c r="AF225" i="8"/>
  <c r="F90" i="7"/>
  <c r="F88" i="7" s="1"/>
  <c r="AF188" i="8"/>
  <c r="AF187" i="8" s="1"/>
  <c r="AF186" i="8" s="1"/>
  <c r="AF39" i="8"/>
  <c r="S38" i="8"/>
  <c r="S35" i="8" s="1"/>
  <c r="F41" i="7"/>
  <c r="AF80" i="8"/>
  <c r="D6" i="11" s="1"/>
  <c r="AF236" i="8"/>
  <c r="D17" i="11" s="1"/>
  <c r="AC221" i="8"/>
  <c r="AC220" i="8" s="1"/>
  <c r="AC140" i="8"/>
  <c r="AC139" i="8" s="1"/>
  <c r="AE388" i="8"/>
  <c r="V328" i="8"/>
  <c r="AD328" i="8"/>
  <c r="T328" i="8"/>
  <c r="AC328" i="8"/>
  <c r="Z388" i="8"/>
  <c r="V388" i="8"/>
  <c r="T388" i="8"/>
  <c r="X328" i="8"/>
  <c r="AB328" i="8"/>
  <c r="U328" i="8"/>
  <c r="AD388" i="8"/>
  <c r="W388" i="8"/>
  <c r="X388" i="8"/>
  <c r="Y388" i="8"/>
  <c r="F176" i="7"/>
  <c r="AB388" i="8"/>
  <c r="AC388" i="8"/>
  <c r="D46" i="11"/>
  <c r="AA388" i="8"/>
  <c r="AF329" i="8"/>
  <c r="Y328" i="8"/>
  <c r="S328" i="8"/>
  <c r="AE328" i="8"/>
  <c r="S388" i="8"/>
  <c r="F166" i="7"/>
  <c r="U388" i="8"/>
  <c r="AF370" i="8"/>
  <c r="W328" i="8"/>
  <c r="AA328" i="8"/>
  <c r="D39" i="11"/>
  <c r="AF53" i="8"/>
  <c r="D34" i="11"/>
  <c r="AF257" i="8"/>
  <c r="D41" i="11"/>
  <c r="AF171" i="8"/>
  <c r="D51" i="11"/>
  <c r="AF7" i="8"/>
  <c r="D40" i="11"/>
  <c r="AF382" i="8"/>
  <c r="AF381" i="8" s="1"/>
  <c r="D33" i="11"/>
  <c r="F65" i="7"/>
  <c r="F60" i="7" s="1"/>
  <c r="D44" i="11"/>
  <c r="D30" i="11"/>
  <c r="AF48" i="8"/>
  <c r="AF112" i="8" l="1"/>
  <c r="AF111" i="8" s="1"/>
  <c r="S34" i="8"/>
  <c r="S344" i="8" s="1"/>
  <c r="S389" i="8" s="1"/>
  <c r="F59" i="7"/>
  <c r="F54" i="7" s="1"/>
  <c r="D13" i="11"/>
  <c r="AF364" i="8"/>
  <c r="D32" i="11"/>
  <c r="Y344" i="8"/>
  <c r="Y389" i="8" s="1"/>
  <c r="V344" i="8"/>
  <c r="V389" i="8" s="1"/>
  <c r="D52" i="11"/>
  <c r="AF75" i="8"/>
  <c r="AE344" i="8"/>
  <c r="AF264" i="8"/>
  <c r="AF263" i="8" s="1"/>
  <c r="W344" i="8"/>
  <c r="W389" i="8" s="1"/>
  <c r="D19" i="11"/>
  <c r="Z344" i="8"/>
  <c r="Z389" i="8" s="1"/>
  <c r="F132" i="7"/>
  <c r="AF74" i="8"/>
  <c r="D8" i="11"/>
  <c r="U344" i="8"/>
  <c r="U389" i="8" s="1"/>
  <c r="AB344" i="8"/>
  <c r="AB389" i="8" s="1"/>
  <c r="AD344" i="8"/>
  <c r="AD389" i="8" s="1"/>
  <c r="F38" i="7"/>
  <c r="AA344" i="8"/>
  <c r="AA389" i="8" s="1"/>
  <c r="AF140" i="8"/>
  <c r="AF139" i="8" s="1"/>
  <c r="AF335" i="8"/>
  <c r="AF328" i="8" s="1"/>
  <c r="X344" i="8"/>
  <c r="X389" i="8" s="1"/>
  <c r="AC344" i="8"/>
  <c r="AC389" i="8" s="1"/>
  <c r="T344" i="8"/>
  <c r="T389" i="8" s="1"/>
  <c r="F24" i="7"/>
  <c r="F22" i="7" s="1"/>
  <c r="AF38" i="8"/>
  <c r="AF221" i="8"/>
  <c r="AF220" i="8" s="1"/>
  <c r="AE389" i="8"/>
  <c r="C5" i="9"/>
  <c r="C6" i="9"/>
  <c r="AF6" i="8"/>
  <c r="F183" i="7"/>
  <c r="F182" i="7" s="1"/>
  <c r="F184" i="7" s="1"/>
  <c r="D38" i="11"/>
  <c r="D23" i="11" l="1"/>
  <c r="AF388" i="8"/>
  <c r="D49" i="11"/>
  <c r="F164" i="7"/>
  <c r="F185" i="7" s="1"/>
  <c r="C4" i="9"/>
  <c r="D9" i="11"/>
  <c r="AF35" i="8"/>
  <c r="D3" i="11" l="1"/>
  <c r="C3" i="9"/>
  <c r="AF34" i="8"/>
  <c r="AF344" i="8" l="1"/>
  <c r="AF389" i="8" s="1"/>
  <c r="C7" i="9"/>
  <c r="D54" i="11"/>
  <c r="D4" i="9" l="1"/>
  <c r="D6" i="9"/>
  <c r="D5" i="9"/>
  <c r="D3" i="9"/>
  <c r="D7" i="9" l="1"/>
</calcChain>
</file>

<file path=xl/sharedStrings.xml><?xml version="1.0" encoding="utf-8"?>
<sst xmlns="http://schemas.openxmlformats.org/spreadsheetml/2006/main" count="2852" uniqueCount="1443">
  <si>
    <t>Implementación del Sistema Departamental de Servicio a la Ciudadanía SDSC   en la Administración Departamental.</t>
  </si>
  <si>
    <t>INCLUSIÓN SOCIAL Y EQUIDAD</t>
  </si>
  <si>
    <t>PRODUCTIVIDAD Y COMPETITIVIDAD</t>
  </si>
  <si>
    <t>TERRITORIO, AMBIENTE Y DESARROLLO SOSTENIBLE</t>
  </si>
  <si>
    <t>Implementación de procesos productivos agropecuarios familiares campesinos en busca de la soberanía y seguridad alimentaria.</t>
  </si>
  <si>
    <t>Implementación de procesos de extensión agropecuaria e inocuidad (estatus sanitario, BPA, BPG) alimentaria.</t>
  </si>
  <si>
    <t>Implementación de acciones de Gestión del Cambio Climatico en el marco del PIGCC.</t>
  </si>
  <si>
    <t>Fortalecimiento territoral para una gestión educativa integral en la Secretaría de Educación Departamental del Quindío</t>
  </si>
  <si>
    <t>Aplicación funcionamiento y prestación del servicio educativo de las instituciones educativas.</t>
  </si>
  <si>
    <t>Prestación de Servicios a la Población no Afiliada al Sistema General de Seguridad Social en Salud  y en los no POS  a la Población Afiliada al Régimen Subsidiado.</t>
  </si>
  <si>
    <t>Aprovechamiento biológico y consumo de  alimentos idóneos  en el Departamento del Quindío</t>
  </si>
  <si>
    <t xml:space="preserve">Asistencia atención a las personas y prioridades en salud pública en el  Departamento del Quindío- Plan de Intervenciones Colectivas PIC. </t>
  </si>
  <si>
    <t>UNIDAD EJECUTORA</t>
  </si>
  <si>
    <t>Presupuesto</t>
  </si>
  <si>
    <t xml:space="preserve">CODIGO:  </t>
  </si>
  <si>
    <t xml:space="preserve">VERSIÓN: </t>
  </si>
  <si>
    <t xml:space="preserve">FECHA: </t>
  </si>
  <si>
    <t>PÁGINA:</t>
  </si>
  <si>
    <t>1 de 1</t>
  </si>
  <si>
    <t>LÍNEA ESTRATÉGICA</t>
  </si>
  <si>
    <t>No. PROGRAMA INTERNO</t>
  </si>
  <si>
    <t>CÓDIGO DEL PROGRAMA KPT</t>
  </si>
  <si>
    <t>PROGRAMA</t>
  </si>
  <si>
    <t>INDICADOR DE RESULTADO Y/O BIENESTAR</t>
  </si>
  <si>
    <t>No. PRODUCTO INTERNO</t>
  </si>
  <si>
    <t>CODIGO DEL PRODUCTO KPT</t>
  </si>
  <si>
    <t>META PRODUCTO</t>
  </si>
  <si>
    <t>No. INDICADOR PRODUCTO INTERNO</t>
  </si>
  <si>
    <t>INDICADOR DEL PRODUCTO</t>
  </si>
  <si>
    <t>TIPO DE META I/M/R</t>
  </si>
  <si>
    <t>META 2020</t>
  </si>
  <si>
    <t>CÓDIGO SECTOR FUT</t>
  </si>
  <si>
    <t>CÓDIGO BPIN</t>
  </si>
  <si>
    <t>NOMBRE DEL PROYECTO</t>
  </si>
  <si>
    <t xml:space="preserve">ESTAMPILLAS 
PRO - CULTURA
PRO - ADULTO MAYOR
PRO - DESARROLLO
 </t>
  </si>
  <si>
    <t xml:space="preserve">CONTRIBUCION ESPECIAL
(FONDO DE SEGURIDAD 5%) 
 </t>
  </si>
  <si>
    <t xml:space="preserve">SOBRETASA AL ACPM  
</t>
  </si>
  <si>
    <t xml:space="preserve">SGP PRESTACIÓN DE SERVICIOS - EDUCACIÓN  - Y CONECTIVIDAD
</t>
  </si>
  <si>
    <t>SGP APORTES PATRONALES - CANCELACIÓN DE PRESTACIONES SOCIALES -EDUCACIÓN</t>
  </si>
  <si>
    <t xml:space="preserve">FONDO DE EDUCACION,  PAE, CONVENIO MEN 
</t>
  </si>
  <si>
    <t xml:space="preserve">SGP AGUA POTABLE Y SANEAMIENTO BÁSICO
</t>
  </si>
  <si>
    <t xml:space="preserve">RECURSO ORDINARIO
</t>
  </si>
  <si>
    <t xml:space="preserve">TOTAL
</t>
  </si>
  <si>
    <t xml:space="preserve">304 -SECRETARÍA ADMINISTRATIVA </t>
  </si>
  <si>
    <t xml:space="preserve">LIDERAZGO, GOBERNABILIDAD Y TRANSPARENCIA.   </t>
  </si>
  <si>
    <t>DNP</t>
  </si>
  <si>
    <t>Fortalecimiento de la Gestión  y Desempeño Institucional. "Quindío con una administración al servicio de la ciudadanía "</t>
  </si>
  <si>
    <t>Índice de Gestión del Modelo Integrado de Planeación y de Gestión MIPG  de la Administración Departamental</t>
  </si>
  <si>
    <t>45.1</t>
  </si>
  <si>
    <t>45.1.1</t>
  </si>
  <si>
    <t>Número de Dimensiones y Políticas   de MIPG implementadas.</t>
  </si>
  <si>
    <t>M</t>
  </si>
  <si>
    <t xml:space="preserve">17. Fortalecimiento Institucional </t>
  </si>
  <si>
    <t>202000363-0003</t>
  </si>
  <si>
    <t>Implementación del  Modelo Integrado de Planeación y de Gestión MIPG  de la  Administración Departamental del Quindío (Dimensiones  de Talento humano,  Información y Comunicación y Gestión del Conocimiento).</t>
  </si>
  <si>
    <t>45.9</t>
  </si>
  <si>
    <t>Estrategias  de actualización, depuración, seguimiento y evaluación de las bases de datos  del Pasivo Pensional  de la Administración Departamental.</t>
  </si>
  <si>
    <t>45.9.1</t>
  </si>
  <si>
    <t>Estrategias  de actualización, depuración, seguimiento y evaluación de las bases de datos  del Pasivo Pensional  de la Administración Departamental</t>
  </si>
  <si>
    <t>202000363-0004</t>
  </si>
  <si>
    <t>Actualización, depuración, seguimiento y evaluación   del  Pasivo Pensional  de la Administración Departamental del Quindío</t>
  </si>
  <si>
    <t>Participación ciudadana y política y respeto por los derechos humanos y diversidad de creencias. "Quindío integrado y participativo"</t>
  </si>
  <si>
    <t>Porcentaje promedio  de participación de ciudadanos en los eventos de elección popular.</t>
  </si>
  <si>
    <t>42.3</t>
  </si>
  <si>
    <t>Implementación del Plan de Acción del Sistema Departamental de Servicio a la Ciudadanía SDSC</t>
  </si>
  <si>
    <t>42.3.1</t>
  </si>
  <si>
    <t xml:space="preserve">Plan de Acción del Sistema Departamental de Servicio a la Ciudadanía SDSC implementado. </t>
  </si>
  <si>
    <t>16. Desarrollo Comunitario</t>
  </si>
  <si>
    <t>202000363-0005</t>
  </si>
  <si>
    <t xml:space="preserve">305 SECRETARÍA DE PLANEACIÓN </t>
  </si>
  <si>
    <t>LIDERAZGO, GOBERNABILIDAD Y TRANSPARENCIA</t>
  </si>
  <si>
    <t>Porcentaje promedio  de participación de ciudadanos en los eventos de elección popular</t>
  </si>
  <si>
    <t>42.2</t>
  </si>
  <si>
    <t>Fortalecimiento técnico y logístico del  Consejo Territorial de Planeación Departamental, como representantes de la sociedad civil en la planeación  del desarrollo integral  de la entidad territorial</t>
  </si>
  <si>
    <t>42.2.1</t>
  </si>
  <si>
    <t xml:space="preserve">Consejo Territorial de Planeación Departamental fortalecido.   </t>
  </si>
  <si>
    <t>201663000-0007</t>
  </si>
  <si>
    <t>Asistencia al Consejo Territorial de Planeación del Departamento del Quindío</t>
  </si>
  <si>
    <t>Fortalecimiento de la Gestión  y Desempeño Institucional. "Quindío con una administración al servicio de la ciudadanía"</t>
  </si>
  <si>
    <t>45.5</t>
  </si>
  <si>
    <t>45.5.1</t>
  </si>
  <si>
    <t xml:space="preserve">Instrumentos de planificación de ordenamiento y gestión territorial departamental implementados. </t>
  </si>
  <si>
    <t>201900363-0002</t>
  </si>
  <si>
    <t>Formulación  e implementación del  Plan de Desarrollo Departamental 2020-2023</t>
  </si>
  <si>
    <t>Instrumentos de planificación para el ordenamiento y la gestión territorial departamental (Plan de Desarrollo Departamental PDD, Ordenamiento Territorial, Sistema de Información Geográfica, Mecanismos de Integración, Catastro multipropósito etc.).</t>
  </si>
  <si>
    <t>201663000-0009</t>
  </si>
  <si>
    <t>Diseño e implementación instrumentos de  planificación para el  ordenamiento  territorial, social y económico del  Departamento del Quindío</t>
  </si>
  <si>
    <t>45.4</t>
  </si>
  <si>
    <t>Observatorio económico del departamento, con procesos de fortalecimiento</t>
  </si>
  <si>
    <t>45.4.1</t>
  </si>
  <si>
    <t>Observatorio económico del Departamento del Quindío actualizado y dotado.</t>
  </si>
  <si>
    <t>201663000-0010</t>
  </si>
  <si>
    <t xml:space="preserve">Diseño e implementación del Observatorio  de Desarrollo Humano en el Departamento del Quindío </t>
  </si>
  <si>
    <t>45.3</t>
  </si>
  <si>
    <t>Banco de Programas y Proyectos del Departamento  con procesos de fortalecimiento.</t>
  </si>
  <si>
    <t>45.3.1</t>
  </si>
  <si>
    <t>Banco de Programas y Proyectos del Departamento fortalecido</t>
  </si>
  <si>
    <t>201663000-0012</t>
  </si>
  <si>
    <t>Implementación Sistema de Cooperación Internacional y  de Gestión de proyectos  del Depratamento del Quindío - "Fabrica de Proyectos"</t>
  </si>
  <si>
    <t>Índice de Gestión del Modelo Integrado de Planeación y de Gestión MIPG   Departamental (Entes Territoriales Municipales)</t>
  </si>
  <si>
    <t>45.17</t>
  </si>
  <si>
    <t xml:space="preserve">Entes territoriales  con servicio de asistencia técnica de los Instrumentos de Planificación para  el Ordenamiento y la Gestión Territorial departamental. </t>
  </si>
  <si>
    <t>45.17.1</t>
  </si>
  <si>
    <t>Entes territoriales con procesos de asistencia técnica realizadas.</t>
  </si>
  <si>
    <t>201663000-0014</t>
  </si>
  <si>
    <t>Asistencia  técnica, seguimiento y evaluación  de la gestión  territorial en los  municipios del Departamento del  Quindío</t>
  </si>
  <si>
    <t>45.12</t>
  </si>
  <si>
    <t>Entes territoriales con servicio de asistencia  técnica del Modelo Integrado de Planeación y de Gestión MIPG</t>
  </si>
  <si>
    <t>45.12.1</t>
  </si>
  <si>
    <t>Entes Territoriales con procesos de asistencia técnica realizadas.</t>
  </si>
  <si>
    <t>45.13</t>
  </si>
  <si>
    <t>Entes territoriales  con servicio de asistencia técnica en la Medición del Desempeño Municipal.</t>
  </si>
  <si>
    <t>45.13.1</t>
  </si>
  <si>
    <t>45.15</t>
  </si>
  <si>
    <t xml:space="preserve">Entes territoriales  con servicio de asistencia técnica  en el Sistema de Identificación de Potenciales Beneficiarios de Programas Sociales (SISBEN). </t>
  </si>
  <si>
    <t>45.15.1</t>
  </si>
  <si>
    <t>45.16</t>
  </si>
  <si>
    <t>Entes territoriales con servicio de asistencia técnica en la formulación, preparación, seguimiento y evaluación de las políticas públicas.</t>
  </si>
  <si>
    <t>45.16.1</t>
  </si>
  <si>
    <t>45.14</t>
  </si>
  <si>
    <t xml:space="preserve">Entes territoriales  con servicio de asistencia técnica en Banco de Programas y Proyectos de Inversión Nacional (BPIN).  </t>
  </si>
  <si>
    <t>45.14.1</t>
  </si>
  <si>
    <t>202000363-0006</t>
  </si>
  <si>
    <t xml:space="preserve">Implementación  del Modelo Integrado de Planeación y de Gestión MIPG en la Administración Departamental del Quindío </t>
  </si>
  <si>
    <t>45.2</t>
  </si>
  <si>
    <t>Estrategia para el mejoramiento del Índice de Desempeño Fiscal en la Administración Departamental.</t>
  </si>
  <si>
    <t>45.2.1</t>
  </si>
  <si>
    <t>Estrategia  de fortalecimiento  del Índice de Desempeño  Fiscal implementadas.</t>
  </si>
  <si>
    <t>201663000-0016</t>
  </si>
  <si>
    <t>Mejoramiento de la sostenibilidad de los procesos de fiscalización liquidación control y cobranza de los tributos en el Departamento del Quindío</t>
  </si>
  <si>
    <t>45.11</t>
  </si>
  <si>
    <t xml:space="preserve">Programa para el cumplimiento de las políticas y prácticas contables para la administración departamental         </t>
  </si>
  <si>
    <t>45.11.1</t>
  </si>
  <si>
    <t>Programa para el cumplimiento de las políticas y prácticas contables implementado</t>
  </si>
  <si>
    <t>201663000-0017</t>
  </si>
  <si>
    <t>Promoción al acceso a la justicia."Tú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</si>
  <si>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</si>
  <si>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1.2</t>
  </si>
  <si>
    <t>Infraestructura de las Instituciones de Seguridad del Estado con procesos constructivos, y/o mejorados, y/o ampliados, y/o mantenidos, y/o reforzados</t>
  </si>
  <si>
    <t>1.2.1</t>
  </si>
  <si>
    <t>Infraestructura de las Instituciones de Seguridad del Estado construida, mejorada, ampliada, mantenida, y/o reforzada</t>
  </si>
  <si>
    <t>I</t>
  </si>
  <si>
    <t>202000363-0007</t>
  </si>
  <si>
    <t>Construcción y/o mejoramiento de las instituciones públicas y/o de seguridad y  justicia  del estado en el Departamento Quindío</t>
  </si>
  <si>
    <t>Prestación de servicios de salud. "Tú y yo con servicios de salud"</t>
  </si>
  <si>
    <t>Índice Departamental de Competitividad</t>
  </si>
  <si>
    <t>13.11</t>
  </si>
  <si>
    <t xml:space="preserve">Infraestructura hospitalaria con procesos constructivos, mejorados, ampliados, mantenidos, y/o reforzados </t>
  </si>
  <si>
    <t>13.11.1</t>
  </si>
  <si>
    <t>Infraestructura hospitalaria con procesos constructivos, mejorados, ampliados, mantenidos, y/o reforzados realizados</t>
  </si>
  <si>
    <t>2. Salud</t>
  </si>
  <si>
    <t>202000363-0008</t>
  </si>
  <si>
    <t>Construcción y/o mejoramiento de la infraestructura física de las instituciones de salud pública y bienestar social del departamento del Quindío</t>
  </si>
  <si>
    <t>Calidad, cobertura y fortalecimiento de la educación inicial, prescolar, básica y media." Tú y yo con educación y de calidad"</t>
  </si>
  <si>
    <t>mantenidos, y/o reforzados</t>
  </si>
  <si>
    <t>Tasa de cobertura bruta en transición
Tasa de cobertura bruta en educación básica
Tasa de cobertura en educación media
Tasa de deserción escolar intra-anual</t>
  </si>
  <si>
    <t>15.32</t>
  </si>
  <si>
    <t>Infraestructura de Instituciones Educativas con procesos constructivos, mejorados, ampliados, mantenidos, y/o reforzados.</t>
  </si>
  <si>
    <t>15.32.1</t>
  </si>
  <si>
    <t>Infraestructura de Instituciones Educativas construida, mejorada, ampliada, mantenida, y/o reforzada.</t>
  </si>
  <si>
    <t>1. Educación</t>
  </si>
  <si>
    <t>201663000-0021</t>
  </si>
  <si>
    <t>Construir, mantener, mejorar y/o rehabilitar la infraestructura social del Departamento del Quindío</t>
  </si>
  <si>
    <t>Promoción y acceso efectivo a procesos culturales y artísticos. "Tú y yo somos cultura Quindiana"</t>
  </si>
  <si>
    <t>25.3</t>
  </si>
  <si>
    <t>3301068</t>
  </si>
  <si>
    <t>Servicio de mantenimiento de infraestructura cultural</t>
  </si>
  <si>
    <t>25.3.1</t>
  </si>
  <si>
    <t>Infraestructura cultural intervenida</t>
  </si>
  <si>
    <t xml:space="preserve">5. Cultura </t>
  </si>
  <si>
    <t>Fomento a la recreación, la actividad física y el deporte. "Tú y yo en la recreación y el deporte"</t>
  </si>
  <si>
    <t>Cobertura de municipios que participan en programas de recreación, actividad física y deporte social y comunitario en el Departamento del Quindío.
Cobertura de ligas apoyadas en el departamento del Quindío.
Porcentaje de medallería del departamento del Quindío en los Juegos Nacionales.</t>
  </si>
  <si>
    <t>39.4</t>
  </si>
  <si>
    <t xml:space="preserve">Infraestructura  deportiva y/o recreativa con procesos   constructivos ,  y/o mejorados, y/o ampliados, y/o mantenidos, y/o  reforzados </t>
  </si>
  <si>
    <t>39.4.1</t>
  </si>
  <si>
    <t xml:space="preserve">Infraestructura   deportiva y/o recreativa construída y/o mejorada, y/o ampliada, y/o mantenida, y/o  reforzada </t>
  </si>
  <si>
    <t>4. Deporte y Recreación</t>
  </si>
  <si>
    <t>Formación y preparación de deportistas. "Tú y yo campeones"</t>
  </si>
  <si>
    <t>40.1</t>
  </si>
  <si>
    <t>Piscinas construidas y dotadas</t>
  </si>
  <si>
    <t>40.1.1</t>
  </si>
  <si>
    <t>Infraestructura productiva y comercialización. "Tú y yo con agro competitivo"</t>
  </si>
  <si>
    <t>Crecimiento económico del sector agropecuario (PIB)</t>
  </si>
  <si>
    <t>10.4</t>
  </si>
  <si>
    <t>Plazas de mercado adecuadas</t>
  </si>
  <si>
    <t>10.4.1</t>
  </si>
  <si>
    <t>13. Promoción del Desarrollo</t>
  </si>
  <si>
    <t>202000363-0009</t>
  </si>
  <si>
    <t>Construcción y/o mejoramiento  de la infraestructura turística y/o  productiva y  competitiva para el desarrollo del Departamento del Quindío</t>
  </si>
  <si>
    <t xml:space="preserve">Productividad y competitividad de las empresas colombianas. "Tú y yo con empresas competitivas" </t>
  </si>
  <si>
    <t>27.8</t>
  </si>
  <si>
    <t>Mirador turístico construido</t>
  </si>
  <si>
    <t>27.8.1</t>
  </si>
  <si>
    <t>Construcción y/o mejoramiento  de la infraestructura turística y/o  productiva y  competitiva para el desarrollo del Departamento del Quindío.</t>
  </si>
  <si>
    <t>Infraestructura red vial regional. "Tú y yo con movilidad vial"</t>
  </si>
  <si>
    <t>18.2</t>
  </si>
  <si>
    <t>Infraestructura   vial  con procesos  de construcción, mejoramiento, ampliación, mantenimiento y/o  reforzamiento.</t>
  </si>
  <si>
    <t>18.2.1</t>
  </si>
  <si>
    <t>9. Transporte</t>
  </si>
  <si>
    <t>201663000-0019</t>
  </si>
  <si>
    <t>Mantener, mejorar, rehabilitar y/o atender las vías y sus emergencias, en cumplimiento del Plan Vial del Departamento del Quindío</t>
  </si>
  <si>
    <t>3202</t>
  </si>
  <si>
    <t>Conservación de la biodiversidad y sus servicios ecosistémicos. "Tú y yo en territorios biodiversos"</t>
  </si>
  <si>
    <t xml:space="preserve">Porcentaje de Ecosistemas protegidos y/o en procesos de restauración en el Departamento </t>
  </si>
  <si>
    <t>21.3</t>
  </si>
  <si>
    <t xml:space="preserve">Infraestructura ecoturística construida </t>
  </si>
  <si>
    <t>21.3.1</t>
  </si>
  <si>
    <t>Ordenamiento Ambiental Territorial. "Tú y yo planificamos con sentido ambiental"</t>
  </si>
  <si>
    <t>23.5.1</t>
  </si>
  <si>
    <t>Obras de infraestructura para mitigación y atención a desastres</t>
  </si>
  <si>
    <t xml:space="preserve">Obras de infraestructura para mitigación y atención a desastres realizadas </t>
  </si>
  <si>
    <t>Acceso a soluciones de vivienda. "Tú y yo con vivienda digna"</t>
  </si>
  <si>
    <t>33.3</t>
  </si>
  <si>
    <t>Viviendas de interés social urbanas mejoradas</t>
  </si>
  <si>
    <t>33.3.1</t>
  </si>
  <si>
    <t>Viviendas de Interés Social urbanas mejoradas</t>
  </si>
  <si>
    <t>7. Vivienda</t>
  </si>
  <si>
    <t>Acceso de la población a los servicios de agua potable y saneamiento básico. "Tú y yo con calidad del agua"</t>
  </si>
  <si>
    <t xml:space="preserve">Cobertura de acueducto
Cobertura  de alcantarillado </t>
  </si>
  <si>
    <t>34.6</t>
  </si>
  <si>
    <t xml:space="preserve">Adoptar e implementar la Política Pública de Producción Consumo Sostenible y Gestión Integral de Aseo  </t>
  </si>
  <si>
    <t>34.6.1</t>
  </si>
  <si>
    <t>Política Pública de Producción Consumo Sostenible y Gestión Integral de Aseo  adoptada e implementada.</t>
  </si>
  <si>
    <t>3. Agua Potable y Saneamiento Básico</t>
  </si>
  <si>
    <t>202000363-0010</t>
  </si>
  <si>
    <t>Implementación del plan departamental para el mamenjo empresarial de los servicios de agua y saneamiento básico en el Departameno del Quindío</t>
  </si>
  <si>
    <t>34.1</t>
  </si>
  <si>
    <t>Alcantarillados construidos</t>
  </si>
  <si>
    <t>34.1.1</t>
  </si>
  <si>
    <t>Plantas de tratamiento de aguas residuales  construidas</t>
  </si>
  <si>
    <t>34.2</t>
  </si>
  <si>
    <t>Servicios de apoyo financiero para la ejecución de proyectos de acueductos y alcantarillado</t>
  </si>
  <si>
    <t>34.2.1</t>
  </si>
  <si>
    <t>Proyectos de acueducto y alcantarillado en área urbana financiados</t>
  </si>
  <si>
    <t>34.4</t>
  </si>
  <si>
    <t>Servicios de educación informal en agua potable y saneamiento básico</t>
  </si>
  <si>
    <t>34.4.1</t>
  </si>
  <si>
    <t>Eventos de educación informal en agua y saneamiento básico realizados</t>
  </si>
  <si>
    <t>34.5</t>
  </si>
  <si>
    <t>Estudios de pre inversión e inversión</t>
  </si>
  <si>
    <t>34.5.1</t>
  </si>
  <si>
    <t xml:space="preserve">Estudios o diseños realizados </t>
  </si>
  <si>
    <t>45.10</t>
  </si>
  <si>
    <t>Infraestructura institucional o  de edificios públicos de atención  de servicios ciudadanos con procesos constructivos y/o mejorados, y/o ampliados, y/o mantenidos, y/o  reforzados</t>
  </si>
  <si>
    <t>45.10.1</t>
  </si>
  <si>
    <t>Infraestructura Institucional o edificios públicos construida mejorada, ampliada, mantenida, y/o reforzada</t>
  </si>
  <si>
    <t>42.7</t>
  </si>
  <si>
    <t>Salones comunales adecuados</t>
  </si>
  <si>
    <t>42.7.1</t>
  </si>
  <si>
    <t xml:space="preserve">309  SECRETARÍA DEL INTERIOR </t>
  </si>
  <si>
    <t>1.1</t>
  </si>
  <si>
    <t>1.1.1</t>
  </si>
  <si>
    <t>Entidades territoriales asistidas técnicamente</t>
  </si>
  <si>
    <t>18. Justicia y Seguridad</t>
  </si>
  <si>
    <t>201663000-0029</t>
  </si>
  <si>
    <t>Apoyo a la convivencia, justicia y cultura de paz en el Departamento del  Quindío</t>
  </si>
  <si>
    <t>Promoción de los métodos de resolución de conflictos. "Tú y yo resolvemos los conflictos"</t>
  </si>
  <si>
    <t>2.1</t>
  </si>
  <si>
    <t>Servicio de asistencia técnica para la implementación de los métodos de resolución de conflictos</t>
  </si>
  <si>
    <t>2.1.1</t>
  </si>
  <si>
    <t>Instituciones públicas y privadas asistidas técnicamente en métodos de resolución de conflictos</t>
  </si>
  <si>
    <t>201663000-0028</t>
  </si>
  <si>
    <t xml:space="preserve">Construcción integral de la seguridad humana en el Departamento de Quindío  </t>
  </si>
  <si>
    <t>Sistema penitenciario y carcelario en el marco de los derechos humanos. "Quindío respeta derechos penitenciarios"</t>
  </si>
  <si>
    <t>3.1</t>
  </si>
  <si>
    <t>Servicio de resocialización de personas privadas de la libertad</t>
  </si>
  <si>
    <t>3.1.1</t>
  </si>
  <si>
    <t>Personas privadas de la libertad (PPL) que reciben Servicio de resocialización</t>
  </si>
  <si>
    <t>15.28</t>
  </si>
  <si>
    <t>Servicio de gestión de riesgos y desastres en establecimientos educativos</t>
  </si>
  <si>
    <t>15.28.1</t>
  </si>
  <si>
    <t>Establecimientos educativos con acciones de gestión del riesgo implementadas</t>
  </si>
  <si>
    <t>201663000-0036</t>
  </si>
  <si>
    <t xml:space="preserve">Administración del  riesgo mediante el conocimiento, la reducción y el manejo del desastre  en el Departamento del Quindío </t>
  </si>
  <si>
    <t>Atención, asistencia y reparación integral a las víctimas. "Tú y yo con reparación integral"</t>
  </si>
  <si>
    <t>Cobertura de la población victima atendida con procesos de atención, prevención y asistencia humanitaria</t>
  </si>
  <si>
    <t>35.2</t>
  </si>
  <si>
    <t>Servicio de orientación y comunicación a las víctimas</t>
  </si>
  <si>
    <t>35.2.1</t>
  </si>
  <si>
    <t>Solicitudes tramitadas</t>
  </si>
  <si>
    <t>14. Atención a Grupos Vulnerables Promoción Social</t>
  </si>
  <si>
    <t>201663000-0030</t>
  </si>
  <si>
    <t>Implementación del Plan de Acción Territorial para la prevención, protección, asistencia, atención, reparación integral en el Departamento del Quindío</t>
  </si>
  <si>
    <t>35.3</t>
  </si>
  <si>
    <t>Servicio de ayuda y atención humanitaria</t>
  </si>
  <si>
    <t>35.3.1</t>
  </si>
  <si>
    <t>Personas víctimas con ayuda humanitaria</t>
  </si>
  <si>
    <t>35.4</t>
  </si>
  <si>
    <t>Servicio de asistencia técnica para la participación de las víctimas</t>
  </si>
  <si>
    <t>35.4.1</t>
  </si>
  <si>
    <t>Eventos de participación realizados</t>
  </si>
  <si>
    <t>Cobertura de víctimas atendidas con la línea de emprendimiento y fortalecimiento.</t>
  </si>
  <si>
    <t>35.5</t>
  </si>
  <si>
    <t>Servicio de apoyo para la generación de ingresos</t>
  </si>
  <si>
    <t>35.5.1</t>
  </si>
  <si>
    <t>Hogares con asistencia técnica para la generación de ingresos</t>
  </si>
  <si>
    <t>Cobertura de Personas víctimas del conflicto beneficiadas con medidas de satisfacción (Construcción de memoria, Reparación simbólica y Construcción de lugares de memoria)</t>
  </si>
  <si>
    <t>35.1</t>
  </si>
  <si>
    <t>Servicio de asistencia técnica para la realización de iniciativas de memoria histórica</t>
  </si>
  <si>
    <t>35.1.1</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</si>
  <si>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</si>
  <si>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</si>
  <si>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</si>
  <si>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37.8</t>
  </si>
  <si>
    <t>Servicio de atención y asistencia para la población excombatiente del Departamento del Quindío</t>
  </si>
  <si>
    <t>37.8.1</t>
  </si>
  <si>
    <t>Población excombatiente beneficiada</t>
  </si>
  <si>
    <t>201663000-0032</t>
  </si>
  <si>
    <t>Implementación del Plan Integral de prevención de vulneraciones de los Derechos Humanos DDHH e infracciones  al Derecho Internacional Humanitario DIH en el Departamento del Quindío</t>
  </si>
  <si>
    <t>Fortalecimiento de la convivencia y la seguridad ciudadana. "Tú y yo seguros"</t>
  </si>
  <si>
    <t>41.3</t>
  </si>
  <si>
    <t>Fortalecimiento institucional a organismos de seguridad</t>
  </si>
  <si>
    <t>41.3.1</t>
  </si>
  <si>
    <t>Organismos de seguridad fortalecidos</t>
  </si>
  <si>
    <t>41.2</t>
  </si>
  <si>
    <t>Servicio de apoyo para la implementación de medidas en derechos humanos y derecho internacional humanitario</t>
  </si>
  <si>
    <t>41.2.1</t>
  </si>
  <si>
    <t>Medidas implementadas en cumplimiento de las obligaciones internacionales en materia de Derechos Humanos y Derecho Internacional Humanitario</t>
  </si>
  <si>
    <t>41.1</t>
  </si>
  <si>
    <t>Servicio de asistencia técnica</t>
  </si>
  <si>
    <t>41.1.1</t>
  </si>
  <si>
    <t>Instancias territoriales de coordinación institucional asistidas y apoyadas</t>
  </si>
  <si>
    <t>201663000-0039</t>
  </si>
  <si>
    <t>Construcción de la participación ciudadana y control social en el Departamento del Quindío</t>
  </si>
  <si>
    <t>23.1</t>
  </si>
  <si>
    <t>Documentos de estudios técnicos para el ordenamiento ambiental territorial</t>
  </si>
  <si>
    <t>23.1.1</t>
  </si>
  <si>
    <t>Documentos de estudios técnicos para el conocimiento y reducción del riesgo de desastres elaborados</t>
  </si>
  <si>
    <t>12. Prevención y Atención de Desastres</t>
  </si>
  <si>
    <t>23.5</t>
  </si>
  <si>
    <t>Prevención y atención de desastres y emergencias. "Tú y yo preparados en gestión del riesgo"</t>
  </si>
  <si>
    <t>43.1</t>
  </si>
  <si>
    <t>Servicio de educación informal</t>
  </si>
  <si>
    <t>43.1.1</t>
  </si>
  <si>
    <t>Personas capacitadas</t>
  </si>
  <si>
    <t>Cobertura de atención  del Sistema Departamental de Gestión del Riesgo de Desastres del Quindío.</t>
  </si>
  <si>
    <t>43.2</t>
  </si>
  <si>
    <t>43.2.1</t>
  </si>
  <si>
    <t>Instancias territoriales asistidas</t>
  </si>
  <si>
    <t>43.3</t>
  </si>
  <si>
    <t>Servicio de atención a emergencias y desastres</t>
  </si>
  <si>
    <t>43.3.1</t>
  </si>
  <si>
    <t>Centro de reserva  para la atención a emergencias y desastres dotado</t>
  </si>
  <si>
    <t>201663000-0038</t>
  </si>
  <si>
    <t>Apoyo institucional en la gestión del riesgo  en el Departamento del Quindío</t>
  </si>
  <si>
    <t>42.8</t>
  </si>
  <si>
    <t>Servicio de promoción a la participación ciudadana</t>
  </si>
  <si>
    <t>42.8.1</t>
  </si>
  <si>
    <t>Iniciativas para la promoción de la participación ciudadana implementada.</t>
  </si>
  <si>
    <t>42.9</t>
  </si>
  <si>
    <t>Implementar la Política de Libertad Religiosa</t>
  </si>
  <si>
    <t>42.9.1</t>
  </si>
  <si>
    <t>Política de Libertad Religiosa Implementado</t>
  </si>
  <si>
    <t>42.5</t>
  </si>
  <si>
    <t>Fortalecimiento de los organismos  de acción comunal (OAC)  de los doce municipios del Departamento en lo relacionado a sus procesos formativos, participativos, de organización y  gestión.</t>
  </si>
  <si>
    <t>42.5.1</t>
  </si>
  <si>
    <t>201663000-0040</t>
  </si>
  <si>
    <t xml:space="preserve">Desarrollo de los Organismos Comunales en el Departamento del Quindío </t>
  </si>
  <si>
    <t>42.6</t>
  </si>
  <si>
    <t xml:space="preserve">Formulación de la  Política Pública Departamental para la  Acción Comunal </t>
  </si>
  <si>
    <t>42.6.1</t>
  </si>
  <si>
    <t>Una Política Pública formulada.</t>
  </si>
  <si>
    <t>201663000-0042</t>
  </si>
  <si>
    <t xml:space="preserve">Fortalecimiento de las veedurias ciudadanas en el Departamento del Quindío </t>
  </si>
  <si>
    <t xml:space="preserve">310 SECRETARÍA DE CULTURA </t>
  </si>
  <si>
    <t>25.6</t>
  </si>
  <si>
    <t>Servicio de educación informal en áreas artísticas y culturales</t>
  </si>
  <si>
    <t>25.6.1</t>
  </si>
  <si>
    <t>201663000-0046</t>
  </si>
  <si>
    <t>Apoyo al arte y la cultura en todo el Departamento del Quindío</t>
  </si>
  <si>
    <t>25.4</t>
  </si>
  <si>
    <t>Servicio de circulación artística y cultural</t>
  </si>
  <si>
    <t>25.4.1</t>
  </si>
  <si>
    <t>Producciones artísticas en circulación</t>
  </si>
  <si>
    <t>25.5</t>
  </si>
  <si>
    <t>Servicios bibliotecarios</t>
  </si>
  <si>
    <t>25.5.1</t>
  </si>
  <si>
    <t>Usuarios atendidos</t>
  </si>
  <si>
    <t>202000363-0011</t>
  </si>
  <si>
    <t xml:space="preserve">Implementación del programa "Tú y Yo Somos Cultura", para el fortalecimiento a la léctura,  escitura  y bibliotecas en el Departamento del Quindío </t>
  </si>
  <si>
    <t>25.9</t>
  </si>
  <si>
    <t>Servicio de divulgación y publicaciones</t>
  </si>
  <si>
    <t>25.9.1</t>
  </si>
  <si>
    <t>Publicaciones realizadas</t>
  </si>
  <si>
    <t>25.8</t>
  </si>
  <si>
    <t>Servicio de información para el sector artístico y cultural</t>
  </si>
  <si>
    <t>25.8.1</t>
  </si>
  <si>
    <t>Sistema de información del sector artístico y cultural en operación</t>
  </si>
  <si>
    <t>202000363-0012</t>
  </si>
  <si>
    <t xml:space="preserve"> Implementación de la "Ruta de la felicidad y la identidad quindiana", para  el fortalecimiento y visibilización de los procesos   artisticos  y culturales   en el Departamento del Quindío</t>
  </si>
  <si>
    <t>25.7</t>
  </si>
  <si>
    <t>Servicio de asistencia técnica en gestión artística y cultural</t>
  </si>
  <si>
    <t>25.7.1</t>
  </si>
  <si>
    <t>Personas asistidas técnicamente</t>
  </si>
  <si>
    <t>201663000-0045</t>
  </si>
  <si>
    <t xml:space="preserve">Apoyo a seguridad social del creador y gestor cultural del Departamento del Quindío </t>
  </si>
  <si>
    <t>Gestión, protección y salvaguardia del patrimonio cultural colombiano. "Tú y yo protectores del patrimonio cultural"</t>
  </si>
  <si>
    <t>26.1</t>
  </si>
  <si>
    <t>Servicio de asistencia técnica en el manejo y gestión del patrimonio arqueológico, antropológico e histórico.</t>
  </si>
  <si>
    <t>26.1.1</t>
  </si>
  <si>
    <t xml:space="preserve">Asistencias técnicas realizadas a entidades territoriales </t>
  </si>
  <si>
    <t>201663000-0049</t>
  </si>
  <si>
    <t>Apoyo al reconocimiento, apropiación y salvaguardia y difusión del patrimonio cultural en todo el Departamento del Quindío</t>
  </si>
  <si>
    <t>26.2</t>
  </si>
  <si>
    <t>Servicio de divulgación y publicación del Patrimonio cultural</t>
  </si>
  <si>
    <t>26.2.1</t>
  </si>
  <si>
    <t xml:space="preserve">311 SECRETARÍA DE TURISMO INDUSTRIA Y COMERCIO </t>
  </si>
  <si>
    <t>27.1</t>
  </si>
  <si>
    <t>Servicio de apoyo y consolidación de las Comisiones Regionales de Competitividad - CRC</t>
  </si>
  <si>
    <t>27.1.1</t>
  </si>
  <si>
    <t xml:space="preserve">Planes de trabajo concertados con las CRC para su consolidación </t>
  </si>
  <si>
    <t>201663000-0051</t>
  </si>
  <si>
    <t>Apoyo al mejoramiento de la competitividad a iniciativas  productivas en el  Departamento del Quindío</t>
  </si>
  <si>
    <t>27.2</t>
  </si>
  <si>
    <t>27.2.1</t>
  </si>
  <si>
    <t>Clústeres asistidos en la implementación de los planes de acción</t>
  </si>
  <si>
    <t>27.4</t>
  </si>
  <si>
    <t>Servicio de asistencia técnica a las Mipymes para el acceso a nuevos mercados</t>
  </si>
  <si>
    <t>27.4.1</t>
  </si>
  <si>
    <t>Empresas asistidas técnicamente</t>
  </si>
  <si>
    <t>201663000-0056</t>
  </si>
  <si>
    <t xml:space="preserve">Fortalecimiento del sector empresarial  hacia mercados globales en el Departamento del Quindío .   </t>
  </si>
  <si>
    <t>27.7</t>
  </si>
  <si>
    <t>Documentos de planeación</t>
  </si>
  <si>
    <t>27.7.1</t>
  </si>
  <si>
    <t>Documentos de planeación elaborados</t>
  </si>
  <si>
    <t>27.5</t>
  </si>
  <si>
    <t>Servicio de asistencia técnica a los entes territoriales para el desarrollo turístico</t>
  </si>
  <si>
    <t>27.5.1</t>
  </si>
  <si>
    <t>201663000-0059</t>
  </si>
  <si>
    <t>Fortalecimiento de la oferta de prestadores de servicos, productos y atractivos turísticos en el Departamento del Quindío</t>
  </si>
  <si>
    <t>27.5.2</t>
  </si>
  <si>
    <t>Proyectos de infraestructura turística apoyados</t>
  </si>
  <si>
    <t>27.6</t>
  </si>
  <si>
    <t>Servicio de promoción turística</t>
  </si>
  <si>
    <t>27.6.1</t>
  </si>
  <si>
    <t>Campañas realizadas</t>
  </si>
  <si>
    <t>201663000-0062</t>
  </si>
  <si>
    <t>Apoyo a la promoción nacional e internacional como destino  turísmo del Departamento del Quindío</t>
  </si>
  <si>
    <t>Generación y formalización del empleo. "Tú y yo con empleo de calidad"</t>
  </si>
  <si>
    <t>28.1</t>
  </si>
  <si>
    <t>Servicios de apoyo financiero para la creación de empresas</t>
  </si>
  <si>
    <t>28.1.1</t>
  </si>
  <si>
    <t>Planes de negocio financiados</t>
  </si>
  <si>
    <t>201663000-0053</t>
  </si>
  <si>
    <t>Apoyo al emprendimiento, empresarismo, asociatividad y generación de empleo en el departamento del Quindío</t>
  </si>
  <si>
    <t>28.4</t>
  </si>
  <si>
    <t>Servicio de asesoría técnica para el emprendimiento.</t>
  </si>
  <si>
    <t>28.4.1</t>
  </si>
  <si>
    <t>Emprendimientos fortalecidos</t>
  </si>
  <si>
    <t>28.2</t>
  </si>
  <si>
    <t>28.2.1</t>
  </si>
  <si>
    <t>Talleres de oferta institucional realizados</t>
  </si>
  <si>
    <t>28.3</t>
  </si>
  <si>
    <t>Servicio de información y monitoreo del mercado de trabajo</t>
  </si>
  <si>
    <t>28.3.1</t>
  </si>
  <si>
    <t>Reportes realizados</t>
  </si>
  <si>
    <t xml:space="preserve">312 SECRETARÍA DE AGRICULTURA, DESARROLLO RURAL Y MEDIO AMBIENTE </t>
  </si>
  <si>
    <t>Inclusión productiva de pequeños productores rurales. "Tú y yo con oportunidades para el pequeño campesino"</t>
  </si>
  <si>
    <t>4.3</t>
  </si>
  <si>
    <t>Servicio de asesoría para el fortalecimiento de la asociatividad</t>
  </si>
  <si>
    <t>4.3.1</t>
  </si>
  <si>
    <t>Asociaciones fortalecidas</t>
  </si>
  <si>
    <t>201663000-0075</t>
  </si>
  <si>
    <t xml:space="preserve">Fomento al emprendimiento y  al empleo rural en el Departamento del Quindío  </t>
  </si>
  <si>
    <t>4.1</t>
  </si>
  <si>
    <t>Servicio de apoyo financiero para proyectos productivos</t>
  </si>
  <si>
    <t>4.1.1</t>
  </si>
  <si>
    <t>Proyectos productivos cofinanciados</t>
  </si>
  <si>
    <t>4.5</t>
  </si>
  <si>
    <t>Servicio de apoyo para el fomento organizativo de la agricultura campesina, familiar y comunitaria</t>
  </si>
  <si>
    <t>4.5.1</t>
  </si>
  <si>
    <t>Productores agropecuarios apoyados</t>
  </si>
  <si>
    <t>8. Agropecuario</t>
  </si>
  <si>
    <t>201663000-0079</t>
  </si>
  <si>
    <t>Fomento a la agricultura familiar , urbana y  mercados campesinos para la soberanía y  Seguridad alimentaria en el Departamento del Quindío</t>
  </si>
  <si>
    <t>4.10</t>
  </si>
  <si>
    <t>Servicio de apoyo a la comercialización</t>
  </si>
  <si>
    <t>4.10.1</t>
  </si>
  <si>
    <t>Organizaciones de productores formales apoyadas</t>
  </si>
  <si>
    <t>201663000-0078</t>
  </si>
  <si>
    <t>Fortalecimiento a la competitividad productiva y empresarial del sector rural en el Departamento del Quindío</t>
  </si>
  <si>
    <t>4.10.2</t>
  </si>
  <si>
    <t>Productores apoyados para la participación en mercados campesinos</t>
  </si>
  <si>
    <t>4.7</t>
  </si>
  <si>
    <t>4.7.1</t>
  </si>
  <si>
    <t>Planes de Desarrollo Agropecuario y Rural elaborados</t>
  </si>
  <si>
    <t>Implementación de procesos de extensión agropecuaria e inocuidad (estatus sanitario, BPA, BPG) alimentaria; en el Departamento del Quindío</t>
  </si>
  <si>
    <t>4.8</t>
  </si>
  <si>
    <t>Servicios de acompañamiento en la implementación de planes de desarrollo agropecuario y rural</t>
  </si>
  <si>
    <t>4.8.1</t>
  </si>
  <si>
    <t>Planes de Desarrollo Agropecuario y Rural acompañados</t>
  </si>
  <si>
    <t>4.4</t>
  </si>
  <si>
    <t>Servicio de apoyo para el acceso a maquinaria y equipos</t>
  </si>
  <si>
    <t>4.4.1</t>
  </si>
  <si>
    <t>Productores beneficiados con acceso a maquinaria y equipo</t>
  </si>
  <si>
    <t>202000363-0014</t>
  </si>
  <si>
    <t>Implementación de procesos productivos agropecuarios familiares campesinos en busca de la soberanía y seguridad alimentaria en el Departamento del Quindío</t>
  </si>
  <si>
    <t>Servicio de apoyo para el fomento organizativo de la Agricultura Campesina, Familiar y Comunitaria</t>
  </si>
  <si>
    <t>4.6</t>
  </si>
  <si>
    <t>Servicio de acompañamiento productivo y empresarial</t>
  </si>
  <si>
    <t>4.6.1</t>
  </si>
  <si>
    <t>Unidades productivas beneficiadas</t>
  </si>
  <si>
    <t>4.9</t>
  </si>
  <si>
    <t>Servicio de apoyo en la formulación y estructuración de proyectos</t>
  </si>
  <si>
    <t>4.9.1</t>
  </si>
  <si>
    <t>Proyectos estructurados</t>
  </si>
  <si>
    <t>202000363-0015</t>
  </si>
  <si>
    <t xml:space="preserve">Implementación de procesos de agro industrialización con calidad e inocuidad en el Departamento del Quindío </t>
  </si>
  <si>
    <t>Servicios financieros y gestión del riesgo para las actividades agropecuarias y rurales. "Tú y yo con un campo protegido"</t>
  </si>
  <si>
    <t>5.1</t>
  </si>
  <si>
    <t>Servicio de apoyo a la implementación de mecanismos y herramientas para el conocimiento, reducción y manejo de riesgos agropecuarios</t>
  </si>
  <si>
    <t>5.1.1</t>
  </si>
  <si>
    <t>Personas beneficiadas</t>
  </si>
  <si>
    <t>Ordenamiento social y uso productivo del territorio rural. "Tú y yo con un campo planificado"</t>
  </si>
  <si>
    <t>6.1</t>
  </si>
  <si>
    <t>Documentos de lineamientos técnicos</t>
  </si>
  <si>
    <t>6.1.1</t>
  </si>
  <si>
    <t>Documentos de lineamientos para el ordenamiento social y productivo elaborados</t>
  </si>
  <si>
    <t>202000363-0016</t>
  </si>
  <si>
    <t>Implementación de procesos de ordenamiento productivo y social territorial</t>
  </si>
  <si>
    <t>6.2</t>
  </si>
  <si>
    <t>Servicio de apoyo para el fomento de la formalidad</t>
  </si>
  <si>
    <t>6.2.1</t>
  </si>
  <si>
    <t xml:space="preserve">Personas sensibilizadas en la formalización </t>
  </si>
  <si>
    <t>Aprovechamiento de mercados externos. "Tú y yo a los mercados internacionales"</t>
  </si>
  <si>
    <t>7.1</t>
  </si>
  <si>
    <t>Servicio de apoyo financiero para la participación en ferias nacionales e internacionales</t>
  </si>
  <si>
    <t>7.1.1</t>
  </si>
  <si>
    <t>Participaciones en ferias nacionales e internacionales</t>
  </si>
  <si>
    <t>Sanidad agropecuaria e inocuidad agroalimentaria. "Tú y yo con un agro saludable"</t>
  </si>
  <si>
    <t>8.1</t>
  </si>
  <si>
    <t>Servicio de divulgación y socialización</t>
  </si>
  <si>
    <t>8.1.1</t>
  </si>
  <si>
    <t>Eventos realizados</t>
  </si>
  <si>
    <t>Ciencia, tecnología e innovación agropecuaria. "Tú y yo con un agro interconectado"</t>
  </si>
  <si>
    <t>9.1</t>
  </si>
  <si>
    <t>9.1.1</t>
  </si>
  <si>
    <t>Documentos de lineamientos técnicos elaborados</t>
  </si>
  <si>
    <t>202000363-0017</t>
  </si>
  <si>
    <t xml:space="preserve">Implementación de procesos de innovación, ciencia y tecnología agropecuario en el Departamento del Quindío </t>
  </si>
  <si>
    <t>10.1</t>
  </si>
  <si>
    <t>Centros logísticos agropecuarios adecuados</t>
  </si>
  <si>
    <t>10.1.1</t>
  </si>
  <si>
    <t>Implementación de procesos de agro industrialización con calidad e inocuidad en el Departamento del Quindío</t>
  </si>
  <si>
    <t>10.2</t>
  </si>
  <si>
    <t>Infraestructura de pos cosecha adecuada</t>
  </si>
  <si>
    <t>10.2.1</t>
  </si>
  <si>
    <t>Crecimiento económico del sector agropecuario (PIB)
Tasa desempleo</t>
  </si>
  <si>
    <t>27.3</t>
  </si>
  <si>
    <t>Servicio de asistencia técnica para emprendedores y/o empresas en edad temprana</t>
  </si>
  <si>
    <t>27.3.1</t>
  </si>
  <si>
    <t xml:space="preserve">Necesidades empresariales atendidas a partir de emprendimientos </t>
  </si>
  <si>
    <t>Servicio de asistencia técnica para el desarrollo de iniciativas clústeres</t>
  </si>
  <si>
    <t>3201</t>
  </si>
  <si>
    <t>Fortalecimiento del desempeño ambiental de los sectores productivos. "Tú y yo guardianes de la biodiversidad.</t>
  </si>
  <si>
    <t>20.2</t>
  </si>
  <si>
    <t>Documentos de lineamientos técnicos para mejorar la calidad ambiental de las áreas urbanas</t>
  </si>
  <si>
    <t>20.2.1</t>
  </si>
  <si>
    <t>10. Ambiental</t>
  </si>
  <si>
    <t>202000363-0018</t>
  </si>
  <si>
    <t xml:space="preserve">Fortalecimiento de los procesos de gestión ambiental urbana y rural para la protección del paisaje y la biodiversidad en el Departamento del Quindío </t>
  </si>
  <si>
    <t>21.2</t>
  </si>
  <si>
    <t>Servicio apoyo financiero para la implementación de esquemas de pago por servicio ambientales</t>
  </si>
  <si>
    <t>21.2.1</t>
  </si>
  <si>
    <t>201663000-0067</t>
  </si>
  <si>
    <t>Gestón integral de cuencas hidrográficas en el Departamento del Quindío</t>
  </si>
  <si>
    <t>21.4</t>
  </si>
  <si>
    <t>Servicio de recuperación de cuerpos de agua lénticos y lóticos</t>
  </si>
  <si>
    <t>21.4.1</t>
  </si>
  <si>
    <t>Bosque ripario recuperado</t>
  </si>
  <si>
    <t>201663000-0068</t>
  </si>
  <si>
    <t>Aplicación de mecanismos de protección ambiental en el Departamento del Quindío</t>
  </si>
  <si>
    <t>21.7</t>
  </si>
  <si>
    <t>21.7.1</t>
  </si>
  <si>
    <t xml:space="preserve">Numero de Hectáreas intervenidas </t>
  </si>
  <si>
    <t>21.5</t>
  </si>
  <si>
    <t xml:space="preserve">Estrategia  departamental para la protección y bienestar de los animales domésticos y silvestres del Departamento </t>
  </si>
  <si>
    <t>21.5.1</t>
  </si>
  <si>
    <t>Estrategia  para la protección y bienestar de los animales domésticos y silvestres adoptada</t>
  </si>
  <si>
    <t>202000363-0019</t>
  </si>
  <si>
    <t>Apoyo a la generación de entornos  amigables para nuestros animales en el departamento del Quindío</t>
  </si>
  <si>
    <t>21.6</t>
  </si>
  <si>
    <t>Realizar  campaña  de sensibilización y apropiación del patrimonio ambiental en el Departamento</t>
  </si>
  <si>
    <t>21.6.1</t>
  </si>
  <si>
    <t>Campaña  de sensibilización y apropiación del patrimonio ambiental realizada</t>
  </si>
  <si>
    <t>201663000-0069</t>
  </si>
  <si>
    <t>Fortalecimiento  y potencialización de los servicios ecosistemicos en el Departamento del Quindío</t>
  </si>
  <si>
    <t>3204</t>
  </si>
  <si>
    <t>Gestión de la información y el conocimiento ambiental. "Tú y yo conscientes con la naturaleza"</t>
  </si>
  <si>
    <t>22.1</t>
  </si>
  <si>
    <t>Servicio de apoyo financiero a emprendimientos</t>
  </si>
  <si>
    <t>22.1.1</t>
  </si>
  <si>
    <t xml:space="preserve">Emprendimientos apoyados </t>
  </si>
  <si>
    <t>202000363-0020</t>
  </si>
  <si>
    <t xml:space="preserve">Apoyo a nuevos modelos de vida sostenibles, sustentables y eficientes en el suelo rural y urbano en el Departamento del Quindío </t>
  </si>
  <si>
    <t>Obras para estabilización de taludes</t>
  </si>
  <si>
    <t>23.3.1</t>
  </si>
  <si>
    <t>Obras para estabilización de taludes realizadas</t>
  </si>
  <si>
    <t>3206</t>
  </si>
  <si>
    <t>Gestión del cambio climático para un desarrollo bajo en carbono y resiliente al clima. "Tú y yo preparados para el cambio climático"</t>
  </si>
  <si>
    <t>24.2</t>
  </si>
  <si>
    <t>Servicio de producción de plántulas en viveros</t>
  </si>
  <si>
    <t>24.2.1</t>
  </si>
  <si>
    <t>Plántulas producidas</t>
  </si>
  <si>
    <t>202000363-0021</t>
  </si>
  <si>
    <t xml:space="preserve">313 DIRECCIÓN OFICINA PRIVADA </t>
  </si>
  <si>
    <t>Fortalecimiento de la Gestión  y Desempeño Institucional</t>
  </si>
  <si>
    <t>45.8</t>
  </si>
  <si>
    <t>Desarrollo de  la Política  de Transparencia, Acceso a la Información Pública y Lucha Contra la Corrupción del Modelo Integrado de Planificación y Gestión MIPG, articulada con el "Pacto por la Integridad , Transparencia y Legalidad" del Gobierno Nacional</t>
  </si>
  <si>
    <t>45.8.1</t>
  </si>
  <si>
    <t>201663000-0082</t>
  </si>
  <si>
    <t>Desarrollar y fortalecer la cultura de la transparencia, participación, buen gobierno  y valores éticos y morales en el Departamento del Quindío</t>
  </si>
  <si>
    <t>45.7</t>
  </si>
  <si>
    <t>Desarrollo e implementación de la estrategia de comunicaciones para la Administración Departamental</t>
  </si>
  <si>
    <t>45.7.1</t>
  </si>
  <si>
    <t>Estrategia de comunicaciones desarrollada e implementada</t>
  </si>
  <si>
    <t>201663000-0081</t>
  </si>
  <si>
    <t>Implementación de  la estrategia de comunicaciones para  la divulgación de  los programas, proyectos,  actividades y servicios del Departamento del Quindío</t>
  </si>
  <si>
    <t>42.4</t>
  </si>
  <si>
    <t>42.4.1</t>
  </si>
  <si>
    <t>Encuentros  ciudadanos realizados.</t>
  </si>
  <si>
    <t>202000363-0022</t>
  </si>
  <si>
    <t>Fortalecimiento de  las capacidades institucionales de la administración departamental del Quindío, para generar condiciones de gobernanza territorial, participación, administración eficiente y transparente.</t>
  </si>
  <si>
    <t xml:space="preserve">314 SECRETARÍA DE EDUCACIÓN </t>
  </si>
  <si>
    <t>Tasa de deserción escolar intra -anual</t>
  </si>
  <si>
    <t>15.13</t>
  </si>
  <si>
    <t>Servicio de fomento para la permanencia en programas de educación formal</t>
  </si>
  <si>
    <t>15.13.1</t>
  </si>
  <si>
    <t>Personas beneficiarias de estrategias de permanencia</t>
  </si>
  <si>
    <t>201663000-0084</t>
  </si>
  <si>
    <t xml:space="preserve">Fortalecimiento de las estrategias para el acceso,  permanencia y seguridad  de los niños, niñas y jóvenes en el  sistema educativo del Departamento del Quindío </t>
  </si>
  <si>
    <t>Tasa de cobertura bruta en transición
Tasa de cobertura bruta en educación básica
Tasa de cobertura en educación media
Tasa de deserción escolar intra-anual
Tasa de repitencia</t>
  </si>
  <si>
    <t>15.9</t>
  </si>
  <si>
    <t>Servicio de apoyo a la permanencia con alimentación escolar</t>
  </si>
  <si>
    <t>15.9.1</t>
  </si>
  <si>
    <t>Beneficiarios de la alimentación escolar</t>
  </si>
  <si>
    <t xml:space="preserve">Tasa de cobertura bruta en educación básica
Tasa de cobertura en educación media
</t>
  </si>
  <si>
    <t>15.22</t>
  </si>
  <si>
    <t>Servicio de apoyo para la implementación de la estrategia educativa del sistema de responsabilidad penal para adolescentes</t>
  </si>
  <si>
    <t>15.22.1</t>
  </si>
  <si>
    <t>Entidades Territoriales certificadas con asistencia técnica para el fortalecimiento de la estrategia educativa del sistema de responsabilidad penal para adolescentes</t>
  </si>
  <si>
    <t>201663000-0086</t>
  </si>
  <si>
    <t>Implementación de estrategias de inclusión para garantizar la atención educativa a población vulnerable en el  Departamento del  Quindío</t>
  </si>
  <si>
    <t>Tasa de cobertura bruta en educación básica
Tasa de cobertura en educación media
Tasa de Analfabetismo
Tasa de deserción escolar intra-anual
Tasa de repitencia</t>
  </si>
  <si>
    <t>15.11</t>
  </si>
  <si>
    <t>Servicio educación formal por modelos educativos flexibles</t>
  </si>
  <si>
    <t>15.11.1</t>
  </si>
  <si>
    <t>Beneficiarios atendidos con modelos educativos flexibles</t>
  </si>
  <si>
    <t xml:space="preserve">Tasa de cobertura bruta en transición
Tasa de cobertura bruta en educación básica
Tasa de cobertura en educación media
</t>
  </si>
  <si>
    <t>15.30</t>
  </si>
  <si>
    <t>Servicio educativo</t>
  </si>
  <si>
    <t>15.30.1</t>
  </si>
  <si>
    <t>Establecimientos educativos en operación</t>
  </si>
  <si>
    <t>201663000-0087</t>
  </si>
  <si>
    <t>201663000-0098</t>
  </si>
  <si>
    <t>Funcionamiento y prestación de servicios del sector educativo del nivel central en el Departamento del Quindío</t>
  </si>
  <si>
    <t>Tasa de cobertura bruta en transición
Tasa de cobertura bruta en educación básica
Tasa de cobertura en educación media
Tasa de Analfabetismo
Tasa de deserción escolar intra-anual
Tasa de repitencia</t>
  </si>
  <si>
    <t>15.2</t>
  </si>
  <si>
    <t>Servicio de asistencia técnica en educación inicial, preescolar, básica y media</t>
  </si>
  <si>
    <t>15.2.1</t>
  </si>
  <si>
    <t>Entidades y organizaciones asistidas técnicamente</t>
  </si>
  <si>
    <t>201663000-0090</t>
  </si>
  <si>
    <t>Mejoramiento de ambientes escolares y  fortalecimiento de modelos educativos articuladores de la ciencia, los lenguajes, las artes y el deporte en el Departamento del Quindío</t>
  </si>
  <si>
    <t>15.18</t>
  </si>
  <si>
    <t>Servicios de asistencia técnica en innovación educativa en la educación inicial, preescolar, básica y media</t>
  </si>
  <si>
    <t>15.18.1</t>
  </si>
  <si>
    <t>Instituciones educativas asistidas técnicamente en innovación educativa</t>
  </si>
  <si>
    <t xml:space="preserve">Tasa de cobertura bruta en transición
Tasa de cobertura bruta en educación básica
Tasa de cobertura en educación media 
Tasa de deserción escolar intra-anual </t>
  </si>
  <si>
    <t>Servicio de acondicionamiento de ambientes de aprendizaje</t>
  </si>
  <si>
    <t>15.8.1</t>
  </si>
  <si>
    <t>Ambientes de aprendizaje en funcionamiento</t>
  </si>
  <si>
    <t>201663000-0093</t>
  </si>
  <si>
    <t>Mejoramiento de estrategias que permitan una mayor eficiencia en la gestión de procesos y proyectos de las instituciones educativas del Departamento del Quindío</t>
  </si>
  <si>
    <t>201663000-0095</t>
  </si>
  <si>
    <t xml:space="preserve">Fortalecimiento de los niveles de educación  básica y media para la articulación con la educación terciaria en el Departamento del Quindío </t>
  </si>
  <si>
    <t>Tasa de cobertura bruta en transición</t>
  </si>
  <si>
    <t>15.16</t>
  </si>
  <si>
    <t>Servicio de atención integral para la primera infancia</t>
  </si>
  <si>
    <t>15.16.1</t>
  </si>
  <si>
    <t>Instituciones educativas oficiales que implementan el nivel preescolar en el marco de la atención integral</t>
  </si>
  <si>
    <t>201663000-0101</t>
  </si>
  <si>
    <t xml:space="preserve">Implementación del modelo de atención integral de la educación inicial en el Departamento del  Quindío </t>
  </si>
  <si>
    <t>15.20</t>
  </si>
  <si>
    <t>Servicio de accesibilidad a contenidos web para fines pedagógicos</t>
  </si>
  <si>
    <t>15.20.2</t>
  </si>
  <si>
    <t>Establecimientos educativos conectados a internet</t>
  </si>
  <si>
    <t>201663000-0097</t>
  </si>
  <si>
    <t xml:space="preserve">Fortalecimiento de las herramientas tecnológicas en las Instituciones Educativas del Departamento del Quindío </t>
  </si>
  <si>
    <t>15.20.1</t>
  </si>
  <si>
    <t>Estudiantes con acceso a contenidos web en el establecimiento educativo</t>
  </si>
  <si>
    <t>Porcentaje de estudiantes de grado 11 con dominio de inglés a nivel B1 (preintermedio)</t>
  </si>
  <si>
    <t>15.14</t>
  </si>
  <si>
    <t>15.14.1</t>
  </si>
  <si>
    <t>Estudiantes beneficiados con estrategias de promoción del bilingüismo</t>
  </si>
  <si>
    <t>202000363-0023</t>
  </si>
  <si>
    <t>Fortalecer las competencias comunicativas en lengua extranjera en estudiantes y docentes de las instituciones educativas oficiales del Departamento del Quindío</t>
  </si>
  <si>
    <t>15.14.2</t>
  </si>
  <si>
    <t>Instituciones educativas fortalecidas en competencias comunicativas en un segundo idioma</t>
  </si>
  <si>
    <t>15.23</t>
  </si>
  <si>
    <t>Servicio educativo de promoción del bilingüismo para docentes</t>
  </si>
  <si>
    <t>15.23.1</t>
  </si>
  <si>
    <t>Docentes beneficiados con estrategias de promoción del bilingüismo</t>
  </si>
  <si>
    <t>15.6</t>
  </si>
  <si>
    <t>Servicio de monitoreo y seguimiento a la gestión del sector educativo</t>
  </si>
  <si>
    <t>15.6.1</t>
  </si>
  <si>
    <t>Entidades territoriales con seguimiento y evaluación a la gestión.</t>
  </si>
  <si>
    <t>202000363-0024</t>
  </si>
  <si>
    <t>Fortalecimiento de la educación media para la articulación con la educación superior o terciaria. "Tú y yo preparados para la educación superior"</t>
  </si>
  <si>
    <t>Tasa de cobertura en educación superior</t>
  </si>
  <si>
    <t>44.1</t>
  </si>
  <si>
    <t>Servicio de apoyo para el acceso y la permanencia a la educación superior o terciaria</t>
  </si>
  <si>
    <t>44.1.1</t>
  </si>
  <si>
    <t>Estrategias o programas de  fomento para  acceso y  permanencia a la educación superior o terciaria implementados</t>
  </si>
  <si>
    <t>Fortalecimiento de los niveles de educación  básica y media para la articulación con la educación terciaria en el Departamento del Quindío</t>
  </si>
  <si>
    <t>2017003630-122</t>
  </si>
  <si>
    <t>Implementación de un fondo de apoyo departamental para el acceso y la permanencia de la educacion técnica, tecnológica y superior en el Departamento del Quindío</t>
  </si>
  <si>
    <t>316 SECRETARÍA DE FAMILIA</t>
  </si>
  <si>
    <t>INCLUSION SOCIAL</t>
  </si>
  <si>
    <t>Salud Pública, "Tú y yo con salud de calidad"</t>
  </si>
  <si>
    <t>Razón de mortalidad materna (por 100.000 nacidos vivos)
Porcentaje de atención institucional del parto.
Tasa  de mujeres de 10 a 14 años que han sido madres o están en embarazo.
Tasa de mujeres de 15 a 19 años que han sido madres o están en embarazo.
Prevalencia de VIH/SIDA en población de 15 a 49 años de edad.
Tasa de mortalidad asociada a VIH/SIDA.
Porcentaje transmisión materno -infantil del VIH.
Cobertura de tratamiento antiretroviral</t>
  </si>
  <si>
    <t>12.6</t>
  </si>
  <si>
    <t xml:space="preserve">Servicio de gestión del riesgo en temas de salud sexual y reproductiva </t>
  </si>
  <si>
    <t>12.6.1</t>
  </si>
  <si>
    <t>Campañas de gestión del riesgo en temas de salud sexual y reproductiva implementadas.</t>
  </si>
  <si>
    <t>202000363-0025</t>
  </si>
  <si>
    <t>Diseño e implementación de campañas para la promoción de la vida y prevención del consumo de sustancias psicoactivas "TU Y YO UNIDOS POR LA VIDA".</t>
  </si>
  <si>
    <t>12.7</t>
  </si>
  <si>
    <t xml:space="preserve">Servicio de gestión del riesgo en temas de trastornos mentales </t>
  </si>
  <si>
    <t>12.7.1</t>
  </si>
  <si>
    <t>Campañas de gestión del riesgo en temas de trastornos mentales implementadas</t>
  </si>
  <si>
    <t>25.1</t>
  </si>
  <si>
    <t>Servicio de educación informal al sector artístico y cultural</t>
  </si>
  <si>
    <t>25.1.1</t>
  </si>
  <si>
    <t>Capacitaciones de educación informal realizadas</t>
  </si>
  <si>
    <t>201663000-0110</t>
  </si>
  <si>
    <t>Desarrollo de acciones encaminadas a la atención integral  de los adolescentes y jóvenes del Departamento del Quindío</t>
  </si>
  <si>
    <t>Desarrollo Integral de Niños, Niñas, Adolescentes y sus Familias. "Tú y yo niños, niñas y adolescentes con desarrollo integral"</t>
  </si>
  <si>
    <t>36.4</t>
  </si>
  <si>
    <t xml:space="preserve">Diseñar e implementar un modelo de atención integral en entornos protectores para la primera infancia </t>
  </si>
  <si>
    <t>36.4.1</t>
  </si>
  <si>
    <t>Modelo de atención integral de entornos protectores implementado</t>
  </si>
  <si>
    <t>201663000-0102</t>
  </si>
  <si>
    <t>Implementación de un modelo de atención integral a niños y niñas en entornos protectores en el Departamento del Quindìo</t>
  </si>
  <si>
    <t xml:space="preserve">Cobertura  en la  implementación y seguimiento de las   Rutas integrales de atención  a la primera infancia </t>
  </si>
  <si>
    <t>36.3</t>
  </si>
  <si>
    <t xml:space="preserve">Implementar y realizar seguimiento a las rutas integrales de atención </t>
  </si>
  <si>
    <t>36.3.1</t>
  </si>
  <si>
    <t xml:space="preserve">Numero de rutas integrales de atención  a la  primera infancia implementadas y con seguimiento </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</si>
  <si>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que participan en una actividad remunerada  o no  x cada 100.000 habitantes  en el departamento del Quindío
Tasa  de mujeres de 12 a 14 años que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</si>
  <si>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36.8</t>
  </si>
  <si>
    <t xml:space="preserve">Implementar la  política pública para la protección, el fortalecimiento y el desarrollo integral de la familia Quindiana </t>
  </si>
  <si>
    <t>36.8.1</t>
  </si>
  <si>
    <t>Política Pública de Familia  implementada</t>
  </si>
  <si>
    <t>201663000-0103</t>
  </si>
  <si>
    <t>Formulación e implementación de  la politica pública  de la familia en el departamento del Quindío</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</si>
  <si>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que participan en una actividad remunerada  o no  x cada 100.000 habitantes  en el departamento del Quindío
-Tasa  de mujeres de 12 a 14 años que han sido madres o están en embarazo X 100.000 habitantes en el Departamento del Quindío
-Tasa de Consumo de Sustancias Psicoactivas  x 100.000 Habitantes en el Departamento del Quindío.</t>
  </si>
  <si>
    <t>36.7</t>
  </si>
  <si>
    <t>Revisar, ajustar e implementar  la política pública de primera infancia, infancia y adolescencia</t>
  </si>
  <si>
    <t>36.7.1</t>
  </si>
  <si>
    <t xml:space="preserve">Política Pública de Primera Infancia, Infancia y Adolescencia, revisada, ajustada e implementada. </t>
  </si>
  <si>
    <t>201663000-0109</t>
  </si>
  <si>
    <t>Implementación de la política de primera infancia, infancia y adolescencia en el Departamento del Quindío</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</si>
  <si>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</si>
  <si>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36.9</t>
  </si>
  <si>
    <t xml:space="preserve">Implementar  la política pública de juventud </t>
  </si>
  <si>
    <t>36.9.1</t>
  </si>
  <si>
    <t>Política Pública de Juventud implementada</t>
  </si>
  <si>
    <t>Tasa de Violencia Intrafamiliar x 100.000 Habitantes en el Departamento del Quindío.
Tasa de violencia de Género</t>
  </si>
  <si>
    <t>36.2</t>
  </si>
  <si>
    <t>Rutas integrales de atención en violencia intrafamiliar y  violencia de género</t>
  </si>
  <si>
    <t>36.2.1</t>
  </si>
  <si>
    <t>Capacitación en activación de las Rutas Integrales de Atención en Violencia Intrafamiliar y de Género, a trabajadores de Supermercados y Tenderos de los Municipios realizadas</t>
  </si>
  <si>
    <t>202000363-0026</t>
  </si>
  <si>
    <t>Diseño e implementación de programa de acompañamiento familiar y comunitario con enfoque preventivo en los tipos de violencias en el Departamento del Quindío "TU Y YO COMPROMETIDOS CON LA FAMILIA"</t>
  </si>
  <si>
    <t>36.1</t>
  </si>
  <si>
    <t>Servicio de divulgación para la promoción y prevención de los derechos de los niños, niñas y adolescentes</t>
  </si>
  <si>
    <t>36.1.1</t>
  </si>
  <si>
    <t xml:space="preserve">Eventos de divulgación realizados </t>
  </si>
  <si>
    <t>202000363-0027</t>
  </si>
  <si>
    <t>Diseño e implementación de programa comunitario para la prevención de los derechos de niños, niñas y adolescentes y su desarrollo integral. "TU Y YO COMPROMETIDOS CON LOS SUEÑOS".</t>
  </si>
  <si>
    <t>Cobertura de adolescentes y jóvenes atendidos en Post egreso, en los servicios de restablecimiento en la administración de justicia.</t>
  </si>
  <si>
    <t>36.6</t>
  </si>
  <si>
    <t>Servicios dirigidos a la atención de niños, niñas, adolescentes y jóvenes, con enfoque pedagógico y restaurativo encaminados a la inclusión social</t>
  </si>
  <si>
    <t>36.6.1</t>
  </si>
  <si>
    <t>Niños, niñas, adolescentes y jóvenes atendidos en los servicios de restablecimiento en la administración de justicia</t>
  </si>
  <si>
    <t>202000363-0028</t>
  </si>
  <si>
    <t>Atención post egreso de adolescentes y jóvenes, en los servicios de restablecimiento en la administración de justicia, con enfoque pedagógico y restaurativo encaminados a la inclusión social del Departamento del Quindío .</t>
  </si>
  <si>
    <t>Servicio de asistencia técnica para fortalecimiento de unidades productivas colectivas para la generación de ingresos</t>
  </si>
  <si>
    <t>37.4.1</t>
  </si>
  <si>
    <t>Unidades productivas colectivas con asistencia técnica</t>
  </si>
  <si>
    <t>Cobertura para la atención al ciudadano migrante a través del plan de atención y de repatriación.</t>
  </si>
  <si>
    <t>37.2</t>
  </si>
  <si>
    <t>Servicio de gestión de oferta social para la población vulnerable</t>
  </si>
  <si>
    <t>37.2.1</t>
  </si>
  <si>
    <t>201663000-0118</t>
  </si>
  <si>
    <t>Implementación del programa  para la atención y acompañamiento  del ciudadano migrante  y de repatriación en el Departamento del Quindío</t>
  </si>
  <si>
    <t>37.1</t>
  </si>
  <si>
    <t>Servicio de acompañamiento familiar y comunitario para la superación de la pobreza</t>
  </si>
  <si>
    <t>37.1.1</t>
  </si>
  <si>
    <t>Comunidades con acompañamiento familiar.</t>
  </si>
  <si>
    <t xml:space="preserve">Cobertura de municipios del departamento con procesos de implementación de proyectos  productivos  para las personas con discapacidad </t>
  </si>
  <si>
    <t>37.3</t>
  </si>
  <si>
    <t>Servicio de apoyo para el fortalecimiento de unidades productivas colectivas para la generación de ingresos</t>
  </si>
  <si>
    <t>37.3.1</t>
  </si>
  <si>
    <t>Unidades productivas colectivas fortalecidas</t>
  </si>
  <si>
    <t>202000363-0029</t>
  </si>
  <si>
    <t>Atención integral a población en condición de discapacidad en los municipios del Departamento del Quindío "TU Y YO JUNTOS EN LA INCLUSIÓN".</t>
  </si>
  <si>
    <t xml:space="preserve">Tasa planes de vida de los cabildos  indígenas construidos e implementados </t>
  </si>
  <si>
    <t>37.5</t>
  </si>
  <si>
    <t xml:space="preserve">Apoyar la construcción e Implementación de los  Planes de vida de los cabildos Indígenas asentados en el Departamento del Quindío </t>
  </si>
  <si>
    <t>37.5.1</t>
  </si>
  <si>
    <t xml:space="preserve">Planes de vida de los cabildos indígenas  construidos  e implementados </t>
  </si>
  <si>
    <t>202000363-0030</t>
  </si>
  <si>
    <t>Apoyo en la construcción e Implementación de los Planes de Vida de los Cabildos y Resguardos indígenas  asentados en el Departamento del Quindío "TU Y YO UNIDOS CON DIGNIDAD".</t>
  </si>
  <si>
    <t>Tasa de  planes de vida de los resguardos  indígenas construidos e implementados</t>
  </si>
  <si>
    <t>37.6</t>
  </si>
  <si>
    <t xml:space="preserve">Apoyar la construcción e Implementación de los  Planes de vida de los resguardos indígenas  asentados en el Departamento del Quindío </t>
  </si>
  <si>
    <t>37.6.1</t>
  </si>
  <si>
    <t xml:space="preserve">Planes de vida de los resguardos indígenas  construidos  e implementados </t>
  </si>
  <si>
    <t>37.7</t>
  </si>
  <si>
    <t>37.7.1</t>
  </si>
  <si>
    <t xml:space="preserve">Política Pública para la comunidad negra, afrocolombiana, raizal y palenquera residente en el departamento del Quindío formulada e implementada </t>
  </si>
  <si>
    <t>202000363-0031</t>
  </si>
  <si>
    <t xml:space="preserve">Formulación e implementación de la política pública para la comunidad negra, afrocolombiana, raizal y palenquera residente en el Departamento del Quindío </t>
  </si>
  <si>
    <t>Atención integral de población en situación permanente de desprotección social y/o familiar "Tú y yo con atención integral"</t>
  </si>
  <si>
    <t>38.3</t>
  </si>
  <si>
    <t>4104035</t>
  </si>
  <si>
    <t>Servicios de atención integral a población en condición de discapacidad</t>
  </si>
  <si>
    <t>38.3.1</t>
  </si>
  <si>
    <t xml:space="preserve">Personas atendidas con servicios integrales de atención </t>
  </si>
  <si>
    <t>38.3.2</t>
  </si>
  <si>
    <t xml:space="preserve">Estrategia de rehabilitación basada en la comunidad implementada en los municipios  </t>
  </si>
  <si>
    <t>Cobertura de municipios del departamento del Quindío, con programas de atención a la población habitante de calle.</t>
  </si>
  <si>
    <t>38.2</t>
  </si>
  <si>
    <t>4104026</t>
  </si>
  <si>
    <t>Servicio de articulación de oferta social para la población habitante de calle</t>
  </si>
  <si>
    <t>38.2.1</t>
  </si>
  <si>
    <t xml:space="preserve">Servicio de articulación habitante de calle implementado en los municipios </t>
  </si>
  <si>
    <t>202000363-0032</t>
  </si>
  <si>
    <t xml:space="preserve"> Apoyo en  la articulación de la  oferta social para la población habitante de calle del Departamento del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</si>
  <si>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</si>
  <si>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38.7</t>
  </si>
  <si>
    <t>Implementar  la política  pública de diversidad sexual e identidad de género</t>
  </si>
  <si>
    <t>38.7.1</t>
  </si>
  <si>
    <t>Política pública de diversidad sexual implementada.</t>
  </si>
  <si>
    <t>201663000-0125</t>
  </si>
  <si>
    <t>Fomulación e implementación de la politica pública  de diversidad sexual en el Departamento del Quindío</t>
  </si>
  <si>
    <t xml:space="preserve">Tasa de Violencia Intrafamiliar x 100.000 Habitantes en el Departamento del Quindío.
Tasa de violencia de Género
Tasa  de mujeres de 12 a 14 años que han sido madres o están en embarazo X 100.000 habitantes en el Departamento del Quindío
Tasa de participación femenina en cargos de elección popular en el  departamento del Quindío
Cobertura de Asociaciones de mujeres fortalecidas  </t>
  </si>
  <si>
    <t>38.8</t>
  </si>
  <si>
    <t xml:space="preserve">Revisar, ajustar e implementar la política pública de equidad de género para la mujer </t>
  </si>
  <si>
    <t>38.8.1</t>
  </si>
  <si>
    <t>Política pública de la mujer y equidad de género revisada, ajustada e implementada.</t>
  </si>
  <si>
    <t>201663000-0128</t>
  </si>
  <si>
    <t>Implementación de la polìtica pùblica de equidad de género para la mujer en el Departamento del Quindìo</t>
  </si>
  <si>
    <t>38.9</t>
  </si>
  <si>
    <t xml:space="preserve">Formular e implementar la política pública de adulto mayor </t>
  </si>
  <si>
    <t>38.9.1</t>
  </si>
  <si>
    <t xml:space="preserve">Política Pública de Adulto Mayor  formulada e implementada </t>
  </si>
  <si>
    <t>201663000-0129</t>
  </si>
  <si>
    <t xml:space="preserve">Apoyo y bienestar integral a las personas mayores del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</si>
  <si>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</si>
  <si>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38.1</t>
  </si>
  <si>
    <t>Servicios de atención y protección integral al adulto mayor</t>
  </si>
  <si>
    <t>38.1.1</t>
  </si>
  <si>
    <t xml:space="preserve">Adultos mayores atendidos con servicios integrales </t>
  </si>
  <si>
    <t>38.5</t>
  </si>
  <si>
    <t>Transferencia estampilla para el bienestar del adulto mayor</t>
  </si>
  <si>
    <t>38.5.1</t>
  </si>
  <si>
    <t>Municipios con recursos transferidos con la estampilla Departamental para el bienestar del adulto mayor</t>
  </si>
  <si>
    <t>Tasa de Suicidio  x 100.000 Habitantes en el Departamento del Quindío.
Tasa de Violencia Intrafamiliar x 100.000 Habitantes en el Departamento del Quindío.
Cobertura de municipios del departamento con procesos de implementación de proyectos  productivos  para las personas con discapacidad</t>
  </si>
  <si>
    <t>38.6</t>
  </si>
  <si>
    <t>Revisar, ajustar e implementar  la política pública de  discapacidad</t>
  </si>
  <si>
    <t>38.6.1</t>
  </si>
  <si>
    <t>201663000-0114</t>
  </si>
  <si>
    <t>Actualización e implementación  de   la política pública departamental de discapacidad  "Capacidad sin Limites" en el Quindío</t>
  </si>
  <si>
    <t xml:space="preserve">Mejorar las condiciones de calidad de vida de la población, el acceso incluyente y equitativo a la oferta de servicios del Estado y la ampliación de oportunidades para los Quindianos. </t>
  </si>
  <si>
    <t>41.2.2</t>
  </si>
  <si>
    <t>Casa de la Mujer Empoderada implementada</t>
  </si>
  <si>
    <t>202000363-0033</t>
  </si>
  <si>
    <t>Implementación de la Casa de la Mujer Empoderada para la promoción a la participación ciudadana de mujeres en escenarios sociales, políticos y el fortalecimiento de la Asociatividad en el departamento del Quindío "TU Y YO  CON LAS MUJERES EMPODERADAS".</t>
  </si>
  <si>
    <t>41.2.3</t>
  </si>
  <si>
    <t>Casa Refugio de la Mujer implementada</t>
  </si>
  <si>
    <t>202000363-0034</t>
  </si>
  <si>
    <t>Implementación de la Casa Refugio de la Mujer del Departamento del Quindío</t>
  </si>
  <si>
    <t>Derechos fundamentales del trabajo y fortalecimiento del diálogo social. "Tú y yo con una niñez protegida"</t>
  </si>
  <si>
    <t>Tasa  de Niños, Niñas y Adolescentes que participan en una actividad remunerada  o no  x cada 100.000 habitantes  en el departamento del Quindío</t>
  </si>
  <si>
    <t>29.1</t>
  </si>
  <si>
    <t>Servicio de educación informal para la prevención integral del trabajo infantil</t>
  </si>
  <si>
    <t>29.1.1</t>
  </si>
  <si>
    <t>Diseño e Implementación de programa comunitario para la prevención de los derechos de niños, niñas y adolescentes y su desarrollo integral. "TU Y YO COMPROMETIDOS CON LOS SUEÑOS".</t>
  </si>
  <si>
    <t>Tasa de participación femenina en cargos de elección popular en el  departamento del Quindío</t>
  </si>
  <si>
    <t>42.8.2</t>
  </si>
  <si>
    <t>Iniciativas para la promoción de la participación femenina en escenarios sociales y políticos implementada.</t>
  </si>
  <si>
    <t xml:space="preserve">318 SECRETARIA DE SALUD </t>
  </si>
  <si>
    <t xml:space="preserve"> INCLUSION SOCIAL Y EQUIDAD</t>
  </si>
  <si>
    <t xml:space="preserve">Inspección, vigilancia y control. "Tú y yo con salud certificada" </t>
  </si>
  <si>
    <t>Mortalidad por diarreica aguda (EDA) menores 5 años (numero de muertes anual)</t>
  </si>
  <si>
    <t>11.19</t>
  </si>
  <si>
    <t>11.19.1</t>
  </si>
  <si>
    <t xml:space="preserve">Modelo de IVC sanitario operando </t>
  </si>
  <si>
    <t>201663000-0132</t>
  </si>
  <si>
    <t>11.2</t>
  </si>
  <si>
    <t>Servicio de concepto sanitario</t>
  </si>
  <si>
    <t>11.2.1</t>
  </si>
  <si>
    <t>Conceptos sanitarios expedidos</t>
  </si>
  <si>
    <t>201663000-0146</t>
  </si>
  <si>
    <t xml:space="preserve">Fortalecimiento de la autoridad sanitaria en el Departamento del Quindío </t>
  </si>
  <si>
    <t>Prevalencia de niños menores de 5 años con desnutrición aguda</t>
  </si>
  <si>
    <t>11.9</t>
  </si>
  <si>
    <t>Servicio de asistencia técnica en inspección, vigilancia y control</t>
  </si>
  <si>
    <t>11.9.1</t>
  </si>
  <si>
    <t>Asistencias técnica en Inspección, Vigilancia y Control realizadas</t>
  </si>
  <si>
    <t>Mortalidad por infección respiratoria aguda (IRA) menores 5 años (numero de muertes anual)</t>
  </si>
  <si>
    <t>11.18</t>
  </si>
  <si>
    <t>11.18.1</t>
  </si>
  <si>
    <t>Municipios con procesos de vigilancia epidemiológica de plaguicidas organofosforados y carbamatos realizados.</t>
  </si>
  <si>
    <t xml:space="preserve">Implementación del modelo operativo de Inspección, Vigilancia y Control IVC sanitario en los municipios de competencia departamental. </t>
  </si>
  <si>
    <t>Mortalidad por dengue (casos)</t>
  </si>
  <si>
    <t>11.15</t>
  </si>
  <si>
    <t>Servicio de promoción, prevención, vigilancia y control de vectores y zoonosis</t>
  </si>
  <si>
    <t>11.15.1</t>
  </si>
  <si>
    <t>Municipios categorías 4, 5 y 6 que formulen y ejecuten real y efectivamente acciones de promoción, prevención, vigilancia y control de vectores y zoonosis realizados</t>
  </si>
  <si>
    <t>Tasa de mortalidad en menores de 1 año (por 1000 nacidos vivos).</t>
  </si>
  <si>
    <t>11.11</t>
  </si>
  <si>
    <t>Servicio de evaluación, aprobación y seguimiento de planes de gestión integral del riesgo</t>
  </si>
  <si>
    <t>11.11.1</t>
  </si>
  <si>
    <t>Informes de evaluación, aprobación y seguimiento de Planes de Gestión Integral de Riesgo realizados</t>
  </si>
  <si>
    <t>Tasa mortalidad en menores de 5 años (por 1.000 nacidos vivos).</t>
  </si>
  <si>
    <t>11.4</t>
  </si>
  <si>
    <t>Servicio de inspección, vigilancia y control</t>
  </si>
  <si>
    <t>11.4.1</t>
  </si>
  <si>
    <t>visitas realizadas</t>
  </si>
  <si>
    <t>11.1</t>
  </si>
  <si>
    <t>11.1.1</t>
  </si>
  <si>
    <t>Documentos técnicos publicados y/o socializados</t>
  </si>
  <si>
    <t>201663000-0148</t>
  </si>
  <si>
    <t>Implementación de programas de promoción social en poblaciones  especiales en el Departamento del Quindío</t>
  </si>
  <si>
    <t>Tasa de violencia de género</t>
  </si>
  <si>
    <t>11.6</t>
  </si>
  <si>
    <t>Servicio de adopción y seguimiento de acciones y medidas especiales</t>
  </si>
  <si>
    <t>11.6.1</t>
  </si>
  <si>
    <t>Acciones y medidas especiales ejecutadas</t>
  </si>
  <si>
    <t>11.5</t>
  </si>
  <si>
    <t>Servicio de análisis de laboratorio</t>
  </si>
  <si>
    <t>11.5.1</t>
  </si>
  <si>
    <t>Análisis realizados</t>
  </si>
  <si>
    <t>201663000-0151</t>
  </si>
  <si>
    <t xml:space="preserve">Fortalecimiento de las actividades de vigilancia y control del laboratorio de salud pública en el Departamento del Quindío </t>
  </si>
  <si>
    <t>Tasa ajustada por edad de mortalidad asociada a cáncer de cuello uterino (por 100.000 mujeres).</t>
  </si>
  <si>
    <t>11.7</t>
  </si>
  <si>
    <t>Servicio de auditoría y visitas inspectivas</t>
  </si>
  <si>
    <t>11.7.1</t>
  </si>
  <si>
    <t>Auditorías y visitas inspectivas realizadas</t>
  </si>
  <si>
    <t>11.4.2</t>
  </si>
  <si>
    <t xml:space="preserve">Informes de los resultados obtenidos en la vigilancia sanitaria </t>
  </si>
  <si>
    <t>Servicio de información de vigilancia epidemiológica</t>
  </si>
  <si>
    <t>11.13.1</t>
  </si>
  <si>
    <t>Informes de evento generados en la vigencia</t>
  </si>
  <si>
    <t>201663000-0152</t>
  </si>
  <si>
    <t>Fortalecimiento del sistema de vigilancia en salud pública en el Departamento del Quindío</t>
  </si>
  <si>
    <t>11.14</t>
  </si>
  <si>
    <t>11.14.1</t>
  </si>
  <si>
    <t>Asistencias técnicas realizadas</t>
  </si>
  <si>
    <t>201663000-0155</t>
  </si>
  <si>
    <t xml:space="preserve">Asistencia técnica para el fortalecimiento de la gestión de las entidades territoriales del Departamento del Quindío </t>
  </si>
  <si>
    <t>Servicio de información para la gestión de la inspección, vigilancia y control sanitario</t>
  </si>
  <si>
    <t>11.16.1</t>
  </si>
  <si>
    <t>Usuarios del sistema</t>
  </si>
  <si>
    <t>201663000-0158</t>
  </si>
  <si>
    <t>Apoyo al proceso del sistema obligatorio de garantía de calidad a los prestadores de salud en el Departamento del Quindío</t>
  </si>
  <si>
    <t>Razón de mortalidad materna (por 100.000 nacidos vivos)</t>
  </si>
  <si>
    <t>11.3</t>
  </si>
  <si>
    <t>Servicio de certificaciones en buenas practicas</t>
  </si>
  <si>
    <t>11.3.1</t>
  </si>
  <si>
    <t>Certificaciones expedidas</t>
  </si>
  <si>
    <t>Porcentaje de atención institucional del parto por personal calificado.</t>
  </si>
  <si>
    <t>Porcentaje de población asegurada al SGSSS</t>
  </si>
  <si>
    <t>11.17</t>
  </si>
  <si>
    <t>Servicios de comunicación y divulgación en inspección, vigilancia y control</t>
  </si>
  <si>
    <t>11.17.1</t>
  </si>
  <si>
    <t>Eventos de rendición de cuentas realizados</t>
  </si>
  <si>
    <t>201663000-0160</t>
  </si>
  <si>
    <t>Apoyo operativo a la inversión social en salud en el Departamento del Quindío</t>
  </si>
  <si>
    <t>Porcentaje de nacidos vivos con 4 o mas controles prenatales</t>
  </si>
  <si>
    <t>11.8</t>
  </si>
  <si>
    <t>Servicio del ejercicio del procedimiento administrativo sancionatorio</t>
  </si>
  <si>
    <t>11.8.1</t>
  </si>
  <si>
    <t xml:space="preserve">Procesos con aplicación del procedimiento administrativo sancionatorio tramitados </t>
  </si>
  <si>
    <t>Porcentaje transmisión materno -infantil del VIH.</t>
  </si>
  <si>
    <t>Servicio de gestión de peticiones, quejas, reclamos y denuncias</t>
  </si>
  <si>
    <t>11.12.1</t>
  </si>
  <si>
    <t>Preguntas Quejas Reclamos y Denuncias Gestionadas</t>
  </si>
  <si>
    <t>11.10</t>
  </si>
  <si>
    <t>Servicio de implementación de estrategias para el fortalecimiento del control social en salud</t>
  </si>
  <si>
    <t>11.10.1</t>
  </si>
  <si>
    <t>Estrategias para el fortalecimiento del control social en salud implementadas</t>
  </si>
  <si>
    <t>Servicio de gestión del riesgo para temas de consumo, aprovechamiento biológico, calidad e inocuidad de los alimentos.</t>
  </si>
  <si>
    <t>12.12.1</t>
  </si>
  <si>
    <t>Campañas de gestión del riesgo para temas de consumo, aprovechamiento biológico, calidad e inocuidad de los alimentos implementadas</t>
  </si>
  <si>
    <t>12.14</t>
  </si>
  <si>
    <t>Servicios de promoción de la salud y prevención de riesgos asociados a condiciones no transmisibles</t>
  </si>
  <si>
    <t>12.14.1</t>
  </si>
  <si>
    <t>Campañas de promoción de la salud y prevención de riesgos asociados a condiciones no transmisibles implementadas</t>
  </si>
  <si>
    <t>Tasa de mortalidad por malaria.</t>
  </si>
  <si>
    <t xml:space="preserve">Servicio de educación informal en temas de salud pública </t>
  </si>
  <si>
    <t>12.4.1</t>
  </si>
  <si>
    <t>201663000-0133</t>
  </si>
  <si>
    <t>Control Salud Ambiental Departamento del Quindío</t>
  </si>
  <si>
    <t>Tasa  de mujeres de 10 a 14 años que han sido madres o están en embarazo.
Tasa de mujeres de 15 a 19 años que han sido madres o están en embarazo.</t>
  </si>
  <si>
    <t>12.16</t>
  </si>
  <si>
    <t xml:space="preserve">Realizar seguimiento y monitoreo a las Entidades Administradoras de Planes Básicos EAPB en la implementación de la Ruta Integral de Atención para la Promoción y Mantenimiento de la Salud y Materno Perinatal en el Departamento  </t>
  </si>
  <si>
    <t>12.16.1</t>
  </si>
  <si>
    <t>Entidades Administradoras de Planes Básicos EAPB con Rutas de obligatorio cumplimiento Implementadas</t>
  </si>
  <si>
    <t>Letalidad por dengue.</t>
  </si>
  <si>
    <t>12.20</t>
  </si>
  <si>
    <t>Formular el Plan de Fortalecimiento de Capacidades en Salud Ambiental en coordinación con el Consejo Territorial de Salud Ambiental COTSA</t>
  </si>
  <si>
    <t>12.20.1</t>
  </si>
  <si>
    <t>12.17</t>
  </si>
  <si>
    <t>Implementar el protocolo de vigilancia sanitaria y ambiental de los efectos en salud relacionados con la contaminación del aire en los 11 municipios de competencia departamental.</t>
  </si>
  <si>
    <t>12.17.1</t>
  </si>
  <si>
    <t>Protocolo implementado</t>
  </si>
  <si>
    <t>Mortalidad por dengue (casos)
Letalidad por dengue.</t>
  </si>
  <si>
    <t>12.19</t>
  </si>
  <si>
    <t>12.19.1</t>
  </si>
  <si>
    <t>Plan Departamental en Salud Ambiental de adaptación al cambio climático implementado</t>
  </si>
  <si>
    <t>12.18</t>
  </si>
  <si>
    <t>Implementar la estrategia de entornos saludables en articulación intersectorial y sectorial en los entornos de vivienda, educativo, institucional y comunitario con énfasis en la Atención Primaria en Salud Ambiental APSA.</t>
  </si>
  <si>
    <t>12.18.1</t>
  </si>
  <si>
    <t xml:space="preserve">Estrategia de entornos saludables en articulación intersectorial y sectorial implementada </t>
  </si>
  <si>
    <t>12.21</t>
  </si>
  <si>
    <t xml:space="preserve">Implementación de la estrategia de movilidad saludable, segura y sostenible </t>
  </si>
  <si>
    <t>12.21.1</t>
  </si>
  <si>
    <t xml:space="preserve">Estrategia de movilidad saludable, segura y sostenible   implementada </t>
  </si>
  <si>
    <t>201663000-0134</t>
  </si>
  <si>
    <t>Fortalecimiento de acciones de intervención inherentes a los derechos sexuales y reproductivos  en el Departamento del Quindío</t>
  </si>
  <si>
    <t xml:space="preserve">Realizar seguimiento y Monitoreo a las Entidades Administradoras de Planes Básicos EAPB en la implementación de la Ruta Integral de Atención para la Promoción y Mantenimiento de la Salud y Materno Perinatal en el Departamento  </t>
  </si>
  <si>
    <t>12.5</t>
  </si>
  <si>
    <t>Servicio de gestión del riesgo en temas de consumo de sustancias psicoactivas</t>
  </si>
  <si>
    <t>12.5.1</t>
  </si>
  <si>
    <t>Campañas de gestión del riesgo en temas de consumo de sustancias psicoactivas implementadas</t>
  </si>
  <si>
    <t>201663000-0135</t>
  </si>
  <si>
    <t>Fortalecimiento, promoción de la salud y prevención primaria en salud mental en el Departamento del Quindío</t>
  </si>
  <si>
    <t>Adaptar e implementar la política pública de salud mental para el Departamento del Quindío</t>
  </si>
  <si>
    <t>12.22.1</t>
  </si>
  <si>
    <t xml:space="preserve">Política pública en Salud Mental adaptada e Implementada  </t>
  </si>
  <si>
    <t>12.8</t>
  </si>
  <si>
    <t>Servicio de gestión del riesgo para abordar condiciones crónicas prevalentes</t>
  </si>
  <si>
    <t>12.8.1</t>
  </si>
  <si>
    <t>Campañas de gestión del riesgo para abordar condiciones crónicas prevalentes implementadas</t>
  </si>
  <si>
    <t>201663000-0138</t>
  </si>
  <si>
    <t xml:space="preserve">Control y vigilancia en las acciones de condiciones no transmisibles y promoción de estilos de vida saludable en el Quindío  </t>
  </si>
  <si>
    <t>Cobertura de vacunación con DPT en menores de 1 año
Cobertura de vacunación con Triple Viral en niños de 1 año
Cobertura útil con esquema completo de vacunación para la edad (triple viral a los 5 años)</t>
  </si>
  <si>
    <t>12.1</t>
  </si>
  <si>
    <t>Cuartos fríos adecuados</t>
  </si>
  <si>
    <t>12.1.1</t>
  </si>
  <si>
    <t>201663000-0139</t>
  </si>
  <si>
    <t>Fortalecimiento de las acciones de la prevención y protección en la población infantil en el Departamento del Quindío</t>
  </si>
  <si>
    <t>Cobertura útil con esquema completo de vacunación para la edad (triple viral a los 5 años)
Mortalidad por infección respiratoria aguda (IRA) menores 5 años (numero de muertes anual)
Mortalidad por diarreica aguda (EDA) menores 5 años (numero de muertes anual)
Tasa de mortalidad por malaria.</t>
  </si>
  <si>
    <t>12.10</t>
  </si>
  <si>
    <t>Servicio de gestión del riesgo para enfermedades emergentes, reemergentes y desatendidas</t>
  </si>
  <si>
    <t>12.10.1</t>
  </si>
  <si>
    <t>Campañas de gestión del riesgo para enfermedades emergentes, reemergentes y desatendidas implementadas.</t>
  </si>
  <si>
    <t>12.11</t>
  </si>
  <si>
    <t>Servicio de gestión del riesgo para enfermedades inmunoprevenibles</t>
  </si>
  <si>
    <t>12.11.1</t>
  </si>
  <si>
    <t>Campañas de gestión del riesgo para enfermedades inmunoprevenibles  implementadas</t>
  </si>
  <si>
    <t>Mortalidad por dengue (casos) 
Letalidad por dengue.</t>
  </si>
  <si>
    <t>Formulación e implementación del plan departamental en salud Ambiental de adaptación al cambio climático.</t>
  </si>
  <si>
    <t>201663000-0141</t>
  </si>
  <si>
    <t xml:space="preserve">Fortalecimiento de estrategia de gestión integral, vectores, cambio climático y zoonosis en el Departamento  del Quindío </t>
  </si>
  <si>
    <t>12.2</t>
  </si>
  <si>
    <t>12.2.1</t>
  </si>
  <si>
    <t>201663000-0142</t>
  </si>
  <si>
    <t xml:space="preserve">Fortalecimiento de la inclusión social para la disminución de riesgos de contraer enfermedades transmisibles  en el Departamento del Quindío </t>
  </si>
  <si>
    <t>Servicio de gestión del riesgo para enfermedades emergentes, reemergentes y desatendidas.</t>
  </si>
  <si>
    <t>202000363-0002</t>
  </si>
  <si>
    <t>Tu y Yo Contra  - COVID</t>
  </si>
  <si>
    <t>12.13</t>
  </si>
  <si>
    <t>Servicios de atención en salud pública en situaciones de emergencias y desastres</t>
  </si>
  <si>
    <t>12.13.1</t>
  </si>
  <si>
    <t>Personas en capacidad de ser atendidas</t>
  </si>
  <si>
    <t>201663000-0143</t>
  </si>
  <si>
    <t>Prevención en emergencias y desastres de eventos relacionados con la salud pública en el Departamento del  Quindío</t>
  </si>
  <si>
    <t>12.9</t>
  </si>
  <si>
    <t>Servicio de gestión del riesgo para abordar situaciones prevalentes de origen laboral</t>
  </si>
  <si>
    <t>12.9.1</t>
  </si>
  <si>
    <t>Campañas de gestión del riesgo para abordar situaciones prevalentes de origen laboral implementadas</t>
  </si>
  <si>
    <t>201663000-0145</t>
  </si>
  <si>
    <t xml:space="preserve"> Prevención vigilancia y control de eventos de origen laboral en el Departamento del Quindío</t>
  </si>
  <si>
    <t>12.3.1</t>
  </si>
  <si>
    <t xml:space="preserve">Documentos de planeación en epidemiología y demografía elaborados </t>
  </si>
  <si>
    <t>Porcentaje de atención institucional del parto.</t>
  </si>
  <si>
    <t>12.15</t>
  </si>
  <si>
    <t>Centros reguladores de urgencias, emergencias y desastres funcionando y dotados</t>
  </si>
  <si>
    <t>12.15.1</t>
  </si>
  <si>
    <t>Centros reguladores de urgencias, emergencias y desastres dotados y funcionando.</t>
  </si>
  <si>
    <t>201663000-0157</t>
  </si>
  <si>
    <t xml:space="preserve">Fortalecimiento de la red de urgencias y emergencias en el Departamento del Quindío </t>
  </si>
  <si>
    <t>201663000-0150</t>
  </si>
  <si>
    <t>13.7</t>
  </si>
  <si>
    <t>Servicio de promoción de afiliaciones al régimen contributivo del Sistema General de Seguridad Social de las personas con capacidad de pago</t>
  </si>
  <si>
    <t>13.7.1</t>
  </si>
  <si>
    <t>Personas con capacidad de pago afiliadas</t>
  </si>
  <si>
    <t>201663000-0153</t>
  </si>
  <si>
    <t>Subsidio afiliación al régimen subsidiado del Sistema General de Seguridad Social en Salud en el Departamento del Quindío</t>
  </si>
  <si>
    <t>Cobertura de tratamiento antiretroviral</t>
  </si>
  <si>
    <t>13.8</t>
  </si>
  <si>
    <t>13.8.1</t>
  </si>
  <si>
    <t>Personas afiliadas</t>
  </si>
  <si>
    <t>13.5</t>
  </si>
  <si>
    <t>Servicio de apoyo con tecnologías para prestación de servicios en salud</t>
  </si>
  <si>
    <t>13.5.1</t>
  </si>
  <si>
    <t>Población inimputable atendida</t>
  </si>
  <si>
    <t>201663000-0154</t>
  </si>
  <si>
    <t xml:space="preserve">Prestación de Servicios a la Población no Afiliada al Sistema General de Seguridad Social en Salud  y en los no POS  a la Población Afiliada al Régimen Subsidiado.
</t>
  </si>
  <si>
    <t>13.5.2</t>
  </si>
  <si>
    <t>Pacientes atendidos</t>
  </si>
  <si>
    <t>Servicios de reconocimientos para el cumplimiento de metas de calidad, financiera, producción y transferencias especiales.</t>
  </si>
  <si>
    <t>13.9.1</t>
  </si>
  <si>
    <t>Porcentaje de recursos transferidos</t>
  </si>
  <si>
    <t>13.10</t>
  </si>
  <si>
    <t>Servicios de reconocimientos de deuda</t>
  </si>
  <si>
    <t>13.10.1</t>
  </si>
  <si>
    <t>Porcentaje de recursos pagados</t>
  </si>
  <si>
    <t>Tasa de mujeres de 15 a 19 años que han sido madres o están en embarazo.</t>
  </si>
  <si>
    <t>13.6</t>
  </si>
  <si>
    <t>Servicio de asistencia técnica a Instituciones prestadoras de servicios de salud</t>
  </si>
  <si>
    <t>13.6.1</t>
  </si>
  <si>
    <t>Instituciones Prestadoras de Servicios de salud asistidas técnicamente</t>
  </si>
  <si>
    <t>201663000-0159</t>
  </si>
  <si>
    <t>Fortalecimiento de la red de prestación de servicios pública  del Departamento del Quindío</t>
  </si>
  <si>
    <t>Facilitar el acceso y uso de las Tecnologías de la Información y las Comunicaciones en todo el departamento del Quindio. "Tú y yo somos ciudadanos TIC"</t>
  </si>
  <si>
    <t>Tasa de crecimiento de puntos de acceso a internet gratis 
Índice Departamental de Competitividad
Tasa de Desempleo</t>
  </si>
  <si>
    <t>16.4</t>
  </si>
  <si>
    <t>Servicio de acceso y uso de tecnologías de la información y las comunicaciones</t>
  </si>
  <si>
    <t>16.4.2</t>
  </si>
  <si>
    <t>Soluciones de conectividad en instituciones públicas instaladas</t>
  </si>
  <si>
    <t>202000363-0035</t>
  </si>
  <si>
    <t>Fortalecimiento  y apoyo a las tecnologías de la información de las comunicaciones en el departamento del Quindío</t>
  </si>
  <si>
    <t>Nivel de avance alto en el Índice de Gobierno digital
Índice Departamental de Competitividad
Tasa de Desempleo</t>
  </si>
  <si>
    <t>Servicio de educación informal en tecnologías de la información y las comunicaciones.</t>
  </si>
  <si>
    <t>16.5.1</t>
  </si>
  <si>
    <t>Personas capacitadas en tecnologías de la información y las comunicaciones</t>
  </si>
  <si>
    <t>Fomento del desarrollo de aplicaciones, software y contenidos para impulsar la apropiación de las Tecnologías de la Información y las Comunicaciones (TIC) "Quindío paraiso empresarial TIC-Quindío TIC"</t>
  </si>
  <si>
    <t>17.8</t>
  </si>
  <si>
    <t>Servicio de promoción de la industria de tecnologías de la información</t>
  </si>
  <si>
    <t>17.8.1</t>
  </si>
  <si>
    <t xml:space="preserve">Eventos para  promoción  de productos y Servicio de la industria TI realizados </t>
  </si>
  <si>
    <t>202000363-0036</t>
  </si>
  <si>
    <t>Fortalecimiento del sector empresarial del departamento del Quindío</t>
  </si>
  <si>
    <t xml:space="preserve">PRODUCTIVIDAD Y COMPETITIVIDAD </t>
  </si>
  <si>
    <t>3903</t>
  </si>
  <si>
    <t xml:space="preserve">Desarrollo tecnológico e innovación para el crecimiento empresarial </t>
  </si>
  <si>
    <t>Tasa de crecimiento de empresas en el sector productivo transformadas digitalmente</t>
  </si>
  <si>
    <t>31.1</t>
  </si>
  <si>
    <t>Servicio de apoyo para la transferencia de conocimiento y tecnología</t>
  </si>
  <si>
    <t>31.1.1</t>
  </si>
  <si>
    <t>Nuevas tecnologías adoptadas</t>
  </si>
  <si>
    <t>201663000-0001</t>
  </si>
  <si>
    <t>Apoyo a la estrategia de gobierno en linea en el Departamento del Quindío</t>
  </si>
  <si>
    <t>Generación de una cultura que valora y gestiona el conocimiento y la innovación.</t>
  </si>
  <si>
    <t>32.2</t>
  </si>
  <si>
    <t>Servicios de comunicación con enfoque en ciencia tecnología y sociedad</t>
  </si>
  <si>
    <t>32.2.1</t>
  </si>
  <si>
    <t>Juguetes, juegos o videojuegos para la comunicación de la ciencia, tecnología e innovación producidos</t>
  </si>
  <si>
    <t>202000363-0037</t>
  </si>
  <si>
    <t xml:space="preserve">Implementación  y  divulgación de la estratégia    "Quindío innovador y competitivo" </t>
  </si>
  <si>
    <t>Nivel de avance alto en el Índice de Gobierno digital</t>
  </si>
  <si>
    <t>17.6</t>
  </si>
  <si>
    <t>Servicio de educación informal para la implementación de la estrategia de gobierno digital</t>
  </si>
  <si>
    <t>17.6.1</t>
  </si>
  <si>
    <t>Personas capacitadas para la implementación de la Estrategia de Gobierno digital</t>
  </si>
  <si>
    <t>201663000-0004</t>
  </si>
  <si>
    <t>Apoyo a la sostenibilidad de las tecnologías de la información y comunicación de la Gobernación del Quindío</t>
  </si>
  <si>
    <t>17.10</t>
  </si>
  <si>
    <t>Servicio de educación informal en Gestión TI y en Seguridad y Privacidad de la Información</t>
  </si>
  <si>
    <t>17.10.1</t>
  </si>
  <si>
    <t>Personas capacitadas para en Gestión TI y en Seguridad y Privacidad de la Información</t>
  </si>
  <si>
    <t>TOTAL ADMINISTRACIÓN CENTRAL:</t>
  </si>
  <si>
    <t xml:space="preserve">319 INDEPORTES QUINDÍO </t>
  </si>
  <si>
    <t>39.1</t>
  </si>
  <si>
    <t>Servicio de Escuelas Deportivas</t>
  </si>
  <si>
    <t>39.1.1</t>
  </si>
  <si>
    <t>Municipios con Escuelas Deportivas</t>
  </si>
  <si>
    <t>201663000-0163</t>
  </si>
  <si>
    <t>Apoyo al Deporte formativo, deporte social comunitario y juegos  tradicionales en el Departamento del Quindío</t>
  </si>
  <si>
    <t>39.2</t>
  </si>
  <si>
    <t>Servicio de promoción de la actividad física, la recreación y el deporte</t>
  </si>
  <si>
    <t>39.2.1</t>
  </si>
  <si>
    <t>Municipios vinculados al programa Supérate-Intercolegiados</t>
  </si>
  <si>
    <t>39.2.2</t>
  </si>
  <si>
    <t>Municipios implementando  programas de recreación, actividad física y deporte social comunitario</t>
  </si>
  <si>
    <t>201663000-0162</t>
  </si>
  <si>
    <t>Apoyo a los juegos intercolegiados en el Deparrtamento del Quindìo</t>
  </si>
  <si>
    <t>201663000-0164</t>
  </si>
  <si>
    <t xml:space="preserve"> Apoyo a la recreación,  para el bien común en el Departamento del Quindío</t>
  </si>
  <si>
    <t>39.3</t>
  </si>
  <si>
    <t>Formular e  implementar una  política pública para el desarrollo y acceso al deporte, la recreación, la actividad física, la educación física y el uso adecuado del tiempo libre, como ejes de transformación humana y social en el departamento del Quindío</t>
  </si>
  <si>
    <t>39.3.1</t>
  </si>
  <si>
    <t>201663000-0166</t>
  </si>
  <si>
    <t>Apoyo a proyectos deportivos, recreativos y de actividad fisica, en el Departamento del Quindìo</t>
  </si>
  <si>
    <t>201663000-0165</t>
  </si>
  <si>
    <t>Apoyo a la actividad fisica, salud y productiva en el Departamento del Quindío</t>
  </si>
  <si>
    <t>40.2</t>
  </si>
  <si>
    <t>Servicio de asistencia técnica para la promoción del deporte</t>
  </si>
  <si>
    <t>40.2.1</t>
  </si>
  <si>
    <t xml:space="preserve">Organismos deportivos asistidos </t>
  </si>
  <si>
    <t>201663000-0161</t>
  </si>
  <si>
    <t>Apoyo al deporte asociado en el Departamento del Quindío</t>
  </si>
  <si>
    <t>40.2.2</t>
  </si>
  <si>
    <t>Juegos Deportivos Realizados</t>
  </si>
  <si>
    <t>202000363-0038</t>
  </si>
  <si>
    <t>Desarrollo de los  XXII JUEGOS DEPORTIVOS NACIONALES Y VI JUEGOS PARANACIONALES   2023</t>
  </si>
  <si>
    <t xml:space="preserve">320 PROMOTORA DE VIVIENDA </t>
  </si>
  <si>
    <t>201663000-0171</t>
  </si>
  <si>
    <t xml:space="preserve">Apoyo en la formulación y ejecucion de proyectos de vivienda, infraestructura y equipamientos colectivos y comunitarios en el Departamento del Quindío  </t>
  </si>
  <si>
    <t>33.1</t>
  </si>
  <si>
    <t xml:space="preserve">Servicio de asistencia técnica y jurídica en saneamiento y titulación de predios </t>
  </si>
  <si>
    <t>33.1.1</t>
  </si>
  <si>
    <t>Entidades territoriales asistidas técnica y jurídicamente</t>
  </si>
  <si>
    <t xml:space="preserve">7. Vivienda </t>
  </si>
  <si>
    <t>33.4</t>
  </si>
  <si>
    <t>33.4.1</t>
  </si>
  <si>
    <t>Viviendas de Interés Prioritario urbanas construidas</t>
  </si>
  <si>
    <t>33.5</t>
  </si>
  <si>
    <t xml:space="preserve">Viviendas de Interés Prioritario urbanas mejoradas </t>
  </si>
  <si>
    <t>33.5.1</t>
  </si>
  <si>
    <t>Viviendas de Interés Prioritario urbanas mejoradas</t>
  </si>
  <si>
    <t>33.6</t>
  </si>
  <si>
    <t>Estudios de preinversión e inversión</t>
  </si>
  <si>
    <t>33.6.1</t>
  </si>
  <si>
    <t>321 INSTITUTO DEPARTAMENTAL DE TRANSITO</t>
  </si>
  <si>
    <t xml:space="preserve"> TERRITORIO, AMBIENTE Y DESARROLLO SOSTENIBLE</t>
  </si>
  <si>
    <t>Seguridad de Transporte. "Tú y yo seguros en la vía"</t>
  </si>
  <si>
    <t>19.1</t>
  </si>
  <si>
    <t>Formular e Implementar una estrategia de movilidad saludable, segura y sostenible.</t>
  </si>
  <si>
    <t>19.1.1</t>
  </si>
  <si>
    <t xml:space="preserve">Estrategia de movilidad saludable, segura y sostenible  formulada e implementada </t>
  </si>
  <si>
    <t xml:space="preserve">9. Transporte </t>
  </si>
  <si>
    <t>201663000-0172</t>
  </si>
  <si>
    <t>Fortalecimiento de la seguridad vial  en el Departamento del Quindío</t>
  </si>
  <si>
    <t>19.2</t>
  </si>
  <si>
    <t>Formular e Implementar un programa de formación en normas de tránsito y fomento de cultura  de la seguridad en la vía.</t>
  </si>
  <si>
    <t>19.2.1</t>
  </si>
  <si>
    <t>Programa de formación cultural  de la seguridad en la vía formulado e implementado.</t>
  </si>
  <si>
    <t>19.3</t>
  </si>
  <si>
    <t>Formular e Implementar un programa de control, prevención y atención del tránsito y el transporte en los municipios y vías de jurisdicción del IDTQ.</t>
  </si>
  <si>
    <t>19.3.1</t>
  </si>
  <si>
    <t>Programa de control y atención del tránsito y el transporte formulado e implementado</t>
  </si>
  <si>
    <t>19.4</t>
  </si>
  <si>
    <t>Diseñar e Implementar un programa de señalización y demarcación en los municipios y vías de jurisdicción del IDTQ.</t>
  </si>
  <si>
    <t>19.4.1</t>
  </si>
  <si>
    <t>Programa de Señalización y demarcación en los municipios y vías de jurisdicción del IDTQ diseñado e Implementado</t>
  </si>
  <si>
    <t>TOTAL ENTIDADES DESCENTRALIZADAS</t>
  </si>
  <si>
    <t>TOTAL POAI:</t>
  </si>
  <si>
    <t>CÓDIGO BPPIN</t>
  </si>
  <si>
    <t xml:space="preserve">NOMBRE DEL PROYECTO </t>
  </si>
  <si>
    <t>PRESUPUESTO 2020</t>
  </si>
  <si>
    <t>ADMINISTRACIÓN CENTRAL</t>
  </si>
  <si>
    <t>304 -Secretaría Administrativa</t>
  </si>
  <si>
    <t>Formulación e implementación del programa de seguridad y salud en el trabajo, capacitación y bienestar social en el Departamento del Quindio</t>
  </si>
  <si>
    <t>305 Secretaría de Planeación</t>
  </si>
  <si>
    <t>307 Secretaría de Hacienda</t>
  </si>
  <si>
    <t xml:space="preserve"> Mejoramiento de la sostenibilidad de los procesos de fiscalización liquidación control y cobranza de los tributos en el Departamento del Quindío</t>
  </si>
  <si>
    <t xml:space="preserve">Implementación de un programa de gestión fianciera para la optimización de los procesos en el area de tesorería, presupuesto y contabilidad en el Departamento del Quindio </t>
  </si>
  <si>
    <t xml:space="preserve">308 Secretaría de Agua e Infraestructura </t>
  </si>
  <si>
    <t>309 Secretaría del Interior</t>
  </si>
  <si>
    <t>310 Secretaría de Cultura</t>
  </si>
  <si>
    <t xml:space="preserve">311 Secretaría de Turismo, Industria y Comercio </t>
  </si>
  <si>
    <t>312 Secretaría de Agricultura, Desarrollo Rural y Medio Ambiente</t>
  </si>
  <si>
    <t>313 Oficina Privada</t>
  </si>
  <si>
    <t xml:space="preserve">314 Secretaría de Educación - </t>
  </si>
  <si>
    <t>316 Secretaría de Familia</t>
  </si>
  <si>
    <t>318 Secretaría de Salud - 1801- Régimen Subsidiado - 1802 Prestación de Servicios -1803 Salud Pública - 1804 Otros Gastos en Salud</t>
  </si>
  <si>
    <t xml:space="preserve">Fortalecimiento de la red de urgencias y emergencias en el Departamento del Quindio </t>
  </si>
  <si>
    <t xml:space="preserve">324 Secretaría de Tecnologías de la Información y las Comunicaciones </t>
  </si>
  <si>
    <t>ENTIDADES DESCENTRALIZADAS</t>
  </si>
  <si>
    <t>319 Indeportes Quindío</t>
  </si>
  <si>
    <t>202000363-0039</t>
  </si>
  <si>
    <t>Fortalecimiento al deporte competitivo y de altos logros "TU Y    YO SOMOS salvaVIDAS POR UN QUINDIO GANADOR" en el Departamento del Quindio</t>
  </si>
  <si>
    <t>320 Promotora de Vivienda</t>
  </si>
  <si>
    <t xml:space="preserve">321 Instituto Departamental de Transito </t>
  </si>
  <si>
    <t>TOTAL ENTIDADES DESCENTRALIZADAS:</t>
  </si>
  <si>
    <t>GRAN TOTAL:</t>
  </si>
  <si>
    <t>JOSÉ IGNACIO ROJAS SEPÚLVEDA</t>
  </si>
  <si>
    <t>Secretario de Planeación Departamental</t>
  </si>
  <si>
    <t>LINEA ESTRATEGICA</t>
  </si>
  <si>
    <t>TOTAL SECTOR CENTRAL</t>
  </si>
  <si>
    <t>SGP SALÚD PUBLICA - PRESTACIÓN DE SERVICIOS
 (171)(198)(61)(60)</t>
  </si>
  <si>
    <t>OTROS (IVA TELEFONIA MÓVIL  - REGISTRO - LEY 1816 (3% MONOPOLIO LICORES) (DEPORTES) EXTRACCION MATERIAL RIO  (47)</t>
  </si>
  <si>
    <t>NACIÓN  - COFINANCIACIÓN
CONV ANTICONTRABANDO
(111)(107)</t>
  </si>
  <si>
    <t>PENDIENTE DNP</t>
  </si>
  <si>
    <t xml:space="preserve">308 SECRETARÍA DE AGUAS E INFRAESTRUCTURA </t>
  </si>
  <si>
    <t>.Tasa de participación en procesos y actividades artísticas y culturales.
.Tasa de consumo de sustancias sicoactivas por 100.000 habitantes en el departamento del Quindío.</t>
  </si>
  <si>
    <t>.Cobertura en formación artística y cultural
.Tasa de consumo de sustancias sicoactivas por 100.000 habitantes en el departamento del Quindío.</t>
  </si>
  <si>
    <t>.Tasa de lectura
.Tasa de consumo de sustancias sicoactivas por 100.000 habitantes en el departamento del Quindío.</t>
  </si>
  <si>
    <t>Índice Departamental de Competitividad
Tasa desempleo</t>
  </si>
  <si>
    <t xml:space="preserve">Esquemas de Pago por Servicio ambientales implementados </t>
  </si>
  <si>
    <t xml:space="preserve">mecanismos de articulación implementados para la gestión de oferta social </t>
  </si>
  <si>
    <t xml:space="preserve"> I </t>
  </si>
  <si>
    <t>Fortalecimiento, Habitos y estilos de vida saludable como instrumento SALVAVIDAS en el Departamento del Quindio</t>
  </si>
  <si>
    <t>Cobertura de ligas apoyadas en el departamento del Quindío.
Porcentaje de medallería del departamento del Quindío en los Juegos Nacionales.</t>
  </si>
  <si>
    <t>202000363-0040</t>
  </si>
  <si>
    <t>202000363-0113</t>
  </si>
  <si>
    <t>SEPTIEMBRE 30 2020</t>
  </si>
  <si>
    <t>307 SECRETARÍA DE HACIENDA</t>
  </si>
  <si>
    <t>Índice de Desempeño Fiscal Administración Departamental</t>
  </si>
  <si>
    <t>Servicio de asistencia técnica para la articulación de los operadores de los servicios de justicia</t>
  </si>
  <si>
    <t>Cobertura de Instituciones Educativas con Planes Escolares de Gestión del Riesgo de Desastres-PEGERD</t>
  </si>
  <si>
    <t xml:space="preserve"> DNP</t>
  </si>
  <si>
    <t xml:space="preserve">Administración del  riesgo mediante el conocimiento, la reducción y el manejo del desastres en el Departamento del Quindío </t>
  </si>
  <si>
    <t>Fortalecimiento de la oferta de prestadores de servicios, productos y atractivos turísticos en el Departamento del Quindío</t>
  </si>
  <si>
    <t>9.2</t>
  </si>
  <si>
    <t>Servicio de información actualizado</t>
  </si>
  <si>
    <t>9.2.1</t>
  </si>
  <si>
    <t>Sistemas de información actualizados</t>
  </si>
  <si>
    <t>Documentos de lineamientos técnicos para mejorar la calidad ambiental de las áreas urbanas elaborados</t>
  </si>
  <si>
    <t>Gestión integral de cuencas hidrográficas en el Departamento del Quindío</t>
  </si>
  <si>
    <t>Implementación de  las Dimensiones y Políticas  del Modelo Integrado de Planeación y de Gestión MIPG</t>
  </si>
  <si>
    <t>Instrumentos de planificación para  el  Ordenamiento y la Gestión Territorial Departamental (Plan de Desarrollo Departamental PDD, Políticas y Directrices de Ordenamiento Territorial, Sistema de Información Geográfica, Catastro Multipropósito  y mecanismos de integración)</t>
  </si>
  <si>
    <t>Implementación Sistema de Cooperación Internacional y  de Gestión de proyectos  del Departamento del Quindío - "Fabrica de Proyectos"</t>
  </si>
  <si>
    <t xml:space="preserve">Implementación de un programa de gestión financiera para la optimización de los procesos en el área de tesorería, presupuesto y contabilidad en el Departamento del Quindío </t>
  </si>
  <si>
    <t>Promoción al acceso a la justicia. "Tú y yo con justicia"</t>
  </si>
  <si>
    <t xml:space="preserve">Índice de competitividad  en el sector de infraestructura vial </t>
  </si>
  <si>
    <t>Déficit cualitativo de viviendas por hogares</t>
  </si>
  <si>
    <t>Implementación del plan departamental para el manejo empresarial de los servicios de agua y saneamiento básico en el Departamento del Quindío</t>
  </si>
  <si>
    <t>Cobertura de asistencia a los municipios del departamento del Quindío en los procesos de la garantía y prevención de derechos humanos.</t>
  </si>
  <si>
    <t>Cobertura  de municipios del departamento del Quindío  atendidos con estudios y/o construcción de obras   para mitigación y atención a desastres realizadas.</t>
  </si>
  <si>
    <t>1.Cobertura  de municipios del departamento del Quindío  atendidos con estudios y/o construcción de obras   para mitigación y atención a desastres realizadas.
2.Ecosistemas protegidos y/o en procesos de restauración en el Departamento</t>
  </si>
  <si>
    <t>Cobertura de   personas capacitadas en Gestión del Riesgo de Desastres  en el Departamento del Quindío, bajo el marco de Ciudades resilientes</t>
  </si>
  <si>
    <t>Municipios con organismos de acción comunal fortalecidos.</t>
  </si>
  <si>
    <t xml:space="preserve">Fortalecimiento de las veedurías ciudadanas en el Departamento del Quindío </t>
  </si>
  <si>
    <t xml:space="preserve">Implementación del programa "Tú y Yo Somos Cultura", para el fortalecimiento a la lectura,  escritura  y bibliotecas en el Departamento del Quindío </t>
  </si>
  <si>
    <t xml:space="preserve"> Implementación de la "Ruta de la felicidad y la identidad quindiana", para  el fortalecimiento y visibilización de los procesos   artísticos  y culturales   en el Departamento del Quindío</t>
  </si>
  <si>
    <t>Servicio de asistencia técnica para el desarrollo de iniciativas Clústers</t>
  </si>
  <si>
    <t>Índice Departamental de Competitividad Turística
Tasa desempleo</t>
  </si>
  <si>
    <t>Apoyo a la promoción nacional e internacional como destino turismo del Departamento del Quindío</t>
  </si>
  <si>
    <t>Servicio de asistencia técnica para la generación y formalización del empleo</t>
  </si>
  <si>
    <t>Adquisición, mantenimiento y administración de áreas de importancia estratégica para la conservación y regulación del recurso hídrico.</t>
  </si>
  <si>
    <t>Fortalecimiento  y potencialización de los servicios ecosistémicos en el Departamento del Quindío</t>
  </si>
  <si>
    <t>Implementación de acciones de Gestión del Cambio Climático en el marco del PIGCC.</t>
  </si>
  <si>
    <t xml:space="preserve">Encuentros ciudadanos en el Departamento del Quindío en aplicación de la Política de Transparencia, Acceso a la Información Pública y Lucha contra la Corrupción.  </t>
  </si>
  <si>
    <t>Fortalecimiento territorial para una gestión educativa integral en la Secretaría de Educación Departamental del Quindío</t>
  </si>
  <si>
    <t>Implementación de un fondo de apoyo departamental para el acceso y la permanencia de la educación técnica, tecnológica y superior en el Departamento del Quindío</t>
  </si>
  <si>
    <t>Implementación de un modelo de atención integral a niños y niñas en entornos protectores en el Departamento del Quindío</t>
  </si>
  <si>
    <t>Formulación e implementación de  la política pública  de la familia en el departamento del Quindío</t>
  </si>
  <si>
    <t xml:space="preserve">Cobertura de municipios del departamento apoyados con  emprendimientos juveniles </t>
  </si>
  <si>
    <t>Formulación e implementación de la política pública  de diversidad sexual en el Departamento del Quindío</t>
  </si>
  <si>
    <t>Implementación de la política pública de equidad de género para la mujer en el Departamento del Quindío</t>
  </si>
  <si>
    <t>Porcentaje de población asegurada al SGSSS
Oportunidad en la presunción diagnóstica y tratamiento oncológico en menores de 18 años (alta y media)</t>
  </si>
  <si>
    <t>Mortalidad por diarreica aguda (EDA) menores 5 años (numero de muertes anual)
Prevalencia de niños menores de 5 años con desnutrición aguda
Índice de riesgo de la calidad de agua para consumo humano IRCA</t>
  </si>
  <si>
    <t>Oportunidad en la presunción diagnóstica y tratamiento oncológico en menores de 18 años (alta y media)</t>
  </si>
  <si>
    <t>Formulación e implementación del Plan Departamental en Salud Ambiental de adaptación al cambio climático.</t>
  </si>
  <si>
    <t>Tasa ajustada por edad de mortalidad asociada a cáncer de cuello uterino (por 100.000 mujeres).
Oportunidad en la presunción diagnóstica y tratamiento oncológico en menores de 18 años (alta y media)</t>
  </si>
  <si>
    <t>Facilitar el acceso y uso de las Tecnologías de la Información y las Comunicaciones en todo el departamento del Quindío. "Tú y yo somos ciudadanos TIC"</t>
  </si>
  <si>
    <t>Fomento del desarrollo de aplicaciones, software y contenidos para impulsar la apropiación de las Tecnologías de la Información y las Comunicaciones (TIC) "Quindío paraíso empresarial TIC-Quindío TIC"</t>
  </si>
  <si>
    <t>Apoyo a la estrategia de gobierno en línea en el Departamento del Quindío</t>
  </si>
  <si>
    <t>Incremento de emprendimientos y/o empresas de base tecnológica</t>
  </si>
  <si>
    <t xml:space="preserve">Implementación  y  divulgación de la estrategia    "Quindío innovador y competitivo" </t>
  </si>
  <si>
    <t>Apoyo a los juegos Intercolegiados en el Departamento del Quindío</t>
  </si>
  <si>
    <t>Apoyo a proyectos deportivos, recreativos y de actividad física, en el Departamento del Quindío</t>
  </si>
  <si>
    <t>Apoyo a la actividad física, salud y productiva en el Departamento del Quindío</t>
  </si>
  <si>
    <t xml:space="preserve">Apoyo en la formulación y ejecución de proyectos de vivienda, infraestructura y equipamientos colectivos y comunitarios en el Departamento del Quindío  </t>
  </si>
  <si>
    <t xml:space="preserve">índice de competitividad  en el sector de infraestructura vial </t>
  </si>
  <si>
    <t>Déficit cuantitativo de viviendas por hogares</t>
  </si>
  <si>
    <t xml:space="preserve">Viviendas de Interés Prioritario urbanas construidas </t>
  </si>
  <si>
    <t xml:space="preserve">Infraestructura Institucional de edificios públicos de atención de servicios ciudadanos con procesos constructivos, y/o mejorados, y/o ampliados, y/o mantenidos y/o reforzados </t>
  </si>
  <si>
    <r>
      <t xml:space="preserve">Política de Transparencia, Acceso a la Información Pública y Lucha Contra la Corrupción  articulada   con el "Pacto por la Integridad , Transparencia y Legalidad" del Gobierno Nacional desarrollada.                                                                           </t>
    </r>
    <r>
      <rPr>
        <sz val="12"/>
        <color rgb="FF000000"/>
        <rFont val="Arial"/>
        <family val="2"/>
      </rPr>
      <t xml:space="preserve">        </t>
    </r>
  </si>
  <si>
    <t>Julio 30 de 2020</t>
  </si>
  <si>
    <t>Tasa de cobertura bruta en transición
Tasa de cobertura bruta en educación básica
Tasa de cobertura en educación media</t>
  </si>
  <si>
    <t>Servicios educativos de promoción del bilingüismo</t>
  </si>
  <si>
    <t>Tasa de participación en procesos y actividades artísticas y culturales.
Tasa de consumo de sustancias sicoactivas por 100.000 habitantes en el departamento del Quindío.</t>
  </si>
  <si>
    <t>Índice Departamental de Competitividad Turística
Tasa de desempleo</t>
  </si>
  <si>
    <t xml:space="preserve">Cobertura  de alcantarillado </t>
  </si>
  <si>
    <t xml:space="preserve">Cobertura en la  implementación del  modelo de entornos protectores y atención integral de la primera infancia </t>
  </si>
  <si>
    <t>Cobertura  de municipios   con  jóvenes en riesgo psicosocial impactados en los  barrios vulnerables del Departamento del Quindío</t>
  </si>
  <si>
    <t>Tasa de violencia de género.
Tasa de Suicidio  x 100.000 Habitantes en el Departamento del Quindío.
Tasa de suicidios en niños y niñas ( 6 a 11 años)
Tasa de suicidios en adolescentes (12 a 17 años)
Tasa de suicidios (18 - 28 años)
Tasa de Consumo de Sustancias Psicoactivas  x 100.000 habitantes en el Departamento del Quindío.</t>
  </si>
  <si>
    <t>Tasa de violencia Intrafamiliar x 100.000 Habitantes en el Departamento del Quindío.
Tasa de violencia contra niños y niñas 0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</si>
  <si>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Tasa de Violencia Intrafamiliar x 100.000 Habitantes en el Departamento del Quindío.
Tasa de violencia contra niños y niñas 0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</si>
  <si>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Cobertura  de población diferencial,  comunidades negras, afros raizales y palenqueras asentadas en el departamento del Quindío con una  política publica .</t>
  </si>
  <si>
    <t>Formular e implementar la política pública para la comunidad negra, afrocolombiana, raizal y palenquera residente en el Departamento del Quindío</t>
  </si>
  <si>
    <t>Cobertura de municipios atendidos  con el Banco de ayudas técnicas NO POS tipo Estándar, para las personas con discapacidad .</t>
  </si>
  <si>
    <t>Cobertura  de municipios del Departamento del Quindío  con el   Programas  de Rehabilitación Basada en la Comunidad  RBC</t>
  </si>
  <si>
    <t>Tasa de Suicidio  x 100.000 Habitantes en el Departamento del Quindío.
Tasa de Violencia Intrafamiliar x 100.000 Habitantes en el Departamento del Quindío.
Cobertura a los grupos de adulto mayor del departamento del Quindío en articulación con los Municipios, en el marco de garantizar estimulación física, cognitiva, emocional y social en bienestar de una vejez activa y saludable 
Cobertura  de  centros vida y centros de bienestar del adulto mayor (Legalmente constituidos)  apoyados con los recursos  de la  Estampilla Pro adulto Mayor .</t>
  </si>
  <si>
    <t>Cobertura  de  centros vida y centros de bienestar del adulto mayor (Legalmente constituidos)  apoyados con los recursos  de la  Estampilla Pro adulto Mayor .</t>
  </si>
  <si>
    <t xml:space="preserve">Política Pública de  Discapacidad  revisada, ajustada e implementada. </t>
  </si>
  <si>
    <t>FONDO LOCAL DE SALUD  - MONOPOLIO RENTAS CEDIDAS -LOTERIAS-RIFAS-PREMIO(152)(99)63)</t>
  </si>
  <si>
    <t>Realizar la vigilancia epidemiológica de plaguicidas en el marco del programa VEO (vigilancia epidemiológica de organofosforados y carbamatos) en los municipios de competencia departamental.</t>
  </si>
  <si>
    <t>Prevalencia de niños menores de 5 años con desnutrición aguda.</t>
  </si>
  <si>
    <t>Plan de Fortalecimiento de Capacidades en Salud Ambiental  formulado.</t>
  </si>
  <si>
    <t>Tasa de violencia de género.
Tasa de Suicidio  x 100.000 Habitantes en el Departamento del Quindío.
Tasa de suicidios en niños y niñas ( 6 a 11 años)
Tasa de suicidios en adolescentes (12 a 17 años)
Tasa de suicidios (18 - 28 años)
Tasa de Consumo de Sustancias Psicoactivas  x 100.000 Habitantes en el Departamento del Quindío.</t>
  </si>
  <si>
    <t xml:space="preserve">Infraestructura  vial    construida, mejorada, ampliada,  mantenida, y/o  reforzada </t>
  </si>
  <si>
    <t xml:space="preserve">Infraestructura   deportiva y/o recreativa construida y/o mejorada, y/o ampliada, y/o mantenida, y/o  reforzada </t>
  </si>
  <si>
    <t>324  SECRETARÍA TECNOLOGÍAS DE LA INFORMACIÓN Y COMUNICACIÓN</t>
  </si>
  <si>
    <t>37.4</t>
  </si>
  <si>
    <t>13.9</t>
  </si>
  <si>
    <t>12.22</t>
  </si>
  <si>
    <t>12.4</t>
  </si>
  <si>
    <t>12.12</t>
  </si>
  <si>
    <t>11.12</t>
  </si>
  <si>
    <t>11.16</t>
  </si>
  <si>
    <t>11.13</t>
  </si>
  <si>
    <t>16.5</t>
  </si>
  <si>
    <t>.Tasa de participación en procesos y actividades artísticas y culturales.
.Tasa de consumo de sustancias psicoactivas por 100.000 habitantes en el departamento del Quindío.</t>
  </si>
  <si>
    <t>.Tasa de lectura
.Tasa de consumo de sustancias psicoactivas por 100.000 habitantes en el departamento del Quindío.</t>
  </si>
  <si>
    <t>.Tasa de cumplimiento al Plan de Biocultura en patrimonio y del PCC.
.Tasa de consumo de sustancias picoactivas por 100.000 habitantes en el departamento del Quindío.</t>
  </si>
  <si>
    <t>.Tasa de cumplimiento al Plan de Biocultura en patrimonio y del PCC.
.Tasa de consumo de sustancias psicoactivas por 100.000 habitantes en el departamento del Quindío.</t>
  </si>
  <si>
    <t>Tasa de lesionados por siniestros viales por cada 100 habitantes.
Tasa de fallecidos por siniestros viales por cada 100 habitantes.</t>
  </si>
  <si>
    <t>Fortalecimiento, hábitos y estilos de vida saludable como instrumento SALVAVIDAS en el Departamento del Quindío</t>
  </si>
  <si>
    <t>Cobertura de municipios que participan en programas de recreación, actividad física y deporte social y comunitario en el Departamento del Quindío.
Tasa de Consumo de Sustancias Psicoactivas  x 100.000 Habitantes en el Departamento del Quindío.</t>
  </si>
  <si>
    <t>Fortalecimiento al deporte competitivo y de altos logros "TÚ Y  YO SOMOS SALVAVIDAS POR UN QUINDÍO GANADOR" en el Departamento del Quindío</t>
  </si>
  <si>
    <t>Política pública formulada e implementada</t>
  </si>
  <si>
    <t>0.92</t>
  </si>
  <si>
    <t>0.4</t>
  </si>
  <si>
    <t>0.45</t>
  </si>
  <si>
    <t>Liderazgo, Gobernabilidad y Transparencia</t>
  </si>
  <si>
    <t>Inclusión Social y Equidad</t>
  </si>
  <si>
    <t>Productividad y Competitividad</t>
  </si>
  <si>
    <t xml:space="preserve">Territorio, Ambiente y Desarrollo Sostenible </t>
  </si>
  <si>
    <t>Línea Estratégica</t>
  </si>
  <si>
    <t>Total</t>
  </si>
  <si>
    <t>% 
Paticipación</t>
  </si>
  <si>
    <t>META
 2020 -2023</t>
  </si>
  <si>
    <t>Código KPT</t>
  </si>
  <si>
    <t>Nombre Programa</t>
  </si>
  <si>
    <t>PRESUPUESO</t>
  </si>
  <si>
    <t xml:space="preserve">Consolidación productiva del sector de energía eléctrica  </t>
  </si>
  <si>
    <t>Investigación con calidad e impacto</t>
  </si>
  <si>
    <t>3904</t>
  </si>
  <si>
    <t>4001</t>
  </si>
  <si>
    <t>No. Interior</t>
  </si>
  <si>
    <t>PLAN DE DESARROLLO 2020 - 2023 "TU Y YO SOMOS QUINDIO"
DISTIBUCION RECURSOS POR LINEAS ESTRATÉGICAS
IV TRIMESTRE 2020</t>
  </si>
  <si>
    <t xml:space="preserve">Indice de competitividad  en el sector de infraestructura vial </t>
  </si>
  <si>
    <t>18.3</t>
  </si>
  <si>
    <t>Estudios y diseños de infraestructura vial</t>
  </si>
  <si>
    <t>18.3.1</t>
  </si>
  <si>
    <t>Estudios y diseños de infraestructura vial elaborado.</t>
  </si>
  <si>
    <t>SEGUIMIENTO PROYECTOS DE INVERSION REGISTRADOS EN EL BANCO DE PROGRAMAS Y PROYECTOS
QUE FORMAN PARTE DEL PLAN OPERATIVO ANUAL DE INVERSIONES POAI DEL DEPARTAMENTO
IV TRIMESTRE 2020</t>
  </si>
  <si>
    <t xml:space="preserve">MONOPOLIO SALUD Y EDUCACIÓN  51% DESTINACION ESPECIFICA
 </t>
  </si>
  <si>
    <t>PLAN OPERATIVO ANUAL DE INVERSIÓN  POAI 
PLAN DE DESARROLLO 2020-2023 "TÚ Y YO SOMOS QUINDIO "
IV TRIMESTRE 2020</t>
  </si>
  <si>
    <t>PLAN DE DESARROLLO 2020 - 2023 "TU Y YO SOMOS QUINDIO"
PROGRAMAS  IV TRIMESTRE 2020</t>
  </si>
  <si>
    <t>F-PLA-42</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</si>
</sst>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 #,##0.00_);_(&quot;$&quot;\ * \(#,##0.00\);_(&quot;$&quot;\ * &quot;-&quot;??_);_(@_)"/>
    <numFmt numFmtId="43" formatCode="_(* #,##0.00_);_(* \(#,##0.00\);_(* &quot;-&quot;??_);_(@_)"/>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_-&quot;$&quot;* #,##0_-;\-&quot;$&quot;* #,##0_-;_-&quot;$&quot;* &quot;-&quot;_-;_-@_-"/>
    <numFmt numFmtId="169" formatCode="_-&quot;$&quot;* #,##0.00_-;\-&quot;$&quot;* #,##0.00_-;_-&quot;$&quot;* &quot;-&quot;??_-;_-@_-"/>
    <numFmt numFmtId="170" formatCode="_([$$-240A]\ * #,##0.00_);_([$$-240A]\ * \(#,##0.00\);_([$$-240A]\ * &quot;-&quot;??_);_(@_)"/>
    <numFmt numFmtId="171" formatCode="_(* #,##0_);_(* \(#,##0\);_(* &quot;-&quot;??_);_(@_)"/>
    <numFmt numFmtId="172" formatCode="_-* #,##0.00_-;\-* #,##0.00_-;_-* &quot;-&quot;_-;_-@_-"/>
    <numFmt numFmtId="173" formatCode="00"/>
    <numFmt numFmtId="174" formatCode="_-* #,##0_-;\-* #,##0_-;_-* &quot;-&quot;??_-;_-@_-"/>
    <numFmt numFmtId="175" formatCode="0.0"/>
    <numFmt numFmtId="176" formatCode="_-&quot;$&quot;\ * #,##0.00_-;\-&quot;$&quot;\ * #,##0.00_-;_-&quot;$&quot;\ * &quot;-&quot;_-;_-@_-"/>
    <numFmt numFmtId="177" formatCode="#,##0.0000000"/>
    <numFmt numFmtId="178" formatCode="_ [$€-2]\ * #,##0.00_ ;_ [$€-2]\ * \-#,##0.00_ ;_ [$€-2]\ * &quot;-&quot;??_ "/>
  </numFmts>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rgb="FF6F6F6E"/>
      <name val="Calibri"/>
      <family val="2"/>
      <scheme val="minor"/>
    </font>
    <font>
      <sz val="12"/>
      <name val="Arial"/>
      <family val="2"/>
    </font>
    <font>
      <sz val="12"/>
      <color theme="1"/>
      <name val="Arial"/>
      <family val="2"/>
    </font>
    <font>
      <b/>
      <sz val="12"/>
      <color theme="0"/>
      <name val="Arial"/>
      <family val="2"/>
    </font>
    <font>
      <sz val="10"/>
      <name val="Arial"/>
      <family val="2"/>
    </font>
    <font>
      <sz val="10"/>
      <color theme="1"/>
      <name val="Arial"/>
      <family val="2"/>
    </font>
    <font>
      <b/>
      <sz val="12"/>
      <name val="Arial"/>
      <family val="2"/>
    </font>
    <font>
      <b/>
      <sz val="10"/>
      <name val="Arial"/>
      <family val="2"/>
    </font>
    <font>
      <sz val="12"/>
      <color theme="0"/>
      <name val="Arial"/>
      <family val="2"/>
    </font>
    <font>
      <sz val="12"/>
      <color indexed="8"/>
      <name val="Arial"/>
      <family val="2"/>
    </font>
    <font>
      <sz val="12"/>
      <color rgb="FFFF0000"/>
      <name val="Arial"/>
      <family val="2"/>
    </font>
    <font>
      <sz val="12"/>
      <color rgb="FF000000"/>
      <name val="Arial"/>
      <family val="2"/>
    </font>
    <font>
      <sz val="8"/>
      <name val="Calibri"/>
      <family val="2"/>
      <scheme val="minor"/>
    </font>
    <font>
      <b/>
      <sz val="8"/>
      <name val="Arial"/>
      <family val="2"/>
    </font>
    <font>
      <sz val="8"/>
      <name val="Arial"/>
      <family val="2"/>
    </font>
    <font>
      <sz val="8"/>
      <color theme="1"/>
      <name val="Calibri"/>
      <family val="2"/>
      <scheme val="minor"/>
    </font>
    <font>
      <b/>
      <sz val="8"/>
      <name val="Calibri"/>
      <family val="2"/>
      <scheme val="minor"/>
    </font>
    <font>
      <sz val="12"/>
      <color rgb="FF222222"/>
      <name val="Arial"/>
      <family val="2"/>
    </font>
    <font>
      <b/>
      <sz val="12"/>
      <color theme="1"/>
      <name val="Arial"/>
      <family val="2"/>
    </font>
    <font>
      <sz val="11"/>
      <name val="Calibri"/>
      <family val="2"/>
      <scheme val="minor"/>
    </font>
  </fonts>
  <fills count="43">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CECEC"/>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002060"/>
        <bgColor indexed="64"/>
      </patternFill>
    </fill>
    <fill>
      <patternFill patternType="solid">
        <fgColor rgb="FFFFC000"/>
        <bgColor indexed="64"/>
      </patternFill>
    </fill>
    <fill>
      <patternFill patternType="solid">
        <fgColor rgb="FF00B0F0"/>
        <bgColor indexed="64"/>
      </patternFill>
    </fill>
    <fill>
      <patternFill patternType="solid">
        <fgColor theme="4" tint="0.39997558519241921"/>
        <bgColor indexed="64"/>
      </patternFill>
    </fill>
    <fill>
      <patternFill patternType="solid">
        <fgColor indexed="49"/>
        <bgColor indexed="64"/>
      </patternFill>
    </fill>
    <fill>
      <patternFill patternType="solid">
        <fgColor theme="2" tint="-0.249977111117893"/>
        <bgColor indexed="64"/>
      </patternFill>
    </fill>
    <fill>
      <patternFill patternType="solid">
        <fgColor theme="9" tint="0.39997558519241921"/>
        <bgColor indexed="6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522B57"/>
      </left>
      <right style="thin">
        <color rgb="FF522B57"/>
      </right>
      <top style="thin">
        <color rgb="FF522B57"/>
      </top>
      <bottom style="thin">
        <color rgb="FF522B57"/>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indexed="64"/>
      </left>
      <right/>
      <top/>
      <bottom/>
      <diagonal/>
    </border>
  </borders>
  <cellStyleXfs count="77">
    <xf numFmtId="0" fontId="0" fillId="0" borderId="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0" fillId="5" borderId="4" applyNumberFormat="0" applyAlignment="0" applyProtection="0"/>
    <xf numFmtId="0" fontId="12" fillId="6" borderId="7" applyNumberFormat="0" applyAlignment="0" applyProtection="0"/>
    <xf numFmtId="0" fontId="11" fillId="0" borderId="6" applyNumberFormat="0" applyFill="0" applyAlignment="0" applyProtection="0"/>
    <xf numFmtId="0" fontId="3" fillId="0" borderId="1" applyNumberFormat="0" applyFill="0" applyAlignment="0" applyProtection="0"/>
    <xf numFmtId="0" fontId="5" fillId="0" borderId="0" applyNumberFormat="0" applyFill="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8" fillId="4" borderId="4" applyNumberFormat="0" applyAlignment="0" applyProtection="0"/>
    <xf numFmtId="0" fontId="6" fillId="2" borderId="0" applyNumberFormat="0" applyBorder="0" applyAlignment="0" applyProtection="0"/>
    <xf numFmtId="0" fontId="7" fillId="3" borderId="0" applyNumberFormat="0" applyBorder="0" applyAlignment="0" applyProtection="0"/>
    <xf numFmtId="0" fontId="1" fillId="7" borderId="8" applyNumberFormat="0" applyFont="0" applyAlignment="0" applyProtection="0"/>
    <xf numFmtId="0" fontId="9" fillId="5"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2"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15" fillId="0" borderId="9" applyNumberFormat="0" applyFill="0" applyAlignment="0" applyProtection="0"/>
    <xf numFmtId="43" fontId="17" fillId="0" borderId="0" applyFont="0" applyFill="0" applyBorder="0" applyAlignment="0" applyProtection="0"/>
    <xf numFmtId="167" fontId="1" fillId="0" borderId="0" applyFont="0" applyFill="0" applyBorder="0" applyAlignment="0" applyProtection="0"/>
    <xf numFmtId="0" fontId="18" fillId="32" borderId="10">
      <alignment horizontal="center" vertical="center" wrapText="1"/>
    </xf>
    <xf numFmtId="0" fontId="1" fillId="0" borderId="0"/>
    <xf numFmtId="9" fontId="17"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70" fontId="1" fillId="0" borderId="0"/>
    <xf numFmtId="170" fontId="18" fillId="32" borderId="10">
      <alignment horizontal="center" vertical="center" wrapText="1"/>
    </xf>
    <xf numFmtId="169"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70" fontId="2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7" fontId="17" fillId="0" borderId="0" applyFont="0" applyFill="0" applyBorder="0" applyAlignment="0" applyProtection="0"/>
    <xf numFmtId="166" fontId="1" fillId="0" borderId="0" applyFont="0" applyFill="0" applyBorder="0" applyAlignment="0" applyProtection="0"/>
    <xf numFmtId="0" fontId="23" fillId="0" borderId="0"/>
    <xf numFmtId="164" fontId="1" fillId="0" borderId="0" applyFont="0" applyFill="0" applyBorder="0" applyAlignment="0" applyProtection="0"/>
    <xf numFmtId="170" fontId="22"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78" fontId="1" fillId="0" borderId="0"/>
    <xf numFmtId="167" fontId="1" fillId="0" borderId="0" applyFont="0" applyFill="0" applyBorder="0" applyAlignment="0" applyProtection="0"/>
    <xf numFmtId="0" fontId="23" fillId="0" borderId="0"/>
    <xf numFmtId="169"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cellStyleXfs>
  <cellXfs count="548">
    <xf numFmtId="0" fontId="0" fillId="0" borderId="0" xfId="0"/>
    <xf numFmtId="0" fontId="20" fillId="0" borderId="11" xfId="0" applyFont="1" applyBorder="1" applyAlignment="1">
      <alignment horizontal="left" vertical="center" wrapText="1"/>
    </xf>
    <xf numFmtId="43" fontId="19" fillId="0" borderId="11" xfId="41" applyFont="1" applyFill="1" applyBorder="1" applyAlignment="1">
      <alignment horizontal="justify" vertical="center"/>
    </xf>
    <xf numFmtId="171" fontId="19" fillId="0" borderId="11" xfId="41" applyNumberFormat="1" applyFont="1" applyFill="1" applyBorder="1" applyAlignment="1">
      <alignment horizontal="center" vertical="center" wrapText="1"/>
    </xf>
    <xf numFmtId="0" fontId="19" fillId="0" borderId="11" xfId="41" applyNumberFormat="1" applyFont="1" applyFill="1" applyBorder="1" applyAlignment="1">
      <alignment horizontal="center" vertical="center" wrapText="1"/>
    </xf>
    <xf numFmtId="43" fontId="19" fillId="0" borderId="11" xfId="41" applyFont="1" applyFill="1" applyBorder="1"/>
    <xf numFmtId="0" fontId="19" fillId="0" borderId="11" xfId="49" applyNumberFormat="1" applyFont="1" applyFill="1" applyBorder="1" applyAlignment="1">
      <alignment horizontal="justify" vertical="center" wrapText="1"/>
    </xf>
    <xf numFmtId="0" fontId="19" fillId="0" borderId="11" xfId="51" applyNumberFormat="1" applyFont="1" applyFill="1" applyBorder="1" applyAlignment="1">
      <alignment horizontal="center" vertical="center" wrapText="1"/>
    </xf>
    <xf numFmtId="43" fontId="19" fillId="0" borderId="11" xfId="51" applyFont="1" applyFill="1" applyBorder="1" applyAlignment="1">
      <alignment horizontal="right" vertical="center" wrapText="1"/>
    </xf>
    <xf numFmtId="170" fontId="19" fillId="0" borderId="11" xfId="49" applyFont="1" applyFill="1" applyBorder="1" applyAlignment="1">
      <alignment horizontal="justify" vertical="center" wrapText="1"/>
    </xf>
    <xf numFmtId="174" fontId="19" fillId="0" borderId="0" xfId="51" applyNumberFormat="1" applyFont="1" applyAlignment="1">
      <alignment horizontal="center"/>
    </xf>
    <xf numFmtId="43" fontId="19" fillId="0" borderId="11" xfId="41" applyFont="1" applyBorder="1" applyAlignment="1">
      <alignment horizontal="justify" vertical="center"/>
    </xf>
    <xf numFmtId="0" fontId="19" fillId="0" borderId="11" xfId="49" applyNumberFormat="1" applyFont="1" applyFill="1" applyBorder="1" applyAlignment="1">
      <alignment horizontal="center" vertical="center"/>
    </xf>
    <xf numFmtId="43" fontId="19" fillId="38" borderId="11" xfId="41" applyFont="1" applyFill="1" applyBorder="1" applyAlignment="1">
      <alignment horizontal="justify" vertical="center"/>
    </xf>
    <xf numFmtId="43" fontId="24" fillId="38" borderId="11" xfId="41" applyFont="1" applyFill="1" applyBorder="1" applyAlignment="1">
      <alignment horizontal="justify" vertical="center"/>
    </xf>
    <xf numFmtId="167" fontId="19" fillId="0" borderId="11" xfId="42" applyFont="1" applyFill="1" applyBorder="1" applyAlignment="1">
      <alignment horizontal="center" vertical="center"/>
    </xf>
    <xf numFmtId="0" fontId="19" fillId="0" borderId="11" xfId="51" applyNumberFormat="1" applyFont="1" applyFill="1" applyBorder="1" applyAlignment="1">
      <alignment horizontal="justify" vertical="center" wrapText="1"/>
    </xf>
    <xf numFmtId="43" fontId="19" fillId="0" borderId="11" xfId="41" applyFont="1" applyFill="1" applyBorder="1" applyAlignment="1">
      <alignment horizontal="justify" vertical="center" wrapText="1"/>
    </xf>
    <xf numFmtId="43" fontId="28" fillId="0" borderId="11" xfId="41" applyFont="1" applyFill="1" applyBorder="1" applyAlignment="1">
      <alignment horizontal="justify" vertical="center"/>
    </xf>
    <xf numFmtId="43" fontId="19" fillId="0" borderId="11" xfId="51" applyFont="1" applyFill="1" applyBorder="1" applyAlignment="1">
      <alignment vertical="center"/>
    </xf>
    <xf numFmtId="43" fontId="19" fillId="0" borderId="11" xfId="51" applyFont="1" applyFill="1" applyBorder="1" applyAlignment="1">
      <alignment horizontal="center" vertical="center"/>
    </xf>
    <xf numFmtId="43" fontId="19" fillId="0" borderId="11" xfId="41" applyFont="1" applyFill="1" applyBorder="1" applyAlignment="1">
      <alignment horizontal="right" vertical="center"/>
    </xf>
    <xf numFmtId="43" fontId="24" fillId="38" borderId="11" xfId="51" applyFont="1" applyFill="1" applyBorder="1" applyAlignment="1">
      <alignment horizontal="center" vertical="center"/>
    </xf>
    <xf numFmtId="43" fontId="19" fillId="0" borderId="11" xfId="41" applyFont="1" applyFill="1" applyBorder="1" applyAlignment="1">
      <alignment horizontal="center" vertical="center" wrapText="1"/>
    </xf>
    <xf numFmtId="43" fontId="20" fillId="0" borderId="11" xfId="41" applyFont="1" applyFill="1" applyBorder="1" applyAlignment="1">
      <alignment horizontal="center" vertical="center" wrapText="1"/>
    </xf>
    <xf numFmtId="0" fontId="30" fillId="0" borderId="0" xfId="0" applyFont="1"/>
    <xf numFmtId="0" fontId="31" fillId="0" borderId="0" xfId="0" applyFont="1" applyAlignment="1">
      <alignment horizontal="center" vertical="center"/>
    </xf>
    <xf numFmtId="0" fontId="31" fillId="0" borderId="0" xfId="0" applyFont="1" applyAlignment="1">
      <alignment vertical="center"/>
    </xf>
    <xf numFmtId="0" fontId="32" fillId="0" borderId="11" xfId="0" applyFont="1" applyBorder="1" applyAlignment="1">
      <alignment horizontal="center" vertical="center" wrapText="1"/>
    </xf>
    <xf numFmtId="43" fontId="30" fillId="0" borderId="26" xfId="0" applyNumberFormat="1" applyFont="1" applyBorder="1" applyAlignment="1">
      <alignment vertical="center"/>
    </xf>
    <xf numFmtId="43" fontId="31" fillId="0" borderId="0" xfId="0" applyNumberFormat="1" applyFont="1" applyAlignment="1">
      <alignment vertical="center"/>
    </xf>
    <xf numFmtId="0" fontId="33" fillId="0" borderId="0" xfId="0" applyFont="1"/>
    <xf numFmtId="43" fontId="30" fillId="0" borderId="0" xfId="0" applyNumberFormat="1" applyFont="1"/>
    <xf numFmtId="0" fontId="32" fillId="0" borderId="17" xfId="0" applyFont="1" applyBorder="1" applyAlignment="1">
      <alignment horizontal="center" vertical="center" wrapText="1"/>
    </xf>
    <xf numFmtId="0" fontId="32" fillId="0" borderId="11" xfId="0" applyFont="1" applyFill="1" applyBorder="1" applyAlignment="1">
      <alignment horizontal="center" vertical="center" wrapText="1"/>
    </xf>
    <xf numFmtId="0" fontId="32" fillId="0" borderId="11" xfId="0" applyFont="1" applyFill="1" applyBorder="1" applyAlignment="1">
      <alignment horizontal="justify" vertical="center" wrapText="1"/>
    </xf>
    <xf numFmtId="0" fontId="30" fillId="0" borderId="0" xfId="0" applyFont="1" applyFill="1"/>
    <xf numFmtId="0" fontId="30" fillId="0" borderId="0" xfId="0" applyFont="1" applyAlignment="1">
      <alignment horizontal="left" vertical="center" wrapText="1"/>
    </xf>
    <xf numFmtId="1" fontId="32" fillId="0" borderId="11" xfId="0" applyNumberFormat="1" applyFont="1" applyBorder="1" applyAlignment="1">
      <alignment horizontal="center" vertical="center" wrapText="1"/>
    </xf>
    <xf numFmtId="0" fontId="30" fillId="0" borderId="11" xfId="0" applyFont="1" applyBorder="1" applyAlignment="1">
      <alignment horizontal="justify" vertical="center" wrapText="1"/>
    </xf>
    <xf numFmtId="1" fontId="32" fillId="0" borderId="17" xfId="0" applyNumberFormat="1" applyFont="1" applyBorder="1" applyAlignment="1">
      <alignment horizontal="center" vertical="center" wrapText="1"/>
    </xf>
    <xf numFmtId="0" fontId="31" fillId="41" borderId="18" xfId="0" applyFont="1" applyFill="1" applyBorder="1" applyAlignment="1">
      <alignment horizontal="center" vertical="center" wrapText="1"/>
    </xf>
    <xf numFmtId="43" fontId="30" fillId="33" borderId="0" xfId="0" applyNumberFormat="1" applyFont="1" applyFill="1"/>
    <xf numFmtId="0" fontId="30" fillId="33" borderId="0" xfId="0" applyFont="1" applyFill="1"/>
    <xf numFmtId="3" fontId="32" fillId="0" borderId="11" xfId="0" applyNumberFormat="1" applyFont="1" applyBorder="1" applyAlignment="1">
      <alignment horizontal="justify" vertical="center" wrapText="1"/>
    </xf>
    <xf numFmtId="3" fontId="30" fillId="0" borderId="11" xfId="0" applyNumberFormat="1" applyFont="1" applyBorder="1" applyAlignment="1">
      <alignment horizontal="justify" vertical="center" wrapText="1"/>
    </xf>
    <xf numFmtId="171" fontId="32" fillId="0" borderId="11" xfId="0" applyNumberFormat="1" applyFont="1" applyBorder="1" applyAlignment="1">
      <alignment horizontal="justify" vertical="center" wrapText="1"/>
    </xf>
    <xf numFmtId="0" fontId="34" fillId="0" borderId="0" xfId="0" applyFont="1"/>
    <xf numFmtId="0" fontId="34" fillId="39" borderId="30" xfId="0" applyFont="1" applyFill="1" applyBorder="1" applyAlignment="1">
      <alignment horizontal="justify" vertical="center" wrapText="1"/>
    </xf>
    <xf numFmtId="0" fontId="30" fillId="33" borderId="0" xfId="0" applyFont="1" applyFill="1" applyAlignment="1">
      <alignment horizontal="justify" vertical="center" wrapText="1"/>
    </xf>
    <xf numFmtId="0" fontId="32" fillId="33" borderId="0" xfId="0" applyFont="1" applyFill="1" applyAlignment="1">
      <alignment horizontal="center" vertical="center" wrapText="1"/>
    </xf>
    <xf numFmtId="167" fontId="30" fillId="33" borderId="0" xfId="0" applyNumberFormat="1" applyFont="1" applyFill="1" applyAlignment="1">
      <alignment vertical="center"/>
    </xf>
    <xf numFmtId="4" fontId="30" fillId="33" borderId="0" xfId="0" applyNumberFormat="1" applyFont="1" applyFill="1" applyAlignment="1">
      <alignment vertical="center" wrapText="1"/>
    </xf>
    <xf numFmtId="0" fontId="30" fillId="33" borderId="0" xfId="0" applyFont="1" applyFill="1" applyAlignment="1">
      <alignment vertical="center"/>
    </xf>
    <xf numFmtId="0" fontId="30" fillId="0" borderId="0" xfId="0" applyFont="1" applyAlignment="1">
      <alignment horizontal="justify" vertical="center" wrapText="1"/>
    </xf>
    <xf numFmtId="0" fontId="32" fillId="0" borderId="0" xfId="0" applyFont="1" applyAlignment="1">
      <alignment horizontal="center" vertical="center" wrapText="1"/>
    </xf>
    <xf numFmtId="0" fontId="30" fillId="0" borderId="0" xfId="0" applyFont="1" applyAlignment="1">
      <alignment vertical="center"/>
    </xf>
    <xf numFmtId="0" fontId="32" fillId="0" borderId="14" xfId="0" applyFont="1" applyBorder="1" applyAlignment="1">
      <alignment horizontal="justify" vertical="center" wrapText="1"/>
    </xf>
    <xf numFmtId="0" fontId="32" fillId="0" borderId="19" xfId="0" applyFont="1" applyBorder="1" applyAlignment="1">
      <alignment horizontal="center" vertical="center" wrapText="1"/>
    </xf>
    <xf numFmtId="43" fontId="31" fillId="40" borderId="31" xfId="0" applyNumberFormat="1" applyFont="1" applyFill="1" applyBorder="1" applyAlignment="1">
      <alignment horizontal="left" vertical="center" wrapText="1"/>
    </xf>
    <xf numFmtId="0" fontId="32" fillId="0" borderId="36" xfId="0" applyFont="1" applyBorder="1" applyAlignment="1">
      <alignment horizontal="justify" vertical="center" wrapText="1"/>
    </xf>
    <xf numFmtId="0" fontId="32" fillId="0" borderId="36" xfId="0" applyFont="1" applyBorder="1" applyAlignment="1">
      <alignment horizontal="center" vertical="center" wrapText="1"/>
    </xf>
    <xf numFmtId="43" fontId="30" fillId="0" borderId="37" xfId="0" applyNumberFormat="1" applyFont="1" applyBorder="1" applyAlignment="1">
      <alignment vertical="center"/>
    </xf>
    <xf numFmtId="43" fontId="30" fillId="0" borderId="33" xfId="0" applyNumberFormat="1" applyFont="1" applyBorder="1" applyAlignment="1">
      <alignment vertical="center"/>
    </xf>
    <xf numFmtId="43" fontId="31" fillId="40" borderId="34" xfId="0" applyNumberFormat="1" applyFont="1" applyFill="1" applyBorder="1" applyAlignment="1">
      <alignment horizontal="left" vertical="center"/>
    </xf>
    <xf numFmtId="0" fontId="32" fillId="0" borderId="12" xfId="0" applyFont="1" applyBorder="1" applyAlignment="1">
      <alignment horizontal="justify" vertical="center" wrapText="1"/>
    </xf>
    <xf numFmtId="43" fontId="31" fillId="40" borderId="31" xfId="0" applyNumberFormat="1" applyFont="1" applyFill="1" applyBorder="1" applyAlignment="1">
      <alignment horizontal="left" vertical="center"/>
    </xf>
    <xf numFmtId="0" fontId="32" fillId="0" borderId="15" xfId="0" applyFont="1" applyBorder="1" applyAlignment="1">
      <alignment horizontal="justify" vertical="center" wrapText="1"/>
    </xf>
    <xf numFmtId="43" fontId="30" fillId="0" borderId="39" xfId="0" applyNumberFormat="1" applyFont="1" applyBorder="1" applyAlignment="1">
      <alignment vertical="center"/>
    </xf>
    <xf numFmtId="43" fontId="31" fillId="40" borderId="32" xfId="0" applyNumberFormat="1" applyFont="1" applyFill="1" applyBorder="1" applyAlignment="1">
      <alignment horizontal="left" vertical="center"/>
    </xf>
    <xf numFmtId="0" fontId="32" fillId="0" borderId="19" xfId="0" applyFont="1" applyFill="1" applyBorder="1" applyAlignment="1">
      <alignment horizontal="center" vertical="center" wrapText="1"/>
    </xf>
    <xf numFmtId="1" fontId="32" fillId="0" borderId="17" xfId="0" applyNumberFormat="1" applyFont="1" applyFill="1" applyBorder="1" applyAlignment="1">
      <alignment horizontal="center" vertical="center" wrapText="1"/>
    </xf>
    <xf numFmtId="0" fontId="30" fillId="0" borderId="17" xfId="0" applyFont="1" applyBorder="1" applyAlignment="1">
      <alignment horizontal="justify" vertical="center" wrapText="1"/>
    </xf>
    <xf numFmtId="171" fontId="32" fillId="0" borderId="19" xfId="0" applyNumberFormat="1" applyFont="1" applyBorder="1" applyAlignment="1">
      <alignment horizontal="justify" vertical="center" wrapText="1"/>
    </xf>
    <xf numFmtId="172" fontId="31" fillId="40" borderId="32" xfId="55" applyNumberFormat="1" applyFont="1" applyFill="1" applyBorder="1" applyAlignment="1">
      <alignment horizontal="justify" vertical="center" wrapText="1"/>
    </xf>
    <xf numFmtId="43" fontId="31" fillId="41" borderId="40" xfId="51" applyFont="1" applyFill="1" applyBorder="1" applyAlignment="1">
      <alignment horizontal="center" vertical="center" wrapText="1"/>
    </xf>
    <xf numFmtId="43" fontId="31" fillId="39" borderId="32" xfId="41" applyFont="1" applyFill="1" applyBorder="1" applyAlignment="1">
      <alignment vertical="center"/>
    </xf>
    <xf numFmtId="0" fontId="30" fillId="0" borderId="41" xfId="0" applyFont="1" applyBorder="1"/>
    <xf numFmtId="0" fontId="30" fillId="0" borderId="21" xfId="0" applyFont="1" applyBorder="1"/>
    <xf numFmtId="0" fontId="31" fillId="0" borderId="21" xfId="0" applyFont="1" applyBorder="1" applyAlignment="1">
      <alignment horizontal="center" vertical="center"/>
    </xf>
    <xf numFmtId="0" fontId="31" fillId="41" borderId="24" xfId="0" applyFont="1" applyFill="1" applyBorder="1" applyAlignment="1">
      <alignment horizontal="center" vertical="center" wrapText="1"/>
    </xf>
    <xf numFmtId="0" fontId="31" fillId="0" borderId="21" xfId="0" applyFont="1" applyBorder="1" applyAlignment="1">
      <alignment vertical="center"/>
    </xf>
    <xf numFmtId="0" fontId="30" fillId="0" borderId="21" xfId="0" applyFont="1" applyBorder="1" applyAlignment="1">
      <alignment horizontal="center" vertical="center"/>
    </xf>
    <xf numFmtId="0" fontId="34" fillId="0" borderId="21" xfId="0" applyFont="1" applyBorder="1" applyAlignment="1">
      <alignment horizontal="center" vertical="center" wrapText="1"/>
    </xf>
    <xf numFmtId="0" fontId="34" fillId="0" borderId="44" xfId="0" applyFont="1" applyBorder="1"/>
    <xf numFmtId="0" fontId="19" fillId="0" borderId="0" xfId="0" applyFont="1"/>
    <xf numFmtId="0" fontId="24" fillId="0" borderId="11" xfId="0" applyFont="1" applyBorder="1" applyAlignment="1">
      <alignment vertical="center"/>
    </xf>
    <xf numFmtId="0" fontId="19" fillId="33" borderId="0" xfId="0" applyFont="1" applyFill="1"/>
    <xf numFmtId="0" fontId="24" fillId="0" borderId="11" xfId="0" applyFont="1" applyBorder="1" applyAlignment="1">
      <alignment horizontal="left" vertical="center"/>
    </xf>
    <xf numFmtId="0" fontId="25" fillId="0" borderId="0" xfId="0" applyFont="1" applyAlignment="1">
      <alignment horizontal="center" vertical="center"/>
    </xf>
    <xf numFmtId="0" fontId="26" fillId="36" borderId="11" xfId="0" applyFont="1" applyFill="1" applyBorder="1" applyAlignment="1">
      <alignment horizontal="center" vertical="center"/>
    </xf>
    <xf numFmtId="43" fontId="21" fillId="36" borderId="11" xfId="0" applyNumberFormat="1" applyFont="1" applyFill="1" applyBorder="1" applyAlignment="1">
      <alignment horizontal="center" vertical="center"/>
    </xf>
    <xf numFmtId="0" fontId="24" fillId="0" borderId="0" xfId="0" applyFont="1" applyAlignment="1">
      <alignment vertical="center"/>
    </xf>
    <xf numFmtId="0" fontId="24" fillId="37" borderId="11" xfId="0" applyFont="1" applyFill="1" applyBorder="1" applyAlignment="1">
      <alignment horizontal="left" vertical="center"/>
    </xf>
    <xf numFmtId="0" fontId="24" fillId="37" borderId="11" xfId="0" applyFont="1" applyFill="1" applyBorder="1" applyAlignment="1">
      <alignment horizontal="center" vertical="center"/>
    </xf>
    <xf numFmtId="0" fontId="24" fillId="37" borderId="11" xfId="0" applyFont="1" applyFill="1" applyBorder="1" applyAlignment="1">
      <alignment horizontal="justify" vertical="center" wrapText="1"/>
    </xf>
    <xf numFmtId="0" fontId="24" fillId="37" borderId="11" xfId="0" applyFont="1" applyFill="1" applyBorder="1" applyAlignment="1">
      <alignment horizontal="center" vertical="center" wrapText="1"/>
    </xf>
    <xf numFmtId="0" fontId="19" fillId="37" borderId="11" xfId="0" applyFont="1" applyFill="1" applyBorder="1" applyAlignment="1">
      <alignment horizontal="center" vertical="center"/>
    </xf>
    <xf numFmtId="0" fontId="19" fillId="37" borderId="11" xfId="0" applyFont="1" applyFill="1" applyBorder="1" applyAlignment="1">
      <alignment vertical="center"/>
    </xf>
    <xf numFmtId="43" fontId="24" fillId="37" borderId="11" xfId="0" applyNumberFormat="1" applyFont="1" applyFill="1" applyBorder="1" applyAlignment="1">
      <alignment vertical="center"/>
    </xf>
    <xf numFmtId="0" fontId="24" fillId="38" borderId="11" xfId="0" applyFont="1" applyFill="1" applyBorder="1" applyAlignment="1">
      <alignment horizontal="justify" vertical="center" wrapText="1"/>
    </xf>
    <xf numFmtId="0" fontId="24" fillId="38" borderId="11" xfId="0" applyFont="1" applyFill="1" applyBorder="1" applyAlignment="1">
      <alignment horizontal="center" vertical="center" wrapText="1"/>
    </xf>
    <xf numFmtId="0" fontId="19" fillId="38" borderId="11" xfId="0" applyFont="1" applyFill="1" applyBorder="1" applyAlignment="1">
      <alignment horizontal="center" vertical="center"/>
    </xf>
    <xf numFmtId="0" fontId="19" fillId="38" borderId="11" xfId="0" applyFont="1" applyFill="1" applyBorder="1" applyAlignment="1">
      <alignment vertical="center"/>
    </xf>
    <xf numFmtId="0" fontId="24" fillId="38" borderId="11" xfId="0" applyFont="1" applyFill="1" applyBorder="1" applyAlignment="1">
      <alignment horizontal="center" vertical="center"/>
    </xf>
    <xf numFmtId="43" fontId="24" fillId="38" borderId="11" xfId="0" applyNumberFormat="1" applyFont="1" applyFill="1" applyBorder="1" applyAlignment="1">
      <alignment vertical="center"/>
    </xf>
    <xf numFmtId="43" fontId="19" fillId="0" borderId="11" xfId="0" applyNumberFormat="1" applyFont="1" applyBorder="1" applyAlignment="1">
      <alignment vertical="center"/>
    </xf>
    <xf numFmtId="43" fontId="21" fillId="36" borderId="11" xfId="51" applyFont="1" applyFill="1" applyBorder="1" applyAlignment="1">
      <alignment horizontal="center" vertical="center"/>
    </xf>
    <xf numFmtId="43" fontId="24" fillId="37" borderId="11" xfId="51" applyFont="1" applyFill="1" applyBorder="1" applyAlignment="1">
      <alignment horizontal="center" vertical="center"/>
    </xf>
    <xf numFmtId="43" fontId="24" fillId="0" borderId="11" xfId="0" applyNumberFormat="1" applyFont="1" applyBorder="1" applyAlignment="1">
      <alignment vertical="center"/>
    </xf>
    <xf numFmtId="0" fontId="20" fillId="0" borderId="0" xfId="0" applyFont="1"/>
    <xf numFmtId="0" fontId="19" fillId="0" borderId="0" xfId="0" applyFont="1" applyAlignment="1">
      <alignment horizontal="left" vertical="center" wrapText="1"/>
    </xf>
    <xf numFmtId="0" fontId="19" fillId="0" borderId="11" xfId="0" applyFont="1" applyBorder="1"/>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justify" vertical="center" wrapText="1"/>
    </xf>
    <xf numFmtId="0" fontId="19" fillId="0" borderId="0" xfId="0" applyFont="1" applyAlignment="1">
      <alignment horizontal="center" vertical="center" wrapText="1"/>
    </xf>
    <xf numFmtId="0" fontId="19" fillId="0" borderId="0" xfId="0" applyFont="1" applyAlignment="1">
      <alignment horizontal="center" wrapText="1"/>
    </xf>
    <xf numFmtId="43" fontId="21" fillId="36" borderId="11" xfId="0" applyNumberFormat="1" applyFont="1" applyFill="1" applyBorder="1" applyAlignment="1">
      <alignment horizontal="left" vertical="center"/>
    </xf>
    <xf numFmtId="0" fontId="20" fillId="0" borderId="11" xfId="0" applyFont="1" applyBorder="1" applyAlignment="1" applyProtection="1">
      <alignment horizontal="justify" vertical="center" wrapText="1"/>
      <protection locked="0"/>
    </xf>
    <xf numFmtId="0" fontId="20" fillId="0" borderId="11" xfId="0" applyFont="1" applyBorder="1" applyAlignment="1" applyProtection="1">
      <alignment horizontal="center" vertical="center" wrapText="1"/>
      <protection locked="0"/>
    </xf>
    <xf numFmtId="43" fontId="24" fillId="0" borderId="11" xfId="0" applyNumberFormat="1" applyFont="1" applyBorder="1" applyAlignment="1">
      <alignment horizontal="left" vertical="center"/>
    </xf>
    <xf numFmtId="43" fontId="19" fillId="0" borderId="11" xfId="0" applyNumberFormat="1" applyFont="1" applyBorder="1" applyAlignment="1">
      <alignment horizontal="left" vertical="center"/>
    </xf>
    <xf numFmtId="0" fontId="27" fillId="0" borderId="11" xfId="0" applyFont="1" applyBorder="1" applyAlignment="1">
      <alignment horizontal="justify" vertical="center" wrapText="1"/>
    </xf>
    <xf numFmtId="172" fontId="19" fillId="0" borderId="11" xfId="55" applyNumberFormat="1" applyFont="1" applyFill="1" applyBorder="1" applyAlignment="1">
      <alignment horizontal="right" vertical="center"/>
    </xf>
    <xf numFmtId="0" fontId="24" fillId="38" borderId="11" xfId="0" applyFont="1" applyFill="1" applyBorder="1" applyAlignment="1">
      <alignment horizontal="left" vertical="center" wrapText="1"/>
    </xf>
    <xf numFmtId="0" fontId="27" fillId="0" borderId="11" xfId="0" applyFont="1" applyBorder="1" applyAlignment="1">
      <alignment horizontal="center" vertical="center" wrapText="1"/>
    </xf>
    <xf numFmtId="167" fontId="19" fillId="0" borderId="11" xfId="0" applyNumberFormat="1" applyFont="1" applyBorder="1" applyAlignment="1">
      <alignment vertical="center"/>
    </xf>
    <xf numFmtId="0" fontId="19" fillId="0" borderId="11" xfId="49" applyNumberFormat="1" applyFont="1" applyFill="1" applyBorder="1">
      <alignment horizontal="center" vertical="center" wrapText="1"/>
    </xf>
    <xf numFmtId="172" fontId="19" fillId="0" borderId="11" xfId="55" applyNumberFormat="1" applyFont="1" applyFill="1" applyBorder="1" applyAlignment="1">
      <alignment horizontal="right" vertical="center" wrapText="1"/>
    </xf>
    <xf numFmtId="43" fontId="19" fillId="0" borderId="11" xfId="0" applyNumberFormat="1" applyFont="1" applyFill="1" applyBorder="1" applyAlignment="1">
      <alignment vertical="center"/>
    </xf>
    <xf numFmtId="0" fontId="19" fillId="0" borderId="0" xfId="0" applyFont="1" applyFill="1"/>
    <xf numFmtId="43" fontId="24" fillId="38" borderId="11" xfId="0" applyNumberFormat="1" applyFont="1" applyFill="1" applyBorder="1" applyAlignment="1">
      <alignment horizontal="justify" vertical="center" wrapText="1"/>
    </xf>
    <xf numFmtId="0" fontId="19" fillId="0" borderId="0" xfId="0" applyFont="1" applyAlignment="1">
      <alignment vertical="center"/>
    </xf>
    <xf numFmtId="0" fontId="21" fillId="36" borderId="11" xfId="0" applyFont="1" applyFill="1" applyBorder="1" applyAlignment="1">
      <alignment horizontal="left" vertical="center"/>
    </xf>
    <xf numFmtId="0" fontId="21" fillId="36" borderId="11" xfId="0" applyFont="1" applyFill="1" applyBorder="1" applyAlignment="1">
      <alignment horizontal="center" vertical="center"/>
    </xf>
    <xf numFmtId="0" fontId="21" fillId="36" borderId="11" xfId="0" applyFont="1" applyFill="1" applyBorder="1" applyAlignment="1">
      <alignment horizontal="justify" vertical="center" wrapText="1"/>
    </xf>
    <xf numFmtId="0" fontId="21" fillId="36" borderId="11" xfId="0" applyFont="1" applyFill="1" applyBorder="1" applyAlignment="1">
      <alignment horizontal="center" vertical="center" wrapText="1"/>
    </xf>
    <xf numFmtId="176" fontId="19" fillId="0" borderId="11" xfId="60" applyNumberFormat="1" applyFont="1" applyFill="1" applyBorder="1" applyAlignment="1">
      <alignment horizontal="center" vertical="center"/>
    </xf>
    <xf numFmtId="0" fontId="19" fillId="0" borderId="11" xfId="0" applyFont="1" applyBorder="1" applyAlignment="1">
      <alignment vertical="center" wrapText="1"/>
    </xf>
    <xf numFmtId="43" fontId="19" fillId="0" borderId="11" xfId="0" applyNumberFormat="1" applyFont="1" applyBorder="1" applyAlignment="1">
      <alignment horizontal="justify" vertical="center"/>
    </xf>
    <xf numFmtId="0" fontId="24" fillId="38" borderId="11" xfId="0" applyFont="1" applyFill="1" applyBorder="1" applyAlignment="1">
      <alignment vertical="center" wrapText="1"/>
    </xf>
    <xf numFmtId="0" fontId="19" fillId="38" borderId="11" xfId="0" applyFont="1" applyFill="1" applyBorder="1" applyAlignment="1">
      <alignment horizontal="center" vertical="center" wrapText="1"/>
    </xf>
    <xf numFmtId="0" fontId="19" fillId="38" borderId="11" xfId="0" applyFont="1" applyFill="1" applyBorder="1" applyAlignment="1">
      <alignment horizontal="justify" vertical="center" wrapText="1"/>
    </xf>
    <xf numFmtId="0" fontId="19" fillId="0" borderId="11" xfId="0" applyFont="1" applyFill="1" applyBorder="1"/>
    <xf numFmtId="4" fontId="19" fillId="0" borderId="11" xfId="0" applyNumberFormat="1" applyFont="1" applyBorder="1" applyAlignment="1">
      <alignment horizontal="right" vertical="center" wrapText="1"/>
    </xf>
    <xf numFmtId="0" fontId="24" fillId="38" borderId="11" xfId="0" applyFont="1" applyFill="1" applyBorder="1" applyAlignment="1">
      <alignment vertical="center"/>
    </xf>
    <xf numFmtId="43" fontId="24" fillId="33" borderId="11" xfId="0" applyNumberFormat="1" applyFont="1" applyFill="1" applyBorder="1" applyAlignment="1">
      <alignment vertical="center"/>
    </xf>
    <xf numFmtId="43" fontId="19" fillId="0" borderId="11" xfId="0" applyNumberFormat="1" applyFont="1" applyBorder="1" applyAlignment="1">
      <alignment horizontal="justify" vertical="center" wrapText="1"/>
    </xf>
    <xf numFmtId="43" fontId="20" fillId="0" borderId="11" xfId="0" applyNumberFormat="1" applyFont="1" applyBorder="1" applyAlignment="1">
      <alignment vertical="center"/>
    </xf>
    <xf numFmtId="0" fontId="19" fillId="0" borderId="11" xfId="0" applyFont="1" applyFill="1" applyBorder="1" applyAlignment="1">
      <alignment horizontal="center" vertical="center"/>
    </xf>
    <xf numFmtId="1" fontId="19" fillId="0" borderId="11" xfId="0" applyNumberFormat="1" applyFont="1" applyBorder="1" applyAlignment="1">
      <alignment horizontal="center" vertical="center" wrapText="1"/>
    </xf>
    <xf numFmtId="0" fontId="19" fillId="0" borderId="11" xfId="0" applyFont="1" applyFill="1" applyBorder="1" applyAlignment="1" applyProtection="1">
      <alignment horizontal="center" vertical="center" wrapText="1"/>
      <protection locked="0"/>
    </xf>
    <xf numFmtId="0" fontId="19" fillId="0" borderId="11" xfId="0" applyFont="1" applyFill="1" applyBorder="1" applyAlignment="1" applyProtection="1">
      <alignment horizontal="justify" vertical="center" wrapText="1"/>
      <protection locked="0"/>
    </xf>
    <xf numFmtId="0" fontId="20" fillId="0" borderId="0" xfId="0" applyFont="1" applyFill="1"/>
    <xf numFmtId="0" fontId="19" fillId="0" borderId="11" xfId="0" applyFont="1" applyBorder="1" applyAlignment="1" applyProtection="1">
      <alignment horizontal="center" vertical="center" wrapText="1"/>
      <protection locked="0"/>
    </xf>
    <xf numFmtId="0" fontId="19" fillId="0" borderId="11" xfId="0" applyFont="1" applyBorder="1" applyAlignment="1" applyProtection="1">
      <alignment horizontal="justify" vertical="center" wrapText="1"/>
      <protection locked="0"/>
    </xf>
    <xf numFmtId="4" fontId="19" fillId="0" borderId="11" xfId="0" applyNumberFormat="1" applyFont="1" applyBorder="1" applyAlignment="1">
      <alignment vertical="center" wrapText="1"/>
    </xf>
    <xf numFmtId="166" fontId="19" fillId="0" borderId="11" xfId="58" applyFont="1" applyFill="1" applyBorder="1" applyAlignment="1">
      <alignment horizontal="center" vertical="center"/>
    </xf>
    <xf numFmtId="0" fontId="24" fillId="39" borderId="11" xfId="0" applyFont="1" applyFill="1" applyBorder="1" applyAlignment="1">
      <alignment horizontal="center" vertical="center" wrapText="1"/>
    </xf>
    <xf numFmtId="0" fontId="24" fillId="39" borderId="11" xfId="0" applyFont="1" applyFill="1" applyBorder="1" applyAlignment="1">
      <alignment horizontal="justify" vertical="center" wrapText="1"/>
    </xf>
    <xf numFmtId="43" fontId="24" fillId="39" borderId="11" xfId="0" applyNumberFormat="1" applyFont="1" applyFill="1" applyBorder="1" applyAlignment="1">
      <alignment vertical="center"/>
    </xf>
    <xf numFmtId="0" fontId="24" fillId="0" borderId="0" xfId="0" applyFont="1"/>
    <xf numFmtId="43" fontId="24" fillId="37" borderId="11" xfId="0" applyNumberFormat="1" applyFont="1" applyFill="1" applyBorder="1" applyAlignment="1">
      <alignment vertical="center" wrapText="1"/>
    </xf>
    <xf numFmtId="43" fontId="24" fillId="38" borderId="11" xfId="0" applyNumberFormat="1" applyFont="1" applyFill="1" applyBorder="1" applyAlignment="1">
      <alignment horizontal="center" vertical="center" wrapText="1"/>
    </xf>
    <xf numFmtId="43" fontId="19" fillId="38" borderId="11" xfId="0" applyNumberFormat="1" applyFont="1" applyFill="1" applyBorder="1" applyAlignment="1">
      <alignment vertical="center" wrapText="1"/>
    </xf>
    <xf numFmtId="0" fontId="19" fillId="38" borderId="11" xfId="0" applyFont="1" applyFill="1" applyBorder="1" applyAlignment="1">
      <alignment vertical="center" wrapText="1"/>
    </xf>
    <xf numFmtId="43" fontId="24" fillId="38" borderId="11" xfId="0" applyNumberFormat="1" applyFont="1" applyFill="1" applyBorder="1" applyAlignment="1">
      <alignment vertical="center" wrapText="1"/>
    </xf>
    <xf numFmtId="0" fontId="19" fillId="0" borderId="11" xfId="0" applyFont="1" applyBorder="1" applyAlignment="1" applyProtection="1">
      <alignment horizontal="center" vertical="center"/>
      <protection locked="0"/>
    </xf>
    <xf numFmtId="0" fontId="24" fillId="37" borderId="11" xfId="0" applyFont="1" applyFill="1" applyBorder="1" applyAlignment="1">
      <alignment horizontal="left" vertical="center" wrapText="1"/>
    </xf>
    <xf numFmtId="165" fontId="31" fillId="0" borderId="0" xfId="55" applyFont="1" applyAlignment="1">
      <alignment vertical="center"/>
    </xf>
    <xf numFmtId="165" fontId="34" fillId="0" borderId="0" xfId="55" applyFont="1"/>
    <xf numFmtId="167" fontId="30" fillId="0" borderId="0" xfId="0" applyNumberFormat="1" applyFont="1"/>
    <xf numFmtId="0" fontId="32" fillId="0" borderId="21" xfId="0" applyFont="1" applyBorder="1" applyAlignment="1">
      <alignment horizontal="justify" vertical="center" wrapText="1"/>
    </xf>
    <xf numFmtId="0" fontId="32" fillId="0" borderId="0" xfId="0" applyFont="1" applyBorder="1" applyAlignment="1">
      <alignment horizontal="center" vertical="center" wrapText="1"/>
    </xf>
    <xf numFmtId="0" fontId="32" fillId="0" borderId="20" xfId="0" applyFont="1" applyBorder="1" applyAlignment="1">
      <alignment horizontal="center" vertical="center" wrapText="1"/>
    </xf>
    <xf numFmtId="0" fontId="30" fillId="0" borderId="23" xfId="0" applyFont="1" applyFill="1" applyBorder="1" applyAlignment="1">
      <alignment horizontal="center" vertical="center" wrapText="1"/>
    </xf>
    <xf numFmtId="0" fontId="31" fillId="41" borderId="23" xfId="0" applyFont="1" applyFill="1" applyBorder="1" applyAlignment="1">
      <alignment horizontal="left" vertical="center"/>
    </xf>
    <xf numFmtId="43" fontId="33" fillId="0" borderId="26" xfId="0" applyNumberFormat="1" applyFont="1" applyBorder="1" applyAlignment="1">
      <alignment vertical="center"/>
    </xf>
    <xf numFmtId="43" fontId="32" fillId="0" borderId="26" xfId="0" applyNumberFormat="1" applyFont="1" applyBorder="1" applyAlignment="1">
      <alignment vertical="center"/>
    </xf>
    <xf numFmtId="43" fontId="32" fillId="0" borderId="33" xfId="0" applyNumberFormat="1" applyFont="1" applyFill="1" applyBorder="1" applyAlignment="1">
      <alignment horizontal="left" vertical="center" wrapText="1"/>
    </xf>
    <xf numFmtId="43" fontId="32" fillId="0" borderId="26" xfId="0" applyNumberFormat="1" applyFont="1" applyFill="1" applyBorder="1" applyAlignment="1">
      <alignment horizontal="left" vertical="center" wrapText="1"/>
    </xf>
    <xf numFmtId="43" fontId="32" fillId="0" borderId="39" xfId="0" applyNumberFormat="1" applyFont="1" applyFill="1" applyBorder="1" applyAlignment="1">
      <alignment horizontal="left" vertical="center" wrapText="1"/>
    </xf>
    <xf numFmtId="171" fontId="32" fillId="0" borderId="17" xfId="0" applyNumberFormat="1" applyFont="1" applyBorder="1" applyAlignment="1">
      <alignment horizontal="justify" vertical="center" wrapText="1"/>
    </xf>
    <xf numFmtId="43" fontId="30" fillId="0" borderId="45" xfId="0" applyNumberFormat="1" applyFont="1" applyBorder="1" applyAlignment="1">
      <alignment vertical="center"/>
    </xf>
    <xf numFmtId="3" fontId="32" fillId="0" borderId="19" xfId="0" applyNumberFormat="1" applyFont="1" applyBorder="1" applyAlignment="1">
      <alignment horizontal="justify" vertical="center" wrapText="1"/>
    </xf>
    <xf numFmtId="0" fontId="31" fillId="41" borderId="30" xfId="0" applyFont="1" applyFill="1" applyBorder="1" applyAlignment="1">
      <alignment horizontal="center" vertical="center" wrapText="1"/>
    </xf>
    <xf numFmtId="0" fontId="31" fillId="41" borderId="31" xfId="0" applyFont="1" applyFill="1" applyBorder="1" applyAlignment="1">
      <alignment horizontal="justify" vertical="center" wrapText="1"/>
    </xf>
    <xf numFmtId="43" fontId="31" fillId="41" borderId="32" xfId="41" applyFont="1" applyFill="1" applyBorder="1" applyAlignment="1">
      <alignment horizontal="justify" vertical="center"/>
    </xf>
    <xf numFmtId="43" fontId="31" fillId="40" borderId="34" xfId="0" applyNumberFormat="1" applyFont="1" applyFill="1" applyBorder="1" applyAlignment="1">
      <alignment horizontal="left" vertical="center" wrapText="1"/>
    </xf>
    <xf numFmtId="0" fontId="31" fillId="39" borderId="32" xfId="0" applyFont="1" applyFill="1" applyBorder="1" applyAlignment="1">
      <alignment horizontal="center" vertical="center" wrapText="1"/>
    </xf>
    <xf numFmtId="43" fontId="19" fillId="0" borderId="11" xfId="0" applyNumberFormat="1" applyFont="1" applyFill="1" applyBorder="1" applyAlignment="1">
      <alignment horizontal="right" vertical="center" wrapText="1"/>
    </xf>
    <xf numFmtId="43" fontId="19" fillId="33" borderId="11" xfId="0" applyNumberFormat="1" applyFont="1" applyFill="1" applyBorder="1" applyAlignment="1">
      <alignment vertical="center"/>
    </xf>
    <xf numFmtId="176" fontId="19" fillId="33" borderId="11" xfId="60" applyNumberFormat="1" applyFont="1" applyFill="1" applyBorder="1" applyAlignment="1">
      <alignment horizontal="center" vertical="center"/>
    </xf>
    <xf numFmtId="0" fontId="19" fillId="0" borderId="11" xfId="59" applyFont="1" applyBorder="1" applyAlignment="1">
      <alignment horizontal="center" vertical="center" wrapText="1"/>
    </xf>
    <xf numFmtId="0" fontId="20" fillId="0" borderId="11" xfId="59" applyFont="1" applyBorder="1" applyAlignment="1">
      <alignment horizontal="justify" vertical="center"/>
    </xf>
    <xf numFmtId="0" fontId="19" fillId="0" borderId="11" xfId="59" applyFont="1" applyBorder="1" applyAlignment="1">
      <alignment horizontal="center" vertical="center"/>
    </xf>
    <xf numFmtId="0" fontId="19" fillId="0" borderId="11" xfId="43" applyFont="1" applyFill="1" applyBorder="1">
      <alignment horizontal="center" vertical="center" wrapText="1"/>
    </xf>
    <xf numFmtId="0" fontId="19" fillId="0" borderId="11" xfId="43" applyFont="1" applyFill="1" applyBorder="1" applyAlignment="1">
      <alignment horizontal="justify" vertical="center" wrapText="1"/>
    </xf>
    <xf numFmtId="0" fontId="19" fillId="0" borderId="11" xfId="59" applyFont="1" applyBorder="1" applyAlignment="1">
      <alignment horizontal="justify" vertical="center" wrapText="1"/>
    </xf>
    <xf numFmtId="0" fontId="20" fillId="0" borderId="11" xfId="59" applyFont="1" applyBorder="1" applyAlignment="1">
      <alignment horizontal="center" vertical="center" wrapText="1"/>
    </xf>
    <xf numFmtId="0" fontId="20" fillId="0" borderId="11" xfId="59" applyFont="1" applyBorder="1" applyAlignment="1">
      <alignment horizontal="justify" vertical="center" wrapText="1"/>
    </xf>
    <xf numFmtId="0" fontId="19" fillId="0" borderId="11" xfId="59" applyFont="1" applyFill="1" applyBorder="1" applyAlignment="1">
      <alignment horizontal="justify" vertical="center" wrapText="1"/>
    </xf>
    <xf numFmtId="0" fontId="20" fillId="0" borderId="11" xfId="59" applyFont="1" applyBorder="1" applyAlignment="1">
      <alignment horizontal="center" vertical="center"/>
    </xf>
    <xf numFmtId="0" fontId="20" fillId="0" borderId="11" xfId="59" applyFont="1" applyFill="1" applyBorder="1" applyAlignment="1">
      <alignment horizontal="center" vertical="center"/>
    </xf>
    <xf numFmtId="0" fontId="19" fillId="0" borderId="11" xfId="42" applyNumberFormat="1" applyFont="1" applyFill="1" applyBorder="1" applyAlignment="1">
      <alignment horizontal="center" vertical="center" wrapText="1"/>
    </xf>
    <xf numFmtId="49" fontId="20" fillId="0" borderId="11" xfId="59" applyNumberFormat="1" applyFont="1" applyBorder="1" applyAlignment="1">
      <alignment horizontal="justify" vertical="center" wrapText="1"/>
    </xf>
    <xf numFmtId="0" fontId="20" fillId="0" borderId="11" xfId="55" applyNumberFormat="1" applyFont="1" applyFill="1" applyBorder="1" applyAlignment="1">
      <alignment horizontal="center" vertical="center"/>
    </xf>
    <xf numFmtId="2" fontId="19" fillId="0" borderId="11" xfId="43" applyNumberFormat="1" applyFont="1" applyFill="1" applyBorder="1">
      <alignment horizontal="center" vertical="center" wrapText="1"/>
    </xf>
    <xf numFmtId="175" fontId="19" fillId="0" borderId="11" xfId="43" applyNumberFormat="1" applyFont="1" applyFill="1" applyBorder="1">
      <alignment horizontal="center" vertical="center" wrapText="1"/>
    </xf>
    <xf numFmtId="0" fontId="20" fillId="0" borderId="11" xfId="59" applyFont="1" applyFill="1" applyBorder="1" applyAlignment="1">
      <alignment horizontal="justify" vertical="center" wrapText="1"/>
    </xf>
    <xf numFmtId="0" fontId="35" fillId="0" borderId="11" xfId="59" applyFont="1" applyBorder="1" applyAlignment="1">
      <alignment horizontal="center" vertical="center" wrapText="1"/>
    </xf>
    <xf numFmtId="4" fontId="19" fillId="0" borderId="11" xfId="42" applyNumberFormat="1" applyFont="1" applyFill="1" applyBorder="1" applyAlignment="1">
      <alignment horizontal="center" vertical="center"/>
    </xf>
    <xf numFmtId="0" fontId="24" fillId="0" borderId="11" xfId="0" applyFont="1" applyBorder="1" applyAlignment="1">
      <alignment horizontal="right"/>
    </xf>
    <xf numFmtId="173" fontId="24" fillId="0" borderId="11" xfId="0" applyNumberFormat="1" applyFont="1" applyBorder="1" applyAlignment="1">
      <alignment horizontal="right"/>
    </xf>
    <xf numFmtId="17" fontId="24" fillId="0" borderId="11" xfId="0" applyNumberFormat="1" applyFont="1" applyBorder="1" applyAlignment="1">
      <alignment horizontal="right"/>
    </xf>
    <xf numFmtId="3" fontId="24" fillId="34" borderId="11" xfId="0" applyNumberFormat="1" applyFont="1" applyFill="1" applyBorder="1" applyAlignment="1">
      <alignment horizontal="right" wrapText="1"/>
    </xf>
    <xf numFmtId="0" fontId="20" fillId="33" borderId="11" xfId="0" applyFont="1" applyFill="1" applyBorder="1" applyAlignment="1" applyProtection="1">
      <alignment horizontal="center" vertical="center" wrapText="1"/>
      <protection locked="0"/>
    </xf>
    <xf numFmtId="0" fontId="19" fillId="33" borderId="11" xfId="59" applyFont="1" applyFill="1" applyBorder="1" applyAlignment="1">
      <alignment horizontal="center" vertical="center"/>
    </xf>
    <xf numFmtId="0" fontId="19" fillId="33" borderId="11" xfId="49" applyNumberFormat="1" applyFont="1" applyFill="1" applyBorder="1">
      <alignment horizontal="center" vertical="center" wrapText="1"/>
    </xf>
    <xf numFmtId="0" fontId="20" fillId="33" borderId="11" xfId="59" applyFont="1" applyFill="1" applyBorder="1" applyAlignment="1">
      <alignment horizontal="center" vertical="center"/>
    </xf>
    <xf numFmtId="0" fontId="20" fillId="33" borderId="11" xfId="0" applyFont="1" applyFill="1" applyBorder="1" applyAlignment="1">
      <alignment horizontal="center" vertical="center"/>
    </xf>
    <xf numFmtId="0" fontId="20" fillId="33" borderId="11" xfId="0" applyFont="1" applyFill="1" applyBorder="1" applyAlignment="1">
      <alignment horizontal="center" vertical="center" wrapText="1"/>
    </xf>
    <xf numFmtId="3" fontId="19" fillId="33" borderId="11" xfId="0" applyNumberFormat="1" applyFont="1" applyFill="1" applyBorder="1" applyAlignment="1">
      <alignment horizontal="center" vertical="center" wrapText="1"/>
    </xf>
    <xf numFmtId="0" fontId="29" fillId="33" borderId="11" xfId="0" applyFont="1" applyFill="1" applyBorder="1" applyAlignment="1">
      <alignment horizontal="center" vertical="center" wrapText="1"/>
    </xf>
    <xf numFmtId="0" fontId="29" fillId="33" borderId="11" xfId="0" applyFont="1" applyFill="1" applyBorder="1" applyAlignment="1">
      <alignment horizontal="justify" vertical="center" wrapText="1"/>
    </xf>
    <xf numFmtId="0" fontId="19" fillId="33" borderId="11" xfId="0" applyFont="1" applyFill="1" applyBorder="1" applyAlignment="1">
      <alignment horizontal="center" vertical="center"/>
    </xf>
    <xf numFmtId="0" fontId="19" fillId="33" borderId="11" xfId="43" applyFont="1" applyFill="1" applyBorder="1">
      <alignment horizontal="center" vertical="center" wrapText="1"/>
    </xf>
    <xf numFmtId="0" fontId="19" fillId="33" borderId="11" xfId="59" applyFont="1" applyFill="1" applyBorder="1" applyAlignment="1">
      <alignment horizontal="justify" vertical="center" wrapText="1"/>
    </xf>
    <xf numFmtId="167" fontId="24" fillId="38" borderId="11" xfId="0" applyNumberFormat="1" applyFont="1" applyFill="1" applyBorder="1" applyAlignment="1">
      <alignment vertical="center"/>
    </xf>
    <xf numFmtId="43" fontId="19" fillId="33" borderId="11" xfId="41" applyFont="1" applyFill="1" applyBorder="1" applyAlignment="1">
      <alignment horizontal="justify" vertical="center"/>
    </xf>
    <xf numFmtId="2" fontId="19" fillId="33" borderId="11" xfId="43" applyNumberFormat="1" applyFont="1" applyFill="1" applyBorder="1">
      <alignment horizontal="center" vertical="center" wrapText="1"/>
    </xf>
    <xf numFmtId="0" fontId="24" fillId="0" borderId="11" xfId="0" applyFont="1" applyFill="1" applyBorder="1" applyAlignment="1">
      <alignment horizontal="center" vertical="center" wrapText="1"/>
    </xf>
    <xf numFmtId="3"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43" fontId="19" fillId="33" borderId="11" xfId="51" applyFont="1" applyFill="1" applyBorder="1" applyAlignment="1">
      <alignment horizontal="right" vertical="center" wrapText="1"/>
    </xf>
    <xf numFmtId="167" fontId="29" fillId="33" borderId="11" xfId="0" applyNumberFormat="1" applyFont="1" applyFill="1" applyBorder="1" applyAlignment="1">
      <alignment horizontal="center" vertical="center"/>
    </xf>
    <xf numFmtId="0" fontId="19" fillId="33" borderId="11" xfId="0" applyFont="1" applyFill="1" applyBorder="1" applyAlignment="1" applyProtection="1">
      <alignment horizontal="center" vertical="center" wrapText="1"/>
      <protection locked="0"/>
    </xf>
    <xf numFmtId="0" fontId="19" fillId="33" borderId="11" xfId="0" applyFont="1" applyFill="1" applyBorder="1" applyAlignment="1" applyProtection="1">
      <alignment horizontal="justify" vertical="center" wrapText="1"/>
      <protection locked="0"/>
    </xf>
    <xf numFmtId="0" fontId="19" fillId="0" borderId="11" xfId="0" applyFont="1" applyBorder="1" applyAlignment="1">
      <alignment horizontal="left" vertical="center" wrapText="1"/>
    </xf>
    <xf numFmtId="171" fontId="20" fillId="0" borderId="11" xfId="41" applyNumberFormat="1" applyFont="1" applyFill="1" applyBorder="1" applyAlignment="1">
      <alignment horizontal="center" vertical="center" wrapText="1"/>
    </xf>
    <xf numFmtId="0" fontId="20" fillId="0" borderId="11" xfId="41" applyNumberFormat="1" applyFont="1" applyFill="1" applyBorder="1" applyAlignment="1">
      <alignment horizontal="center" vertical="center" wrapText="1"/>
    </xf>
    <xf numFmtId="43" fontId="20" fillId="0" borderId="11" xfId="41" applyFont="1" applyFill="1" applyBorder="1" applyAlignment="1">
      <alignment horizontal="justify" vertical="center"/>
    </xf>
    <xf numFmtId="43" fontId="20" fillId="0" borderId="11" xfId="51" applyFont="1" applyFill="1" applyBorder="1" applyAlignment="1">
      <alignment horizontal="right" vertical="center" wrapText="1"/>
    </xf>
    <xf numFmtId="2" fontId="19" fillId="0" borderId="11" xfId="59" applyNumberFormat="1" applyFont="1" applyBorder="1" applyAlignment="1">
      <alignment horizontal="center" vertical="center"/>
    </xf>
    <xf numFmtId="0" fontId="19" fillId="0" borderId="11" xfId="0" applyFont="1" applyBorder="1" applyAlignment="1">
      <alignment horizontal="left" vertical="center"/>
    </xf>
    <xf numFmtId="170" fontId="19" fillId="0" borderId="11" xfId="49" applyFont="1" applyFill="1" applyBorder="1">
      <alignment horizontal="center" vertical="center" wrapText="1"/>
    </xf>
    <xf numFmtId="43" fontId="24" fillId="38" borderId="11" xfId="0" applyNumberFormat="1" applyFont="1" applyFill="1" applyBorder="1" applyAlignment="1">
      <alignment horizontal="left" vertical="center"/>
    </xf>
    <xf numFmtId="43" fontId="19" fillId="0" borderId="11" xfId="41" applyFont="1" applyFill="1" applyBorder="1" applyAlignment="1">
      <alignment vertical="center"/>
    </xf>
    <xf numFmtId="0" fontId="24" fillId="33" borderId="11" xfId="0" applyFont="1" applyFill="1" applyBorder="1" applyAlignment="1">
      <alignment horizontal="center" vertical="center" wrapText="1"/>
    </xf>
    <xf numFmtId="43" fontId="19" fillId="0" borderId="11" xfId="51" applyFont="1" applyFill="1" applyBorder="1" applyAlignment="1">
      <alignment horizontal="right" vertical="center"/>
    </xf>
    <xf numFmtId="0" fontId="24" fillId="37" borderId="11" xfId="0" applyFont="1" applyFill="1" applyBorder="1" applyAlignment="1">
      <alignment vertical="center"/>
    </xf>
    <xf numFmtId="0" fontId="19" fillId="33" borderId="11" xfId="0" applyFont="1" applyFill="1" applyBorder="1" applyAlignment="1">
      <alignment horizontal="center" vertical="center" wrapText="1"/>
    </xf>
    <xf numFmtId="0" fontId="24" fillId="33" borderId="11" xfId="0" applyFont="1" applyFill="1" applyBorder="1" applyAlignment="1">
      <alignment horizontal="left" vertical="center" wrapText="1"/>
    </xf>
    <xf numFmtId="0" fontId="19" fillId="0" borderId="11" xfId="0" applyFont="1" applyFill="1" applyBorder="1" applyAlignment="1">
      <alignment horizontal="left" vertical="center"/>
    </xf>
    <xf numFmtId="0" fontId="24" fillId="0" borderId="11" xfId="0" applyFont="1" applyBorder="1" applyAlignment="1">
      <alignment horizontal="center" vertical="center"/>
    </xf>
    <xf numFmtId="0" fontId="24" fillId="38" borderId="11" xfId="59" applyFont="1" applyFill="1" applyBorder="1" applyAlignment="1">
      <alignment horizontal="left" vertical="center"/>
    </xf>
    <xf numFmtId="0" fontId="19" fillId="38" borderId="11" xfId="0" applyFont="1" applyFill="1" applyBorder="1" applyAlignment="1">
      <alignment horizontal="right" vertical="center"/>
    </xf>
    <xf numFmtId="43" fontId="19" fillId="38" borderId="11" xfId="51" applyFont="1" applyFill="1" applyBorder="1" applyAlignment="1">
      <alignment horizontal="center" vertical="center"/>
    </xf>
    <xf numFmtId="0" fontId="19" fillId="38" borderId="11" xfId="51" applyNumberFormat="1" applyFont="1" applyFill="1" applyBorder="1" applyAlignment="1">
      <alignment horizontal="center" vertical="center"/>
    </xf>
    <xf numFmtId="0" fontId="19" fillId="38" borderId="11" xfId="0" applyFont="1" applyFill="1" applyBorder="1" applyAlignment="1">
      <alignment horizontal="justify" vertical="center"/>
    </xf>
    <xf numFmtId="167" fontId="24" fillId="37" borderId="11" xfId="0" applyNumberFormat="1" applyFont="1" applyFill="1" applyBorder="1" applyAlignment="1">
      <alignment vertical="center"/>
    </xf>
    <xf numFmtId="0" fontId="19" fillId="0" borderId="11" xfId="0" applyFont="1" applyFill="1" applyBorder="1" applyAlignment="1">
      <alignment vertical="center" wrapText="1"/>
    </xf>
    <xf numFmtId="0" fontId="24" fillId="39" borderId="11" xfId="0" applyFont="1" applyFill="1" applyBorder="1" applyAlignment="1">
      <alignment vertical="center"/>
    </xf>
    <xf numFmtId="0" fontId="24" fillId="39" borderId="11" xfId="0" applyFont="1" applyFill="1" applyBorder="1" applyAlignment="1">
      <alignment vertical="center" wrapText="1"/>
    </xf>
    <xf numFmtId="0" fontId="19" fillId="37" borderId="11" xfId="0" applyFont="1" applyFill="1" applyBorder="1" applyAlignment="1">
      <alignment horizontal="center" vertical="center" wrapText="1"/>
    </xf>
    <xf numFmtId="0" fontId="19" fillId="37" borderId="11" xfId="0" applyFont="1" applyFill="1" applyBorder="1" applyAlignment="1">
      <alignment vertical="center" wrapText="1"/>
    </xf>
    <xf numFmtId="43" fontId="20" fillId="0" borderId="11" xfId="51" applyFont="1" applyFill="1" applyBorder="1" applyAlignment="1">
      <alignment horizontal="center" vertical="center" wrapText="1"/>
    </xf>
    <xf numFmtId="43" fontId="19" fillId="0" borderId="11" xfId="51" applyFont="1" applyBorder="1" applyAlignment="1">
      <alignment horizontal="center" vertical="center"/>
    </xf>
    <xf numFmtId="0" fontId="20" fillId="0" borderId="11" xfId="44" applyFont="1" applyFill="1" applyBorder="1" applyAlignment="1">
      <alignment horizontal="justify" vertical="center" wrapText="1"/>
    </xf>
    <xf numFmtId="2" fontId="20" fillId="0" borderId="11" xfId="0" applyNumberFormat="1" applyFont="1" applyBorder="1" applyAlignment="1">
      <alignment horizontal="center" vertical="center" wrapText="1"/>
    </xf>
    <xf numFmtId="0" fontId="27" fillId="33" borderId="11" xfId="0" applyFont="1" applyFill="1" applyBorder="1" applyAlignment="1">
      <alignment horizontal="center" vertical="center" wrapText="1"/>
    </xf>
    <xf numFmtId="170" fontId="19" fillId="33" borderId="11" xfId="49" applyFont="1" applyFill="1" applyBorder="1">
      <alignment horizontal="center" vertical="center" wrapText="1"/>
    </xf>
    <xf numFmtId="0" fontId="24" fillId="38" borderId="11" xfId="0" applyFont="1" applyFill="1" applyBorder="1" applyAlignment="1">
      <alignment horizontal="justify" vertical="center"/>
    </xf>
    <xf numFmtId="0" fontId="21" fillId="36" borderId="11" xfId="0" applyFont="1" applyFill="1" applyBorder="1" applyAlignment="1">
      <alignment horizontal="justify" vertical="center"/>
    </xf>
    <xf numFmtId="0" fontId="24" fillId="37" borderId="11" xfId="0" applyFont="1" applyFill="1" applyBorder="1" applyAlignment="1">
      <alignment horizontal="justify" vertical="center"/>
    </xf>
    <xf numFmtId="9" fontId="19" fillId="0" borderId="11" xfId="0" applyNumberFormat="1" applyFont="1" applyBorder="1" applyAlignment="1">
      <alignment horizontal="justify" vertical="center" wrapText="1"/>
    </xf>
    <xf numFmtId="2" fontId="19" fillId="0" borderId="11" xfId="61" applyNumberFormat="1" applyFont="1" applyBorder="1" applyAlignment="1" applyProtection="1">
      <alignment horizontal="justify" vertical="center" wrapText="1"/>
      <protection locked="0"/>
    </xf>
    <xf numFmtId="177" fontId="19" fillId="33" borderId="0" xfId="0" applyNumberFormat="1" applyFont="1" applyFill="1"/>
    <xf numFmtId="0" fontId="24" fillId="0" borderId="17" xfId="0" applyFont="1" applyBorder="1" applyAlignment="1">
      <alignment vertical="center"/>
    </xf>
    <xf numFmtId="0" fontId="19" fillId="0" borderId="20" xfId="0" applyFont="1" applyBorder="1"/>
    <xf numFmtId="0" fontId="19" fillId="0" borderId="19" xfId="0" applyFont="1" applyBorder="1"/>
    <xf numFmtId="0" fontId="19" fillId="0" borderId="17" xfId="0" applyFont="1" applyBorder="1"/>
    <xf numFmtId="0" fontId="20" fillId="0" borderId="20" xfId="0" applyFont="1" applyBorder="1"/>
    <xf numFmtId="0" fontId="20" fillId="0" borderId="20" xfId="0" applyFont="1" applyBorder="1" applyAlignment="1">
      <alignment horizontal="left" vertical="center" wrapText="1"/>
    </xf>
    <xf numFmtId="0" fontId="19" fillId="0" borderId="19" xfId="0" applyFont="1" applyBorder="1" applyAlignment="1">
      <alignment horizontal="left" vertical="center"/>
    </xf>
    <xf numFmtId="0" fontId="19" fillId="0" borderId="20" xfId="0" applyFont="1" applyFill="1" applyBorder="1"/>
    <xf numFmtId="0" fontId="19" fillId="0" borderId="19" xfId="0" applyFont="1" applyBorder="1" applyAlignment="1">
      <alignment horizontal="left" vertical="center" wrapText="1"/>
    </xf>
    <xf numFmtId="0" fontId="19" fillId="0" borderId="17" xfId="0" applyFont="1" applyBorder="1" applyAlignment="1">
      <alignment horizontal="left" vertical="center" wrapText="1"/>
    </xf>
    <xf numFmtId="0" fontId="19" fillId="0" borderId="20" xfId="0" applyFont="1" applyBorder="1" applyAlignment="1">
      <alignment horizontal="left" vertical="center" wrapText="1"/>
    </xf>
    <xf numFmtId="0" fontId="19" fillId="0" borderId="20" xfId="0" applyFont="1" applyBorder="1" applyAlignment="1">
      <alignment vertical="center"/>
    </xf>
    <xf numFmtId="0" fontId="19" fillId="33" borderId="20" xfId="0" applyFont="1" applyFill="1" applyBorder="1"/>
    <xf numFmtId="0" fontId="24" fillId="0" borderId="20" xfId="0" applyFont="1" applyBorder="1" applyAlignment="1">
      <alignment vertical="center"/>
    </xf>
    <xf numFmtId="0" fontId="24" fillId="33" borderId="20" xfId="0" applyFont="1" applyFill="1" applyBorder="1" applyAlignment="1">
      <alignment horizontal="left" vertical="center" wrapText="1"/>
    </xf>
    <xf numFmtId="0" fontId="19" fillId="0" borderId="20" xfId="0" applyFont="1" applyBorder="1" applyAlignment="1">
      <alignment horizontal="left" vertical="center"/>
    </xf>
    <xf numFmtId="0" fontId="19" fillId="0" borderId="20" xfId="0" applyFont="1" applyFill="1" applyBorder="1" applyAlignment="1">
      <alignment horizontal="left" vertical="center"/>
    </xf>
    <xf numFmtId="0" fontId="19" fillId="33" borderId="19" xfId="0" applyFont="1" applyFill="1" applyBorder="1"/>
    <xf numFmtId="0" fontId="24" fillId="33" borderId="19" xfId="0" applyFont="1" applyFill="1" applyBorder="1" applyAlignment="1">
      <alignment horizontal="left" vertical="center" wrapText="1"/>
    </xf>
    <xf numFmtId="0" fontId="20" fillId="0" borderId="17" xfId="0" applyFont="1" applyBorder="1"/>
    <xf numFmtId="0" fontId="20" fillId="0" borderId="20" xfId="0" applyFont="1" applyFill="1" applyBorder="1"/>
    <xf numFmtId="0" fontId="20" fillId="0" borderId="19" xfId="0" applyFont="1" applyBorder="1"/>
    <xf numFmtId="0" fontId="19" fillId="0" borderId="19" xfId="0" applyFont="1" applyFill="1" applyBorder="1"/>
    <xf numFmtId="0" fontId="24" fillId="0" borderId="11" xfId="0" applyFont="1" applyFill="1" applyBorder="1" applyAlignment="1">
      <alignment horizontal="center" vertical="center"/>
    </xf>
    <xf numFmtId="0" fontId="24" fillId="0" borderId="11" xfId="0" applyFont="1" applyFill="1" applyBorder="1" applyAlignment="1">
      <alignment horizontal="center"/>
    </xf>
    <xf numFmtId="0" fontId="24" fillId="0" borderId="11" xfId="0" applyFont="1" applyFill="1" applyBorder="1" applyAlignment="1">
      <alignment horizontal="justify" vertical="center" wrapText="1"/>
    </xf>
    <xf numFmtId="0" fontId="24" fillId="0" borderId="11" xfId="0" applyFont="1" applyFill="1" applyBorder="1" applyAlignment="1">
      <alignment horizontal="center" wrapText="1"/>
    </xf>
    <xf numFmtId="0" fontId="24" fillId="0" borderId="0" xfId="0" applyFont="1" applyFill="1"/>
    <xf numFmtId="167" fontId="24" fillId="39" borderId="11" xfId="0" applyNumberFormat="1" applyFont="1" applyFill="1" applyBorder="1"/>
    <xf numFmtId="43" fontId="19" fillId="33" borderId="0" xfId="0" applyNumberFormat="1" applyFont="1" applyFill="1"/>
    <xf numFmtId="43" fontId="24" fillId="0" borderId="0" xfId="0" applyNumberFormat="1" applyFont="1" applyAlignment="1">
      <alignment vertical="center"/>
    </xf>
    <xf numFmtId="43" fontId="30" fillId="33" borderId="0" xfId="0" applyNumberFormat="1" applyFont="1" applyFill="1" applyAlignment="1">
      <alignment vertical="center"/>
    </xf>
    <xf numFmtId="43" fontId="24" fillId="0" borderId="11" xfId="41" applyFont="1" applyFill="1" applyBorder="1" applyAlignment="1">
      <alignment horizontal="justify" vertical="center"/>
    </xf>
    <xf numFmtId="4" fontId="19" fillId="0" borderId="11" xfId="0" applyNumberFormat="1" applyFont="1" applyFill="1" applyBorder="1" applyAlignment="1">
      <alignment horizontal="center" vertical="center"/>
    </xf>
    <xf numFmtId="43" fontId="19" fillId="0" borderId="19" xfId="41" applyFont="1" applyFill="1" applyBorder="1" applyAlignment="1">
      <alignment horizontal="justify" vertical="center"/>
    </xf>
    <xf numFmtId="43" fontId="19" fillId="0" borderId="48" xfId="51" applyFont="1" applyFill="1" applyBorder="1" applyAlignment="1">
      <alignment vertical="center"/>
    </xf>
    <xf numFmtId="0" fontId="20" fillId="0" borderId="11" xfId="0" applyFont="1" applyBorder="1" applyAlignment="1">
      <alignment horizontal="center" vertical="center" wrapText="1"/>
    </xf>
    <xf numFmtId="167" fontId="0" fillId="0" borderId="0" xfId="0" applyNumberFormat="1"/>
    <xf numFmtId="0" fontId="20" fillId="0" borderId="11" xfId="0" applyFont="1" applyBorder="1"/>
    <xf numFmtId="0" fontId="15" fillId="35" borderId="11" xfId="0" applyFont="1" applyFill="1" applyBorder="1"/>
    <xf numFmtId="0" fontId="36" fillId="35" borderId="11" xfId="0" applyFont="1" applyFill="1" applyBorder="1"/>
    <xf numFmtId="9" fontId="15" fillId="35" borderId="11" xfId="0" applyNumberFormat="1" applyFont="1" applyFill="1" applyBorder="1" applyAlignment="1">
      <alignment horizontal="center"/>
    </xf>
    <xf numFmtId="0" fontId="36" fillId="35" borderId="11" xfId="0" applyFont="1" applyFill="1" applyBorder="1" applyAlignment="1">
      <alignment horizontal="center" vertical="center"/>
    </xf>
    <xf numFmtId="0" fontId="36" fillId="35" borderId="11" xfId="0" applyFont="1" applyFill="1" applyBorder="1" applyAlignment="1">
      <alignment horizontal="center" vertical="center" wrapText="1"/>
    </xf>
    <xf numFmtId="4" fontId="29" fillId="0" borderId="11" xfId="0" applyNumberFormat="1" applyFont="1" applyFill="1" applyBorder="1" applyAlignment="1">
      <alignment horizontal="center" vertical="center"/>
    </xf>
    <xf numFmtId="172" fontId="19" fillId="33" borderId="0" xfId="55" applyNumberFormat="1" applyFont="1" applyFill="1"/>
    <xf numFmtId="0" fontId="19" fillId="33" borderId="11" xfId="59" applyFont="1" applyFill="1" applyBorder="1" applyAlignment="1">
      <alignment horizontal="center" vertical="center" wrapText="1"/>
    </xf>
    <xf numFmtId="0" fontId="19" fillId="0" borderId="11" xfId="59" applyFont="1" applyFill="1" applyBorder="1" applyAlignment="1">
      <alignment horizontal="center" vertical="center"/>
    </xf>
    <xf numFmtId="170" fontId="20" fillId="0" borderId="0" xfId="48" applyFont="1"/>
    <xf numFmtId="0" fontId="24" fillId="35" borderId="11" xfId="44" applyFont="1" applyFill="1" applyBorder="1" applyAlignment="1">
      <alignment horizontal="center" vertical="center" wrapText="1"/>
    </xf>
    <xf numFmtId="0" fontId="24" fillId="35" borderId="11" xfId="44" applyNumberFormat="1" applyFont="1" applyFill="1" applyBorder="1" applyAlignment="1">
      <alignment horizontal="left" vertical="center"/>
    </xf>
    <xf numFmtId="170" fontId="24" fillId="35" borderId="11" xfId="48" applyFont="1" applyFill="1" applyBorder="1"/>
    <xf numFmtId="0" fontId="19" fillId="0" borderId="11" xfId="44" applyFont="1" applyFill="1" applyBorder="1" applyAlignment="1">
      <alignment horizontal="center" vertical="center" wrapText="1"/>
    </xf>
    <xf numFmtId="0" fontId="19" fillId="0" borderId="14" xfId="44" applyNumberFormat="1" applyFont="1" applyFill="1" applyBorder="1" applyAlignment="1">
      <alignment horizontal="left" vertical="center" wrapText="1"/>
    </xf>
    <xf numFmtId="170" fontId="20" fillId="0" borderId="0" xfId="48" applyFont="1" applyAlignment="1">
      <alignment vertical="center"/>
    </xf>
    <xf numFmtId="1" fontId="19" fillId="0" borderId="11" xfId="44" applyNumberFormat="1" applyFont="1" applyFill="1" applyBorder="1" applyAlignment="1">
      <alignment horizontal="center" vertical="center" wrapText="1"/>
    </xf>
    <xf numFmtId="170" fontId="24" fillId="35" borderId="14" xfId="48" applyFont="1" applyFill="1" applyBorder="1"/>
    <xf numFmtId="0" fontId="19" fillId="0" borderId="17" xfId="44" applyFont="1" applyFill="1" applyBorder="1" applyAlignment="1">
      <alignment horizontal="center" vertical="center" wrapText="1"/>
    </xf>
    <xf numFmtId="0" fontId="19" fillId="0" borderId="15" xfId="44" applyNumberFormat="1" applyFont="1" applyFill="1" applyBorder="1" applyAlignment="1">
      <alignment horizontal="left" vertical="center" wrapText="1"/>
    </xf>
    <xf numFmtId="0" fontId="24" fillId="35" borderId="17" xfId="44" applyFont="1" applyFill="1" applyBorder="1" applyAlignment="1">
      <alignment horizontal="center" vertical="center" wrapText="1"/>
    </xf>
    <xf numFmtId="0" fontId="24" fillId="35" borderId="49" xfId="44" applyNumberFormat="1" applyFont="1" applyFill="1" applyBorder="1" applyAlignment="1">
      <alignment horizontal="left" vertical="center"/>
    </xf>
    <xf numFmtId="170" fontId="24" fillId="35" borderId="0" xfId="48" applyFont="1" applyFill="1" applyBorder="1"/>
    <xf numFmtId="0" fontId="21" fillId="0" borderId="0" xfId="44" applyFont="1" applyFill="1" applyBorder="1" applyAlignment="1">
      <alignment horizontal="center" vertical="center" wrapText="1"/>
    </xf>
    <xf numFmtId="0" fontId="21" fillId="0" borderId="0" xfId="44" applyNumberFormat="1" applyFont="1" applyFill="1" applyBorder="1" applyAlignment="1">
      <alignment horizontal="left" vertical="center"/>
    </xf>
    <xf numFmtId="170" fontId="21" fillId="0" borderId="0" xfId="48" applyFont="1" applyFill="1" applyBorder="1"/>
    <xf numFmtId="170" fontId="26" fillId="0" borderId="0" xfId="48" applyFont="1" applyFill="1" applyBorder="1" applyAlignment="1">
      <alignment vertical="center"/>
    </xf>
    <xf numFmtId="170" fontId="20" fillId="0" borderId="0" xfId="48" applyFont="1" applyFill="1" applyBorder="1"/>
    <xf numFmtId="1" fontId="19" fillId="0" borderId="19" xfId="44" applyNumberFormat="1" applyFont="1" applyFill="1" applyBorder="1" applyAlignment="1">
      <alignment horizontal="center" vertical="center" wrapText="1"/>
    </xf>
    <xf numFmtId="0" fontId="19" fillId="0" borderId="19" xfId="44" applyFont="1" applyFill="1" applyBorder="1" applyAlignment="1">
      <alignment horizontal="center" vertical="center" wrapText="1"/>
    </xf>
    <xf numFmtId="0" fontId="19" fillId="0" borderId="12" xfId="44" applyNumberFormat="1" applyFont="1" applyFill="1" applyBorder="1" applyAlignment="1">
      <alignment horizontal="left" vertical="center" wrapText="1"/>
    </xf>
    <xf numFmtId="170" fontId="36" fillId="0" borderId="0" xfId="48" applyFont="1"/>
    <xf numFmtId="170" fontId="36" fillId="0" borderId="0" xfId="48" applyFont="1" applyFill="1" applyBorder="1" applyAlignment="1">
      <alignment horizontal="center" vertical="center"/>
    </xf>
    <xf numFmtId="0" fontId="24" fillId="0" borderId="0" xfId="44" applyFont="1" applyFill="1" applyBorder="1" applyAlignment="1">
      <alignment horizontal="center" vertical="center" wrapText="1"/>
    </xf>
    <xf numFmtId="172" fontId="24" fillId="0" borderId="0" xfId="55" applyNumberFormat="1" applyFont="1" applyFill="1" applyBorder="1" applyAlignment="1">
      <alignment vertical="center"/>
    </xf>
    <xf numFmtId="9" fontId="24" fillId="0" borderId="0" xfId="56" applyFont="1" applyFill="1" applyBorder="1" applyAlignment="1">
      <alignment horizontal="center" vertical="center"/>
    </xf>
    <xf numFmtId="170" fontId="24" fillId="0" borderId="0" xfId="48" applyFont="1" applyFill="1" applyBorder="1" applyAlignment="1">
      <alignment vertical="center"/>
    </xf>
    <xf numFmtId="10" fontId="24" fillId="0" borderId="0" xfId="56" applyNumberFormat="1" applyFont="1" applyFill="1" applyBorder="1" applyAlignment="1">
      <alignment horizontal="center" vertical="center"/>
    </xf>
    <xf numFmtId="170" fontId="20" fillId="0" borderId="0" xfId="48" applyFont="1" applyFill="1" applyBorder="1" applyAlignment="1">
      <alignment vertical="center"/>
    </xf>
    <xf numFmtId="170" fontId="36" fillId="0" borderId="0" xfId="48" applyFont="1" applyFill="1" applyBorder="1" applyAlignment="1">
      <alignment vertical="center"/>
    </xf>
    <xf numFmtId="167" fontId="24" fillId="42" borderId="11" xfId="0" applyNumberFormat="1" applyFont="1" applyFill="1" applyBorder="1" applyAlignment="1">
      <alignment vertical="center"/>
    </xf>
    <xf numFmtId="0" fontId="19" fillId="0" borderId="0" xfId="0" applyFont="1" applyFill="1" applyAlignment="1">
      <alignment vertical="center"/>
    </xf>
    <xf numFmtId="167" fontId="24" fillId="35" borderId="11" xfId="76" applyNumberFormat="1" applyFont="1" applyFill="1" applyBorder="1" applyAlignment="1">
      <alignment vertical="center"/>
    </xf>
    <xf numFmtId="167" fontId="20" fillId="0" borderId="11" xfId="76" applyNumberFormat="1" applyFont="1" applyBorder="1" applyAlignment="1">
      <alignment vertical="center"/>
    </xf>
    <xf numFmtId="167" fontId="20" fillId="0" borderId="0" xfId="76" applyNumberFormat="1" applyFont="1" applyAlignment="1">
      <alignment vertical="center"/>
    </xf>
    <xf numFmtId="172" fontId="19" fillId="0" borderId="0" xfId="55" applyNumberFormat="1" applyFont="1" applyFill="1" applyBorder="1" applyAlignment="1">
      <alignment horizontal="center" vertical="center" wrapText="1"/>
    </xf>
    <xf numFmtId="170" fontId="21" fillId="36" borderId="19" xfId="48" applyFont="1" applyFill="1" applyBorder="1" applyAlignment="1">
      <alignment horizontal="center" vertical="center" wrapText="1"/>
    </xf>
    <xf numFmtId="170" fontId="21" fillId="36" borderId="19" xfId="48" applyFont="1" applyFill="1" applyBorder="1" applyAlignment="1">
      <alignment horizontal="center" vertical="center"/>
    </xf>
    <xf numFmtId="167" fontId="19" fillId="0" borderId="11" xfId="76" applyFont="1" applyFill="1" applyBorder="1" applyAlignment="1">
      <alignment horizontal="center" vertical="center"/>
    </xf>
    <xf numFmtId="167" fontId="20" fillId="0" borderId="11" xfId="76" applyFont="1" applyFill="1" applyBorder="1" applyAlignment="1">
      <alignment vertical="center"/>
    </xf>
    <xf numFmtId="167" fontId="24" fillId="38" borderId="11" xfId="76" applyFont="1" applyFill="1" applyBorder="1" applyAlignment="1">
      <alignment vertical="center"/>
    </xf>
    <xf numFmtId="167" fontId="20" fillId="0" borderId="11" xfId="76" applyFont="1" applyFill="1" applyBorder="1" applyAlignment="1">
      <alignment horizontal="right" vertical="center"/>
    </xf>
    <xf numFmtId="10" fontId="0" fillId="0" borderId="11" xfId="56" applyNumberFormat="1" applyFont="1" applyBorder="1" applyAlignment="1">
      <alignment horizontal="center"/>
    </xf>
    <xf numFmtId="167" fontId="20" fillId="0" borderId="11" xfId="76" applyFont="1" applyFill="1" applyBorder="1" applyAlignment="1">
      <alignment horizontal="center" vertical="center" wrapText="1"/>
    </xf>
    <xf numFmtId="167" fontId="19" fillId="0" borderId="11" xfId="76" applyFont="1" applyFill="1" applyBorder="1" applyAlignment="1">
      <alignment horizontal="center" vertical="center" wrapText="1"/>
    </xf>
    <xf numFmtId="167" fontId="19" fillId="33" borderId="11" xfId="76" applyFont="1" applyFill="1" applyBorder="1" applyAlignment="1">
      <alignment horizontal="center" vertical="center"/>
    </xf>
    <xf numFmtId="167" fontId="21" fillId="36" borderId="11" xfId="76" applyFont="1" applyFill="1" applyBorder="1" applyAlignment="1">
      <alignment horizontal="left" vertical="center"/>
    </xf>
    <xf numFmtId="167" fontId="24" fillId="37" borderId="11" xfId="76" applyFont="1" applyFill="1" applyBorder="1" applyAlignment="1">
      <alignment vertical="center"/>
    </xf>
    <xf numFmtId="167" fontId="19" fillId="0" borderId="11" xfId="76" applyFont="1" applyBorder="1" applyAlignment="1">
      <alignment horizontal="right" vertical="center" wrapText="1"/>
    </xf>
    <xf numFmtId="167" fontId="20" fillId="0" borderId="11" xfId="76" applyFont="1" applyBorder="1" applyAlignment="1">
      <alignment vertical="center" wrapText="1"/>
    </xf>
    <xf numFmtId="0" fontId="27" fillId="0" borderId="11" xfId="0" applyFont="1" applyFill="1" applyBorder="1" applyAlignment="1">
      <alignment horizontal="justify" vertical="center" wrapText="1"/>
    </xf>
    <xf numFmtId="4" fontId="19" fillId="0" borderId="11" xfId="41" applyNumberFormat="1" applyFont="1" applyFill="1" applyBorder="1" applyAlignment="1">
      <alignment horizontal="center" vertical="center" wrapText="1"/>
    </xf>
    <xf numFmtId="43" fontId="19" fillId="0" borderId="11" xfId="0" applyNumberFormat="1" applyFont="1" applyFill="1" applyBorder="1" applyAlignment="1">
      <alignment horizontal="center" vertical="center"/>
    </xf>
    <xf numFmtId="43" fontId="20" fillId="0" borderId="11" xfId="0" applyNumberFormat="1" applyFont="1" applyFill="1" applyBorder="1" applyAlignment="1">
      <alignment horizontal="center" vertical="center"/>
    </xf>
    <xf numFmtId="4" fontId="19" fillId="0" borderId="11" xfId="41" applyNumberFormat="1" applyFont="1" applyFill="1" applyBorder="1" applyAlignment="1">
      <alignment horizontal="center" vertical="center"/>
    </xf>
    <xf numFmtId="4" fontId="37" fillId="0" borderId="11" xfId="0" applyNumberFormat="1" applyFont="1" applyFill="1" applyBorder="1" applyAlignment="1">
      <alignment horizontal="center" vertical="center"/>
    </xf>
    <xf numFmtId="4" fontId="29" fillId="0" borderId="11" xfId="0" applyNumberFormat="1" applyFont="1" applyFill="1" applyBorder="1" applyAlignment="1">
      <alignment horizontal="center" vertical="center" readingOrder="1"/>
    </xf>
    <xf numFmtId="4" fontId="19" fillId="0" borderId="11" xfId="0" applyNumberFormat="1" applyFont="1" applyFill="1" applyBorder="1"/>
    <xf numFmtId="0" fontId="20" fillId="0" borderId="11" xfId="0" applyFont="1" applyFill="1" applyBorder="1" applyAlignment="1">
      <alignment horizontal="center" vertical="center"/>
    </xf>
    <xf numFmtId="3" fontId="19" fillId="0" borderId="11" xfId="0" applyNumberFormat="1" applyFont="1" applyFill="1" applyBorder="1" applyAlignment="1">
      <alignment horizontal="justify" vertical="center" wrapText="1"/>
    </xf>
    <xf numFmtId="43" fontId="19" fillId="0" borderId="11" xfId="0" applyNumberFormat="1" applyFont="1" applyFill="1" applyBorder="1" applyAlignment="1">
      <alignment vertical="center" wrapText="1"/>
    </xf>
    <xf numFmtId="3" fontId="19" fillId="0" borderId="11" xfId="0" applyNumberFormat="1" applyFont="1" applyFill="1" applyBorder="1" applyAlignment="1">
      <alignment horizontal="justify" vertical="center"/>
    </xf>
    <xf numFmtId="0" fontId="20" fillId="0" borderId="11" xfId="59" applyFont="1" applyFill="1" applyBorder="1" applyAlignment="1">
      <alignment horizontal="center" vertical="center" wrapText="1"/>
    </xf>
    <xf numFmtId="43" fontId="20" fillId="0" borderId="11" xfId="0" applyNumberFormat="1" applyFont="1" applyFill="1" applyBorder="1" applyAlignment="1">
      <alignment horizontal="center" vertical="center" wrapText="1"/>
    </xf>
    <xf numFmtId="167" fontId="29" fillId="0" borderId="11" xfId="76" applyFont="1" applyFill="1" applyBorder="1" applyAlignment="1">
      <alignment horizontal="center" vertical="center" wrapText="1"/>
    </xf>
    <xf numFmtId="167" fontId="19" fillId="0" borderId="11" xfId="76" applyFont="1" applyFill="1" applyBorder="1" applyAlignment="1">
      <alignment horizontal="justify" vertical="center"/>
    </xf>
    <xf numFmtId="167" fontId="29" fillId="0" borderId="11" xfId="76" applyFont="1" applyFill="1" applyBorder="1" applyAlignment="1">
      <alignment vertical="center" wrapText="1"/>
    </xf>
    <xf numFmtId="167" fontId="19" fillId="0" borderId="11" xfId="76" applyFont="1" applyFill="1" applyBorder="1" applyAlignment="1">
      <alignment horizontal="left" vertical="center" wrapText="1"/>
    </xf>
    <xf numFmtId="167" fontId="19" fillId="0" borderId="11" xfId="76" applyFont="1" applyFill="1" applyBorder="1" applyAlignment="1">
      <alignment vertical="center"/>
    </xf>
    <xf numFmtId="43" fontId="24" fillId="0" borderId="0" xfId="0" applyNumberFormat="1" applyFont="1" applyFill="1" applyAlignment="1">
      <alignment vertical="center"/>
    </xf>
    <xf numFmtId="4" fontId="19" fillId="0" borderId="11" xfId="0" applyNumberFormat="1" applyFont="1" applyFill="1" applyBorder="1" applyAlignment="1">
      <alignment vertical="center"/>
    </xf>
    <xf numFmtId="3" fontId="19" fillId="0" borderId="11" xfId="0" applyNumberFormat="1" applyFont="1" applyFill="1" applyBorder="1" applyAlignment="1">
      <alignment horizontal="center" vertical="center" wrapText="1"/>
    </xf>
    <xf numFmtId="175" fontId="19" fillId="0" borderId="11" xfId="59" applyNumberFormat="1" applyFont="1" applyFill="1" applyBorder="1" applyAlignment="1">
      <alignment horizontal="center" vertical="center" wrapText="1"/>
    </xf>
    <xf numFmtId="0" fontId="20" fillId="0" borderId="11" xfId="0" applyFont="1" applyFill="1" applyBorder="1" applyAlignment="1">
      <alignment vertical="center" wrapText="1"/>
    </xf>
    <xf numFmtId="167" fontId="19" fillId="0" borderId="0" xfId="76" applyFont="1"/>
    <xf numFmtId="167" fontId="19" fillId="33" borderId="0" xfId="76" applyFont="1" applyFill="1"/>
    <xf numFmtId="43" fontId="19" fillId="0" borderId="15" xfId="51" applyFont="1" applyFill="1" applyBorder="1" applyAlignment="1">
      <alignment horizontal="center" vertical="center"/>
    </xf>
    <xf numFmtId="43" fontId="19" fillId="0" borderId="14" xfId="51" applyFont="1" applyFill="1" applyBorder="1" applyAlignment="1">
      <alignment vertical="center"/>
    </xf>
    <xf numFmtId="43" fontId="19" fillId="0" borderId="14" xfId="51" applyFont="1" applyFill="1" applyBorder="1" applyAlignment="1">
      <alignment horizontal="right" vertical="center" wrapText="1"/>
    </xf>
    <xf numFmtId="43" fontId="19" fillId="0" borderId="14" xfId="41" applyFont="1" applyFill="1" applyBorder="1" applyAlignment="1">
      <alignment horizontal="justify" vertical="center"/>
    </xf>
    <xf numFmtId="43" fontId="19" fillId="0" borderId="47" xfId="51" applyFont="1" applyFill="1" applyBorder="1" applyAlignment="1">
      <alignment vertical="center"/>
    </xf>
    <xf numFmtId="0" fontId="19" fillId="0" borderId="11" xfId="0" applyFont="1" applyBorder="1" applyAlignment="1">
      <alignment horizontal="justify" vertical="center" wrapText="1"/>
    </xf>
    <xf numFmtId="0" fontId="20" fillId="0" borderId="11" xfId="0" applyFont="1" applyBorder="1" applyAlignment="1">
      <alignment horizontal="justify" vertical="center" wrapText="1"/>
    </xf>
    <xf numFmtId="0" fontId="19" fillId="0" borderId="11" xfId="0" applyFont="1" applyBorder="1" applyAlignment="1">
      <alignment horizontal="center" vertical="center" wrapText="1"/>
    </xf>
    <xf numFmtId="171" fontId="25" fillId="35" borderId="14" xfId="41" applyNumberFormat="1" applyFont="1" applyFill="1" applyBorder="1" applyAlignment="1">
      <alignment horizontal="center" vertical="center" wrapText="1"/>
    </xf>
    <xf numFmtId="0" fontId="20" fillId="33" borderId="11" xfId="0" applyFont="1" applyFill="1" applyBorder="1" applyAlignment="1">
      <alignment horizontal="justify" vertical="center" wrapText="1"/>
    </xf>
    <xf numFmtId="0" fontId="24" fillId="0" borderId="11" xfId="0" applyFont="1" applyFill="1" applyBorder="1" applyAlignment="1">
      <alignment horizontal="left" vertical="center"/>
    </xf>
    <xf numFmtId="170" fontId="25" fillId="35" borderId="11" xfId="48" applyFont="1" applyFill="1" applyBorder="1" applyAlignment="1">
      <alignment horizontal="center" vertical="center" wrapText="1"/>
    </xf>
    <xf numFmtId="170" fontId="25" fillId="35" borderId="17" xfId="48" applyFont="1" applyFill="1" applyBorder="1" applyAlignment="1">
      <alignment horizontal="center" vertical="center" wrapText="1"/>
    </xf>
    <xf numFmtId="0" fontId="25" fillId="35" borderId="11" xfId="48" applyNumberFormat="1" applyFont="1" applyFill="1" applyBorder="1" applyAlignment="1">
      <alignment horizontal="center" vertical="center" wrapText="1"/>
    </xf>
    <xf numFmtId="2" fontId="19" fillId="0" borderId="11" xfId="59" applyNumberFormat="1" applyFont="1" applyFill="1" applyBorder="1" applyAlignment="1">
      <alignment horizontal="center" vertical="center" wrapText="1"/>
    </xf>
    <xf numFmtId="43" fontId="19" fillId="0" borderId="11" xfId="51" applyFont="1" applyFill="1" applyBorder="1" applyAlignment="1">
      <alignment horizontal="center" vertical="center" wrapText="1"/>
    </xf>
    <xf numFmtId="0" fontId="24" fillId="0" borderId="11" xfId="0" applyFont="1" applyBorder="1" applyAlignment="1">
      <alignment horizontal="center" vertical="center" wrapText="1"/>
    </xf>
    <xf numFmtId="0" fontId="19" fillId="33" borderId="11" xfId="0" applyFont="1" applyFill="1" applyBorder="1" applyAlignment="1">
      <alignment horizontal="justify" vertical="center" wrapText="1"/>
    </xf>
    <xf numFmtId="0" fontId="24" fillId="0" borderId="11" xfId="0" applyFont="1" applyBorder="1" applyAlignment="1">
      <alignment horizontal="left" vertical="center" wrapText="1"/>
    </xf>
    <xf numFmtId="0" fontId="24" fillId="38" borderId="11" xfId="0" applyFont="1" applyFill="1" applyBorder="1" applyAlignment="1">
      <alignment horizontal="left" vertical="center"/>
    </xf>
    <xf numFmtId="3" fontId="19" fillId="0" borderId="11" xfId="0" applyNumberFormat="1" applyFont="1" applyBorder="1" applyAlignment="1">
      <alignment horizontal="justify" vertical="center" wrapText="1"/>
    </xf>
    <xf numFmtId="0" fontId="19" fillId="0" borderId="11" xfId="0" applyFont="1" applyFill="1" applyBorder="1" applyAlignment="1">
      <alignment horizontal="justify" vertical="center" wrapText="1"/>
    </xf>
    <xf numFmtId="0" fontId="19" fillId="0" borderId="11" xfId="0" applyFont="1" applyFill="1" applyBorder="1" applyAlignment="1">
      <alignment horizontal="center" vertical="center" wrapText="1"/>
    </xf>
    <xf numFmtId="0" fontId="20" fillId="0" borderId="11" xfId="0" applyFont="1" applyFill="1" applyBorder="1" applyAlignment="1">
      <alignment horizontal="justify" vertical="center" wrapText="1"/>
    </xf>
    <xf numFmtId="0" fontId="19" fillId="0" borderId="11"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17" xfId="0" applyFont="1" applyBorder="1" applyAlignment="1">
      <alignment horizontal="left" vertical="center" wrapText="1"/>
    </xf>
    <xf numFmtId="0" fontId="24" fillId="0" borderId="20" xfId="0" applyFont="1" applyBorder="1" applyAlignment="1">
      <alignment horizontal="left" vertical="center" wrapText="1"/>
    </xf>
    <xf numFmtId="0" fontId="19" fillId="0" borderId="11" xfId="59" applyFont="1" applyFill="1" applyBorder="1" applyAlignment="1">
      <alignment horizontal="center" vertical="center" wrapText="1"/>
    </xf>
    <xf numFmtId="0" fontId="20" fillId="0" borderId="11" xfId="0" applyFont="1" applyFill="1" applyBorder="1" applyAlignment="1">
      <alignment horizontal="center" vertical="center" wrapText="1"/>
    </xf>
    <xf numFmtId="171" fontId="19" fillId="0" borderId="11" xfId="0" applyNumberFormat="1" applyFont="1" applyBorder="1" applyAlignment="1">
      <alignment horizontal="justify" vertical="center" wrapText="1"/>
    </xf>
    <xf numFmtId="0" fontId="19" fillId="0" borderId="11" xfId="0" applyFont="1" applyBorder="1" applyAlignment="1">
      <alignment horizontal="justify" vertical="center"/>
    </xf>
    <xf numFmtId="0" fontId="24" fillId="0" borderId="17" xfId="0" applyFont="1" applyBorder="1" applyAlignment="1">
      <alignment horizontal="left" vertical="center"/>
    </xf>
    <xf numFmtId="0" fontId="24" fillId="0" borderId="20" xfId="0" applyFont="1" applyBorder="1" applyAlignment="1">
      <alignment horizontal="left" vertical="center"/>
    </xf>
    <xf numFmtId="0" fontId="24" fillId="0" borderId="19" xfId="0" applyFont="1" applyBorder="1" applyAlignment="1">
      <alignment horizontal="left" vertical="center" wrapText="1"/>
    </xf>
    <xf numFmtId="170" fontId="25" fillId="35" borderId="11" xfId="48" applyFont="1" applyFill="1" applyBorder="1" applyAlignment="1">
      <alignment horizontal="center" vertical="center"/>
    </xf>
    <xf numFmtId="171" fontId="25" fillId="35" borderId="12" xfId="41" applyNumberFormat="1" applyFont="1" applyFill="1" applyBorder="1" applyAlignment="1">
      <alignment horizontal="center" vertical="center" wrapText="1"/>
    </xf>
    <xf numFmtId="0" fontId="32" fillId="0" borderId="25" xfId="0" applyFont="1" applyBorder="1" applyAlignment="1">
      <alignment horizontal="justify" vertical="center" wrapText="1"/>
    </xf>
    <xf numFmtId="0" fontId="32" fillId="0" borderId="20" xfId="0" applyFont="1" applyBorder="1" applyAlignment="1">
      <alignment horizontal="justify" vertical="center" wrapText="1"/>
    </xf>
    <xf numFmtId="0" fontId="32" fillId="0" borderId="19" xfId="0" applyFont="1" applyBorder="1" applyAlignment="1">
      <alignment horizontal="justify" vertical="center" wrapText="1"/>
    </xf>
    <xf numFmtId="0" fontId="31" fillId="39" borderId="29" xfId="0" applyFont="1" applyFill="1" applyBorder="1" applyAlignment="1">
      <alignment horizontal="center" vertical="center" wrapText="1"/>
    </xf>
    <xf numFmtId="0" fontId="31" fillId="39" borderId="30" xfId="0" applyFont="1" applyFill="1" applyBorder="1" applyAlignment="1">
      <alignment horizontal="center" vertical="center" wrapText="1"/>
    </xf>
    <xf numFmtId="0" fontId="31" fillId="39" borderId="31" xfId="0" applyFont="1" applyFill="1" applyBorder="1" applyAlignment="1">
      <alignment horizontal="center" vertical="center" wrapText="1"/>
    </xf>
    <xf numFmtId="0" fontId="32" fillId="0" borderId="17" xfId="0" applyFont="1" applyBorder="1" applyAlignment="1">
      <alignment horizontal="justify" vertical="center" wrapText="1"/>
    </xf>
    <xf numFmtId="0" fontId="31" fillId="0" borderId="25" xfId="0" applyFont="1" applyBorder="1" applyAlignment="1">
      <alignment horizontal="justify" vertical="center" wrapText="1"/>
    </xf>
    <xf numFmtId="0" fontId="32" fillId="0" borderId="11" xfId="0" applyFont="1" applyBorder="1" applyAlignment="1">
      <alignment horizontal="justify" vertical="center" wrapText="1"/>
    </xf>
    <xf numFmtId="0" fontId="32" fillId="0" borderId="19" xfId="0" applyFont="1" applyFill="1" applyBorder="1" applyAlignment="1">
      <alignment horizontal="justify" vertical="center" wrapText="1"/>
    </xf>
    <xf numFmtId="0" fontId="32" fillId="0" borderId="17" xfId="0" applyFont="1" applyFill="1" applyBorder="1" applyAlignment="1">
      <alignment horizontal="justify" vertical="center" wrapText="1"/>
    </xf>
    <xf numFmtId="0" fontId="32" fillId="0" borderId="28" xfId="0" applyFont="1" applyBorder="1" applyAlignment="1">
      <alignment horizontal="justify" vertical="center" wrapText="1"/>
    </xf>
    <xf numFmtId="43" fontId="19" fillId="0" borderId="11" xfId="0" applyNumberFormat="1" applyFont="1" applyFill="1" applyBorder="1" applyAlignment="1">
      <alignment horizontal="right" vertical="center"/>
    </xf>
    <xf numFmtId="171" fontId="25" fillId="35" borderId="19" xfId="41" applyNumberFormat="1" applyFont="1" applyFill="1" applyBorder="1" applyAlignment="1">
      <alignment horizontal="center" vertical="center" wrapText="1"/>
    </xf>
    <xf numFmtId="167" fontId="0" fillId="0" borderId="11" xfId="0" applyNumberFormat="1" applyBorder="1"/>
    <xf numFmtId="167" fontId="0" fillId="0" borderId="11" xfId="55" applyNumberFormat="1" applyFont="1" applyBorder="1"/>
    <xf numFmtId="167" fontId="15" fillId="35" borderId="11" xfId="0" applyNumberFormat="1" applyFont="1" applyFill="1" applyBorder="1"/>
    <xf numFmtId="0" fontId="0" fillId="0" borderId="11" xfId="0" applyBorder="1" applyAlignment="1">
      <alignment horizontal="center"/>
    </xf>
    <xf numFmtId="0" fontId="24" fillId="0" borderId="15"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171" fontId="19" fillId="0" borderId="11" xfId="0" applyNumberFormat="1" applyFont="1" applyBorder="1" applyAlignment="1">
      <alignment horizontal="justify" vertical="center" wrapText="1"/>
    </xf>
    <xf numFmtId="0" fontId="19" fillId="0" borderId="11" xfId="0" applyFont="1" applyBorder="1" applyAlignment="1">
      <alignment horizontal="justify" vertical="center"/>
    </xf>
    <xf numFmtId="0" fontId="19" fillId="0" borderId="11" xfId="0" applyFont="1" applyBorder="1" applyAlignment="1">
      <alignment horizontal="center" vertical="center" wrapText="1"/>
    </xf>
    <xf numFmtId="0" fontId="19" fillId="0" borderId="11" xfId="0" applyFont="1" applyBorder="1" applyAlignment="1">
      <alignment horizontal="justify" vertical="center" wrapText="1"/>
    </xf>
    <xf numFmtId="0" fontId="24" fillId="0" borderId="17" xfId="0" applyFont="1" applyBorder="1" applyAlignment="1">
      <alignment horizontal="left" vertical="center"/>
    </xf>
    <xf numFmtId="0" fontId="24" fillId="0" borderId="20" xfId="0" applyFont="1" applyBorder="1" applyAlignment="1">
      <alignment horizontal="left" vertical="center"/>
    </xf>
    <xf numFmtId="0" fontId="24" fillId="0" borderId="20" xfId="0" applyFont="1" applyBorder="1" applyAlignment="1">
      <alignment horizontal="left" vertical="center" wrapText="1"/>
    </xf>
    <xf numFmtId="0" fontId="24" fillId="0" borderId="19" xfId="0" applyFont="1" applyBorder="1" applyAlignment="1">
      <alignment horizontal="left" vertical="center" wrapText="1"/>
    </xf>
    <xf numFmtId="0" fontId="24" fillId="0" borderId="11" xfId="0" applyFont="1" applyBorder="1" applyAlignment="1">
      <alignment horizontal="left" vertical="center" wrapText="1"/>
    </xf>
    <xf numFmtId="0" fontId="19" fillId="0" borderId="11" xfId="0" applyFont="1" applyFill="1" applyBorder="1" applyAlignment="1">
      <alignment horizontal="center" vertical="center" wrapText="1"/>
    </xf>
    <xf numFmtId="0" fontId="19" fillId="0" borderId="11" xfId="0" applyFont="1" applyFill="1" applyBorder="1" applyAlignment="1">
      <alignment horizontal="justify" vertical="center" wrapText="1"/>
    </xf>
    <xf numFmtId="0" fontId="20" fillId="0" borderId="11" xfId="0" applyFont="1" applyFill="1" applyBorder="1" applyAlignment="1">
      <alignment horizontal="justify" vertical="center" wrapText="1"/>
    </xf>
    <xf numFmtId="0" fontId="20" fillId="0" borderId="11" xfId="0" applyFont="1" applyFill="1" applyBorder="1" applyAlignment="1">
      <alignment horizontal="center" vertical="center" wrapText="1"/>
    </xf>
    <xf numFmtId="0" fontId="24" fillId="0" borderId="20"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17" xfId="0" applyFont="1" applyBorder="1" applyAlignment="1">
      <alignment horizontal="left" vertical="center" wrapText="1"/>
    </xf>
    <xf numFmtId="0" fontId="19" fillId="0" borderId="11" xfId="59" applyFont="1" applyFill="1" applyBorder="1" applyAlignment="1">
      <alignment horizontal="center" vertical="center" wrapText="1"/>
    </xf>
    <xf numFmtId="0" fontId="20" fillId="0" borderId="11" xfId="0" applyFont="1" applyBorder="1" applyAlignment="1">
      <alignment horizontal="justify" vertical="center" wrapText="1"/>
    </xf>
    <xf numFmtId="0" fontId="19" fillId="0" borderId="11" xfId="0" applyFont="1" applyFill="1" applyBorder="1" applyAlignment="1">
      <alignment horizontal="left" vertical="center" wrapText="1"/>
    </xf>
    <xf numFmtId="3" fontId="19" fillId="0" borderId="11" xfId="0" applyNumberFormat="1" applyFont="1" applyBorder="1" applyAlignment="1">
      <alignment horizontal="justify" vertical="center" wrapText="1"/>
    </xf>
    <xf numFmtId="166" fontId="19" fillId="0" borderId="11" xfId="58" applyFont="1" applyFill="1" applyBorder="1" applyAlignment="1">
      <alignment horizontal="justify" vertical="center" wrapText="1"/>
    </xf>
    <xf numFmtId="3" fontId="19" fillId="0" borderId="11" xfId="0" applyNumberFormat="1" applyFont="1" applyBorder="1" applyAlignment="1">
      <alignment horizontal="justify" vertical="center"/>
    </xf>
    <xf numFmtId="0" fontId="24" fillId="38" borderId="11" xfId="0" applyFont="1" applyFill="1" applyBorder="1" applyAlignment="1">
      <alignment horizontal="left" vertical="center"/>
    </xf>
    <xf numFmtId="0" fontId="24" fillId="0" borderId="11" xfId="0" applyFont="1" applyBorder="1" applyAlignment="1">
      <alignment horizontal="center" vertical="center" wrapText="1"/>
    </xf>
    <xf numFmtId="0" fontId="19" fillId="33" borderId="11" xfId="0" applyFont="1" applyFill="1" applyBorder="1" applyAlignment="1">
      <alignment horizontal="justify" vertical="center" wrapText="1"/>
    </xf>
    <xf numFmtId="0" fontId="20" fillId="33" borderId="11" xfId="0" applyFont="1" applyFill="1" applyBorder="1" applyAlignment="1">
      <alignment horizontal="justify" vertical="center" wrapText="1"/>
    </xf>
    <xf numFmtId="0" fontId="24" fillId="0" borderId="11" xfId="0" applyFont="1" applyFill="1" applyBorder="1" applyAlignment="1">
      <alignment horizontal="left" vertical="center"/>
    </xf>
    <xf numFmtId="0" fontId="25" fillId="35" borderId="11" xfId="48" applyNumberFormat="1" applyFont="1" applyFill="1" applyBorder="1" applyAlignment="1">
      <alignment horizontal="center" vertical="center" wrapText="1"/>
    </xf>
    <xf numFmtId="2" fontId="19" fillId="0" borderId="11" xfId="59" applyNumberFormat="1" applyFont="1" applyFill="1" applyBorder="1" applyAlignment="1">
      <alignment horizontal="center" vertical="center" wrapText="1"/>
    </xf>
    <xf numFmtId="43" fontId="19" fillId="0" borderId="11" xfId="51" applyFont="1" applyFill="1" applyBorder="1" applyAlignment="1">
      <alignment horizontal="center" vertical="center" wrapText="1"/>
    </xf>
    <xf numFmtId="0" fontId="19" fillId="0" borderId="11" xfId="0" applyFont="1" applyFill="1" applyBorder="1" applyAlignment="1">
      <alignment horizontal="justify" vertical="center"/>
    </xf>
    <xf numFmtId="0" fontId="31" fillId="40" borderId="29" xfId="0" applyFont="1" applyFill="1" applyBorder="1" applyAlignment="1">
      <alignment horizontal="left" vertical="center" wrapText="1"/>
    </xf>
    <xf numFmtId="0" fontId="31" fillId="40" borderId="30" xfId="0" applyFont="1" applyFill="1" applyBorder="1" applyAlignment="1">
      <alignment horizontal="left" vertical="center" wrapText="1"/>
    </xf>
    <xf numFmtId="0" fontId="32" fillId="0" borderId="38" xfId="0" applyFont="1" applyBorder="1" applyAlignment="1">
      <alignment horizontal="justify" vertical="center" wrapText="1"/>
    </xf>
    <xf numFmtId="0" fontId="32" fillId="0" borderId="27" xfId="0" applyFont="1" applyBorder="1" applyAlignment="1">
      <alignment horizontal="justify" vertical="center" wrapText="1"/>
    </xf>
    <xf numFmtId="0" fontId="32" fillId="0" borderId="25" xfId="0" applyFont="1" applyBorder="1" applyAlignment="1">
      <alignment horizontal="justify" vertical="center" wrapText="1"/>
    </xf>
    <xf numFmtId="0" fontId="32" fillId="0" borderId="20" xfId="0" applyFont="1" applyBorder="1" applyAlignment="1">
      <alignment horizontal="justify" vertical="center" wrapText="1"/>
    </xf>
    <xf numFmtId="0" fontId="32" fillId="0" borderId="19" xfId="0" applyFont="1" applyBorder="1" applyAlignment="1">
      <alignment horizontal="justify"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22" xfId="0" applyFont="1" applyBorder="1" applyAlignment="1">
      <alignment horizontal="center" vertical="center" wrapText="1"/>
    </xf>
    <xf numFmtId="0" fontId="31" fillId="39" borderId="29" xfId="0" applyFont="1" applyFill="1" applyBorder="1" applyAlignment="1">
      <alignment horizontal="center" vertical="center" wrapText="1"/>
    </xf>
    <xf numFmtId="0" fontId="31" fillId="39" borderId="30" xfId="0" applyFont="1" applyFill="1" applyBorder="1" applyAlignment="1">
      <alignment horizontal="center" vertical="center" wrapText="1"/>
    </xf>
    <xf numFmtId="0" fontId="31" fillId="39" borderId="31" xfId="0" applyFont="1" applyFill="1" applyBorder="1" applyAlignment="1">
      <alignment horizontal="center" vertical="center" wrapText="1"/>
    </xf>
    <xf numFmtId="0" fontId="32" fillId="0" borderId="17" xfId="0" applyFont="1" applyBorder="1" applyAlignment="1">
      <alignment horizontal="justify" vertical="center" wrapText="1"/>
    </xf>
    <xf numFmtId="0" fontId="31" fillId="40" borderId="31" xfId="0" applyFont="1" applyFill="1" applyBorder="1" applyAlignment="1">
      <alignment horizontal="left" vertical="center" wrapText="1"/>
    </xf>
    <xf numFmtId="0" fontId="31" fillId="0" borderId="38" xfId="0" applyFont="1" applyBorder="1" applyAlignment="1">
      <alignment horizontal="justify" vertical="center" wrapText="1"/>
    </xf>
    <xf numFmtId="0" fontId="31" fillId="0" borderId="25" xfId="0" applyFont="1" applyBorder="1" applyAlignment="1">
      <alignment horizontal="justify" vertical="center" wrapText="1"/>
    </xf>
    <xf numFmtId="0" fontId="30" fillId="0" borderId="21" xfId="0" applyFont="1" applyBorder="1" applyAlignment="1">
      <alignment horizontal="center" vertical="center"/>
    </xf>
    <xf numFmtId="0" fontId="32" fillId="0" borderId="27" xfId="41" applyNumberFormat="1" applyFont="1" applyFill="1" applyBorder="1" applyAlignment="1">
      <alignment horizontal="justify" vertical="center" wrapText="1"/>
    </xf>
    <xf numFmtId="0" fontId="32" fillId="0" borderId="11" xfId="0" applyFont="1" applyBorder="1" applyAlignment="1">
      <alignment horizontal="justify" vertical="center" wrapText="1"/>
    </xf>
    <xf numFmtId="0" fontId="32" fillId="0" borderId="28" xfId="0" applyFont="1" applyFill="1" applyBorder="1" applyAlignment="1">
      <alignment horizontal="justify" vertical="center" wrapText="1"/>
    </xf>
    <xf numFmtId="0" fontId="31" fillId="0" borderId="28" xfId="0" applyFont="1" applyBorder="1" applyAlignment="1">
      <alignment horizontal="justify" vertical="center" wrapText="1"/>
    </xf>
    <xf numFmtId="0" fontId="32" fillId="0" borderId="25" xfId="41" applyNumberFormat="1" applyFont="1" applyFill="1" applyBorder="1" applyAlignment="1">
      <alignment horizontal="justify" vertical="center" wrapText="1"/>
    </xf>
    <xf numFmtId="0" fontId="31" fillId="0" borderId="27" xfId="0" applyFont="1" applyBorder="1" applyAlignment="1">
      <alignment horizontal="justify" vertical="center" wrapText="1"/>
    </xf>
    <xf numFmtId="0" fontId="31" fillId="0" borderId="35" xfId="0" applyFont="1" applyBorder="1" applyAlignment="1">
      <alignment horizontal="justify" vertical="center" wrapText="1"/>
    </xf>
    <xf numFmtId="0" fontId="32" fillId="0" borderId="20" xfId="0" applyFont="1" applyFill="1" applyBorder="1" applyAlignment="1">
      <alignment horizontal="justify" vertical="center" wrapText="1"/>
    </xf>
    <xf numFmtId="0" fontId="32" fillId="0" borderId="19" xfId="0" applyFont="1" applyFill="1" applyBorder="1" applyAlignment="1">
      <alignment horizontal="justify" vertical="center" wrapText="1"/>
    </xf>
    <xf numFmtId="0" fontId="32" fillId="0" borderId="17" xfId="0" applyFont="1" applyFill="1" applyBorder="1" applyAlignment="1">
      <alignment horizontal="justify" vertical="center" wrapText="1"/>
    </xf>
    <xf numFmtId="0" fontId="32" fillId="0" borderId="28" xfId="0" applyFont="1" applyBorder="1" applyAlignment="1">
      <alignment horizontal="justify" vertical="center" wrapText="1"/>
    </xf>
    <xf numFmtId="0" fontId="31" fillId="41" borderId="29" xfId="0" applyFont="1" applyFill="1" applyBorder="1" applyAlignment="1">
      <alignment horizontal="justify" vertical="center" wrapText="1"/>
    </xf>
    <xf numFmtId="0" fontId="31" fillId="41" borderId="30" xfId="0" applyFont="1" applyFill="1" applyBorder="1" applyAlignment="1">
      <alignment horizontal="justify" vertical="center" wrapText="1"/>
    </xf>
    <xf numFmtId="0" fontId="31" fillId="0" borderId="28" xfId="0" applyFont="1" applyBorder="1" applyAlignment="1">
      <alignment horizontal="left" vertical="center" wrapText="1"/>
    </xf>
    <xf numFmtId="0" fontId="31" fillId="0" borderId="20" xfId="0" applyFont="1" applyBorder="1" applyAlignment="1">
      <alignment horizontal="left" vertical="center" wrapText="1"/>
    </xf>
    <xf numFmtId="0" fontId="31" fillId="0" borderId="46" xfId="0" applyFont="1" applyBorder="1" applyAlignment="1">
      <alignment horizontal="left" vertical="center" wrapText="1"/>
    </xf>
    <xf numFmtId="0" fontId="31" fillId="33" borderId="0" xfId="0" applyFont="1" applyFill="1" applyAlignment="1">
      <alignment horizontal="center"/>
    </xf>
    <xf numFmtId="0" fontId="30" fillId="33" borderId="0" xfId="0" applyFont="1" applyFill="1" applyAlignment="1">
      <alignment horizontal="center"/>
    </xf>
    <xf numFmtId="0" fontId="32" fillId="33" borderId="0" xfId="0" applyFont="1" applyFill="1" applyAlignment="1">
      <alignment horizontal="left" vertical="center"/>
    </xf>
    <xf numFmtId="0" fontId="32" fillId="33" borderId="0" xfId="0" applyFont="1" applyFill="1" applyAlignment="1">
      <alignment horizontal="left" vertical="center" wrapText="1"/>
    </xf>
    <xf numFmtId="0" fontId="31" fillId="39" borderId="29" xfId="0" applyFont="1" applyFill="1" applyBorder="1" applyAlignment="1">
      <alignment horizontal="justify" vertical="center" wrapText="1"/>
    </xf>
    <xf numFmtId="0" fontId="31" fillId="39" borderId="30" xfId="0" applyFont="1" applyFill="1" applyBorder="1" applyAlignment="1">
      <alignment horizontal="justify" vertical="center" wrapText="1"/>
    </xf>
    <xf numFmtId="0" fontId="21" fillId="36" borderId="14" xfId="76" applyNumberFormat="1" applyFont="1" applyFill="1" applyBorder="1" applyAlignment="1">
      <alignment horizontal="center" vertical="center" wrapText="1"/>
    </xf>
    <xf numFmtId="0" fontId="21" fillId="36" borderId="18" xfId="76" applyNumberFormat="1" applyFont="1" applyFill="1" applyBorder="1" applyAlignment="1">
      <alignment horizontal="center" vertical="center" wrapText="1"/>
    </xf>
    <xf numFmtId="0" fontId="15" fillId="0" borderId="11" xfId="0" applyFont="1" applyBorder="1" applyAlignment="1">
      <alignment horizontal="center" wrapText="1"/>
    </xf>
    <xf numFmtId="0" fontId="36" fillId="35" borderId="14" xfId="0" applyFont="1" applyFill="1" applyBorder="1" applyAlignment="1">
      <alignment horizontal="center" vertical="center"/>
    </xf>
    <xf numFmtId="0" fontId="36" fillId="35" borderId="16" xfId="0" applyFont="1" applyFill="1" applyBorder="1" applyAlignment="1">
      <alignment horizontal="center" vertical="center"/>
    </xf>
  </cellXfs>
  <cellStyles count="7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1" xfId="22"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KPT04" xfId="49"/>
    <cellStyle name="KPT04 2" xfId="43"/>
    <cellStyle name="Millares" xfId="76" builtinId="3"/>
    <cellStyle name="Millares [0]" xfId="55" builtinId="6"/>
    <cellStyle name="Millares [0] 2" xfId="46"/>
    <cellStyle name="Millares 2" xfId="41"/>
    <cellStyle name="Millares 2 2" xfId="51"/>
    <cellStyle name="Millares 2 2 2 2" xfId="42"/>
    <cellStyle name="Millares 2 2 2 2 2" xfId="64"/>
    <cellStyle name="Millares 2 4" xfId="57"/>
    <cellStyle name="Millares 3" xfId="67"/>
    <cellStyle name="Millares 4" xfId="62"/>
    <cellStyle name="Millares 5" xfId="72"/>
    <cellStyle name="Millares 6" xfId="69"/>
    <cellStyle name="Millares 7" xfId="63"/>
    <cellStyle name="Moneda [0] 2" xfId="52"/>
    <cellStyle name="Moneda [0] 2 2" xfId="60"/>
    <cellStyle name="Moneda 2" xfId="50"/>
    <cellStyle name="Moneda 2 2" xfId="54"/>
    <cellStyle name="Moneda 2 4" xfId="58"/>
    <cellStyle name="Moneda 3" xfId="71"/>
    <cellStyle name="Moneda 3 2" xfId="75"/>
    <cellStyle name="Moneda 4" xfId="66"/>
    <cellStyle name="Moneda 5" xfId="65"/>
    <cellStyle name="Moneda 6" xfId="73"/>
    <cellStyle name="Moneda 7" xfId="74"/>
    <cellStyle name="Neutral" xfId="32" builtinId="28" customBuiltin="1"/>
    <cellStyle name="Normal" xfId="0" builtinId="0"/>
    <cellStyle name="Normal 2" xfId="44"/>
    <cellStyle name="Normal 2 2" xfId="53"/>
    <cellStyle name="Normal 2 2 2" xfId="61"/>
    <cellStyle name="Normal 2 3" xfId="59"/>
    <cellStyle name="Normal 2 3 2" xfId="70"/>
    <cellStyle name="Normal 2 3 3" xfId="68"/>
    <cellStyle name="Normal 3" xfId="48"/>
    <cellStyle name="Notas" xfId="33" builtinId="10" customBuiltin="1"/>
    <cellStyle name="Porcentaje" xfId="56" builtinId="5"/>
    <cellStyle name="Porcentaje 2 2" xfId="45"/>
    <cellStyle name="Porcentaje 2 2 2" xfId="47"/>
    <cellStyle name="Salida" xfId="34" builtinId="21" customBuiltin="1"/>
    <cellStyle name="Texto de advertencia" xfId="35" builtinId="11" customBuiltin="1"/>
    <cellStyle name="Texto explicativo" xfId="36" builtinId="53" customBuiltin="1"/>
    <cellStyle name="Título" xfId="37" builtinId="15" customBuiltin="1"/>
    <cellStyle name="Título 2" xfId="38" builtinId="17" customBuiltin="1"/>
    <cellStyle name="Título 3" xfId="39" builtinId="18" customBuiltin="1"/>
    <cellStyle name="Total" xfId="4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240392</xdr:colOff>
      <xdr:row>0</xdr:row>
      <xdr:rowOff>0</xdr:rowOff>
    </xdr:from>
    <xdr:to>
      <xdr:col>3</xdr:col>
      <xdr:colOff>6803</xdr:colOff>
      <xdr:row>4</xdr:row>
      <xdr:rowOff>907</xdr:rowOff>
    </xdr:to>
    <xdr:pic>
      <xdr:nvPicPr>
        <xdr:cNvPr id="2" name="Imagen 1">
          <a:extLst>
            <a:ext uri="{FF2B5EF4-FFF2-40B4-BE49-F238E27FC236}">
              <a16:creationId xmlns="" xmlns:a16="http://schemas.microsoft.com/office/drawing/2014/main" id="{D3A3E867-7E82-46EF-A99C-64353A5E8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996" t="12991" r="67844" b="74319"/>
        <a:stretch>
          <a:fillRect/>
        </a:stretch>
      </xdr:blipFill>
      <xdr:spPr bwMode="auto">
        <a:xfrm>
          <a:off x="240392" y="0"/>
          <a:ext cx="3413125" cy="1089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393"/>
  <sheetViews>
    <sheetView showGridLines="0" tabSelected="1" zoomScale="60" zoomScaleNormal="60" workbookViewId="0">
      <selection sqref="A1:AD4"/>
    </sheetView>
  </sheetViews>
  <sheetFormatPr baseColWidth="10" defaultColWidth="11.42578125" defaultRowHeight="15" x14ac:dyDescent="0.2"/>
  <cols>
    <col min="1" max="1" width="15.5703125" style="85" customWidth="1"/>
    <col min="2" max="2" width="19" style="113" customWidth="1"/>
    <col min="3" max="3" width="20.140625" style="113" customWidth="1"/>
    <col min="4" max="4" width="19.5703125" style="114" customWidth="1"/>
    <col min="5" max="5" width="18.7109375" style="115" customWidth="1"/>
    <col min="6" max="6" width="67.28515625" style="116" customWidth="1"/>
    <col min="7" max="7" width="25.7109375" style="117" customWidth="1"/>
    <col min="8" max="8" width="16.7109375" style="115" customWidth="1"/>
    <col min="9" max="9" width="62.28515625" style="116" customWidth="1"/>
    <col min="10" max="10" width="23.7109375" style="117" customWidth="1"/>
    <col min="11" max="11" width="44.140625" style="116" customWidth="1"/>
    <col min="12" max="12" width="11.42578125" style="115" customWidth="1"/>
    <col min="13" max="13" width="16.7109375" style="115" customWidth="1"/>
    <col min="14" max="14" width="13.5703125" style="117" customWidth="1"/>
    <col min="15" max="15" width="13.85546875" style="117" customWidth="1"/>
    <col min="16" max="16" width="26.140625" style="115" customWidth="1"/>
    <col min="17" max="17" width="21.5703125" style="118" customWidth="1"/>
    <col min="18" max="18" width="64.7109375" style="116" customWidth="1"/>
    <col min="19" max="19" width="33.140625" style="85" customWidth="1"/>
    <col min="20" max="20" width="37.5703125" style="85" customWidth="1"/>
    <col min="21" max="21" width="30.7109375" style="85" customWidth="1"/>
    <col min="22" max="22" width="33.5703125" style="85" customWidth="1"/>
    <col min="23" max="23" width="41.5703125" style="85" customWidth="1"/>
    <col min="24" max="24" width="37.7109375" style="85" customWidth="1"/>
    <col min="25" max="25" width="31.5703125" style="87" customWidth="1"/>
    <col min="26" max="26" width="35" style="87" customWidth="1"/>
    <col min="27" max="27" width="32.85546875" style="85" customWidth="1"/>
    <col min="28" max="28" width="29.5703125" style="85" customWidth="1"/>
    <col min="29" max="29" width="30.85546875" style="10" customWidth="1"/>
    <col min="30" max="30" width="36" style="85" customWidth="1"/>
    <col min="31" max="31" width="33.7109375" style="85" customWidth="1"/>
    <col min="32" max="32" width="35.140625" style="87" customWidth="1"/>
    <col min="33" max="33" width="34.85546875" style="85" customWidth="1"/>
    <col min="34" max="34" width="28.5703125" style="85" customWidth="1"/>
    <col min="35" max="35" width="30.42578125" style="85" customWidth="1"/>
    <col min="36" max="16384" width="11.42578125" style="85"/>
  </cols>
  <sheetData>
    <row r="1" spans="1:35" ht="24.75" customHeight="1" x14ac:dyDescent="0.25">
      <c r="A1" s="462" t="s">
        <v>1440</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86" t="s">
        <v>14</v>
      </c>
      <c r="AF1" s="214" t="s">
        <v>1442</v>
      </c>
    </row>
    <row r="2" spans="1:35" ht="24.75" customHeight="1" x14ac:dyDescent="0.25">
      <c r="A2" s="464"/>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88" t="s">
        <v>15</v>
      </c>
      <c r="AF2" s="215">
        <v>3</v>
      </c>
    </row>
    <row r="3" spans="1:35" ht="22.5" customHeight="1" x14ac:dyDescent="0.25">
      <c r="A3" s="464"/>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86" t="s">
        <v>16</v>
      </c>
      <c r="AF3" s="216" t="s">
        <v>1369</v>
      </c>
    </row>
    <row r="4" spans="1:35" ht="14.25" customHeight="1" x14ac:dyDescent="0.25">
      <c r="A4" s="466"/>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86" t="s">
        <v>17</v>
      </c>
      <c r="AF4" s="217" t="s">
        <v>18</v>
      </c>
    </row>
    <row r="5" spans="1:35" s="89" customFormat="1" ht="79.5" customHeight="1" x14ac:dyDescent="0.25">
      <c r="A5" s="418" t="s">
        <v>12</v>
      </c>
      <c r="B5" s="418" t="s">
        <v>19</v>
      </c>
      <c r="C5" s="418" t="s">
        <v>20</v>
      </c>
      <c r="D5" s="418" t="s">
        <v>21</v>
      </c>
      <c r="E5" s="416" t="s">
        <v>22</v>
      </c>
      <c r="F5" s="416" t="s">
        <v>23</v>
      </c>
      <c r="G5" s="416" t="s">
        <v>24</v>
      </c>
      <c r="H5" s="416" t="s">
        <v>25</v>
      </c>
      <c r="I5" s="442" t="s">
        <v>26</v>
      </c>
      <c r="J5" s="416" t="s">
        <v>27</v>
      </c>
      <c r="K5" s="416" t="s">
        <v>28</v>
      </c>
      <c r="L5" s="416" t="s">
        <v>29</v>
      </c>
      <c r="M5" s="418" t="s">
        <v>1423</v>
      </c>
      <c r="N5" s="496" t="s">
        <v>30</v>
      </c>
      <c r="O5" s="496"/>
      <c r="P5" s="416" t="s">
        <v>31</v>
      </c>
      <c r="Q5" s="417" t="s">
        <v>32</v>
      </c>
      <c r="R5" s="417" t="s">
        <v>33</v>
      </c>
      <c r="S5" s="413" t="s">
        <v>34</v>
      </c>
      <c r="T5" s="413" t="s">
        <v>35</v>
      </c>
      <c r="U5" s="413" t="s">
        <v>36</v>
      </c>
      <c r="V5" s="413" t="s">
        <v>1439</v>
      </c>
      <c r="W5" s="413" t="s">
        <v>1289</v>
      </c>
      <c r="X5" s="413" t="s">
        <v>1387</v>
      </c>
      <c r="Y5" s="413" t="s">
        <v>37</v>
      </c>
      <c r="Z5" s="413" t="s">
        <v>38</v>
      </c>
      <c r="AA5" s="413" t="s">
        <v>39</v>
      </c>
      <c r="AB5" s="413" t="s">
        <v>40</v>
      </c>
      <c r="AC5" s="413" t="s">
        <v>41</v>
      </c>
      <c r="AD5" s="413" t="s">
        <v>1290</v>
      </c>
      <c r="AE5" s="443" t="s">
        <v>1291</v>
      </c>
      <c r="AF5" s="457" t="s">
        <v>42</v>
      </c>
    </row>
    <row r="6" spans="1:35" s="92" customFormat="1" ht="15.75" x14ac:dyDescent="0.25">
      <c r="A6" s="135" t="s">
        <v>43</v>
      </c>
      <c r="B6" s="135"/>
      <c r="C6" s="135"/>
      <c r="D6" s="136"/>
      <c r="E6" s="136"/>
      <c r="F6" s="137"/>
      <c r="G6" s="138"/>
      <c r="H6" s="90"/>
      <c r="I6" s="137"/>
      <c r="J6" s="138"/>
      <c r="K6" s="137"/>
      <c r="L6" s="90"/>
      <c r="M6" s="90"/>
      <c r="N6" s="138"/>
      <c r="O6" s="138"/>
      <c r="P6" s="136"/>
      <c r="Q6" s="138"/>
      <c r="R6" s="137"/>
      <c r="S6" s="91">
        <f t="shared" ref="S6:AF6" si="0">S7</f>
        <v>0</v>
      </c>
      <c r="T6" s="91">
        <f t="shared" si="0"/>
        <v>0</v>
      </c>
      <c r="U6" s="91">
        <f t="shared" si="0"/>
        <v>0</v>
      </c>
      <c r="V6" s="91">
        <f t="shared" si="0"/>
        <v>0</v>
      </c>
      <c r="W6" s="91">
        <f t="shared" si="0"/>
        <v>0</v>
      </c>
      <c r="X6" s="91">
        <f t="shared" si="0"/>
        <v>0</v>
      </c>
      <c r="Y6" s="91">
        <f t="shared" si="0"/>
        <v>0</v>
      </c>
      <c r="Z6" s="91">
        <f t="shared" si="0"/>
        <v>0</v>
      </c>
      <c r="AA6" s="91">
        <f t="shared" si="0"/>
        <v>0</v>
      </c>
      <c r="AB6" s="91">
        <f t="shared" si="0"/>
        <v>0</v>
      </c>
      <c r="AC6" s="91">
        <f t="shared" si="0"/>
        <v>75702140</v>
      </c>
      <c r="AD6" s="91">
        <f t="shared" si="0"/>
        <v>0</v>
      </c>
      <c r="AE6" s="91">
        <f t="shared" si="0"/>
        <v>0</v>
      </c>
      <c r="AF6" s="91">
        <f t="shared" si="0"/>
        <v>75702140</v>
      </c>
      <c r="AG6" s="310"/>
      <c r="AH6" s="310"/>
      <c r="AI6" s="310"/>
    </row>
    <row r="7" spans="1:35" s="92" customFormat="1" ht="15.75" x14ac:dyDescent="0.25">
      <c r="A7" s="280"/>
      <c r="B7" s="170">
        <v>4</v>
      </c>
      <c r="C7" s="93" t="s">
        <v>44</v>
      </c>
      <c r="D7" s="94"/>
      <c r="E7" s="94"/>
      <c r="F7" s="95"/>
      <c r="G7" s="96"/>
      <c r="H7" s="97"/>
      <c r="I7" s="95"/>
      <c r="J7" s="96"/>
      <c r="K7" s="95"/>
      <c r="L7" s="98"/>
      <c r="M7" s="98"/>
      <c r="N7" s="96"/>
      <c r="O7" s="96"/>
      <c r="P7" s="94"/>
      <c r="Q7" s="96"/>
      <c r="R7" s="95"/>
      <c r="S7" s="99">
        <f t="shared" ref="S7:AF7" si="1">S8+S11</f>
        <v>0</v>
      </c>
      <c r="T7" s="99">
        <f t="shared" si="1"/>
        <v>0</v>
      </c>
      <c r="U7" s="99">
        <f t="shared" si="1"/>
        <v>0</v>
      </c>
      <c r="V7" s="99">
        <f t="shared" si="1"/>
        <v>0</v>
      </c>
      <c r="W7" s="99">
        <f t="shared" si="1"/>
        <v>0</v>
      </c>
      <c r="X7" s="99">
        <f t="shared" si="1"/>
        <v>0</v>
      </c>
      <c r="Y7" s="99">
        <f t="shared" si="1"/>
        <v>0</v>
      </c>
      <c r="Z7" s="99">
        <f t="shared" si="1"/>
        <v>0</v>
      </c>
      <c r="AA7" s="99">
        <f t="shared" si="1"/>
        <v>0</v>
      </c>
      <c r="AB7" s="99">
        <f t="shared" si="1"/>
        <v>0</v>
      </c>
      <c r="AC7" s="99">
        <f t="shared" si="1"/>
        <v>75702140</v>
      </c>
      <c r="AD7" s="99">
        <f t="shared" si="1"/>
        <v>0</v>
      </c>
      <c r="AE7" s="99">
        <f t="shared" si="1"/>
        <v>0</v>
      </c>
      <c r="AF7" s="99">
        <f t="shared" si="1"/>
        <v>75702140</v>
      </c>
      <c r="AH7" s="310"/>
    </row>
    <row r="8" spans="1:35" ht="15.75" x14ac:dyDescent="0.2">
      <c r="A8" s="281"/>
      <c r="B8" s="433"/>
      <c r="C8" s="424">
        <v>45</v>
      </c>
      <c r="D8" s="104" t="s">
        <v>45</v>
      </c>
      <c r="E8" s="424" t="s">
        <v>46</v>
      </c>
      <c r="F8" s="100"/>
      <c r="G8" s="101"/>
      <c r="H8" s="102"/>
      <c r="I8" s="100"/>
      <c r="J8" s="101"/>
      <c r="K8" s="100"/>
      <c r="L8" s="103"/>
      <c r="M8" s="103"/>
      <c r="N8" s="101"/>
      <c r="O8" s="101"/>
      <c r="P8" s="104"/>
      <c r="Q8" s="101"/>
      <c r="R8" s="100"/>
      <c r="S8" s="105">
        <f t="shared" ref="S8:AF8" si="2">SUM(S9:S10)</f>
        <v>0</v>
      </c>
      <c r="T8" s="105">
        <f t="shared" si="2"/>
        <v>0</v>
      </c>
      <c r="U8" s="105">
        <f t="shared" si="2"/>
        <v>0</v>
      </c>
      <c r="V8" s="105">
        <f t="shared" si="2"/>
        <v>0</v>
      </c>
      <c r="W8" s="105">
        <f t="shared" si="2"/>
        <v>0</v>
      </c>
      <c r="X8" s="105">
        <f t="shared" si="2"/>
        <v>0</v>
      </c>
      <c r="Y8" s="105">
        <f t="shared" si="2"/>
        <v>0</v>
      </c>
      <c r="Z8" s="105">
        <f t="shared" si="2"/>
        <v>0</v>
      </c>
      <c r="AA8" s="105">
        <f t="shared" si="2"/>
        <v>0</v>
      </c>
      <c r="AB8" s="105">
        <f t="shared" si="2"/>
        <v>0</v>
      </c>
      <c r="AC8" s="105">
        <f t="shared" si="2"/>
        <v>45702140</v>
      </c>
      <c r="AD8" s="105">
        <f t="shared" si="2"/>
        <v>0</v>
      </c>
      <c r="AE8" s="105">
        <f t="shared" si="2"/>
        <v>0</v>
      </c>
      <c r="AF8" s="105">
        <f t="shared" si="2"/>
        <v>45702140</v>
      </c>
      <c r="AH8" s="310"/>
    </row>
    <row r="9" spans="1:35" ht="111.75" customHeight="1" x14ac:dyDescent="0.2">
      <c r="A9" s="281"/>
      <c r="B9" s="434"/>
      <c r="C9" s="423"/>
      <c r="D9" s="421"/>
      <c r="E9" s="412" t="s">
        <v>45</v>
      </c>
      <c r="F9" s="411" t="s">
        <v>47</v>
      </c>
      <c r="G9" s="316" t="s">
        <v>48</v>
      </c>
      <c r="H9" s="412" t="s">
        <v>45</v>
      </c>
      <c r="I9" s="411" t="s">
        <v>1319</v>
      </c>
      <c r="J9" s="316" t="s">
        <v>49</v>
      </c>
      <c r="K9" s="411" t="s">
        <v>50</v>
      </c>
      <c r="L9" s="412" t="s">
        <v>51</v>
      </c>
      <c r="M9" s="220">
        <v>5</v>
      </c>
      <c r="N9" s="220">
        <v>5</v>
      </c>
      <c r="O9" s="220">
        <v>5</v>
      </c>
      <c r="P9" s="410" t="s">
        <v>52</v>
      </c>
      <c r="Q9" s="412" t="s">
        <v>53</v>
      </c>
      <c r="R9" s="411" t="s">
        <v>54</v>
      </c>
      <c r="S9" s="2"/>
      <c r="T9" s="2"/>
      <c r="U9" s="2"/>
      <c r="V9" s="2"/>
      <c r="W9" s="2"/>
      <c r="X9" s="2"/>
      <c r="Y9" s="2"/>
      <c r="Z9" s="2"/>
      <c r="AA9" s="2"/>
      <c r="AB9" s="2"/>
      <c r="AC9" s="367">
        <f>60000000-30000000</f>
        <v>30000000</v>
      </c>
      <c r="AD9" s="2"/>
      <c r="AE9" s="2"/>
      <c r="AF9" s="106">
        <f>+S9+T9+U9+V9+W9+X9+Y9+Z9+AA9+AB9+AC9+AD9+AE9</f>
        <v>30000000</v>
      </c>
      <c r="AH9" s="310"/>
    </row>
    <row r="10" spans="1:35" ht="142.5" customHeight="1" x14ac:dyDescent="0.2">
      <c r="A10" s="281"/>
      <c r="B10" s="434"/>
      <c r="C10" s="423"/>
      <c r="D10" s="421"/>
      <c r="E10" s="412" t="s">
        <v>45</v>
      </c>
      <c r="F10" s="411" t="s">
        <v>47</v>
      </c>
      <c r="G10" s="316" t="s">
        <v>55</v>
      </c>
      <c r="H10" s="412" t="s">
        <v>45</v>
      </c>
      <c r="I10" s="411" t="s">
        <v>56</v>
      </c>
      <c r="J10" s="316" t="s">
        <v>57</v>
      </c>
      <c r="K10" s="411" t="s">
        <v>58</v>
      </c>
      <c r="L10" s="412" t="s">
        <v>51</v>
      </c>
      <c r="M10" s="220">
        <v>4</v>
      </c>
      <c r="N10" s="220">
        <v>4</v>
      </c>
      <c r="O10" s="220">
        <v>4</v>
      </c>
      <c r="P10" s="410" t="s">
        <v>52</v>
      </c>
      <c r="Q10" s="412" t="s">
        <v>59</v>
      </c>
      <c r="R10" s="411" t="s">
        <v>60</v>
      </c>
      <c r="S10" s="2"/>
      <c r="T10" s="2"/>
      <c r="U10" s="2"/>
      <c r="V10" s="2"/>
      <c r="W10" s="2"/>
      <c r="X10" s="2"/>
      <c r="Y10" s="2"/>
      <c r="Z10" s="2"/>
      <c r="AA10" s="2"/>
      <c r="AB10" s="2"/>
      <c r="AC10" s="368">
        <f>31000000-15297860</f>
        <v>15702140</v>
      </c>
      <c r="AD10" s="2"/>
      <c r="AE10" s="2"/>
      <c r="AF10" s="106">
        <f>+S10+T10+U10+V10+W10+X10+Y10+Z10+AA10+AB10+AC10+AD10+AE10</f>
        <v>15702140</v>
      </c>
      <c r="AH10" s="310"/>
    </row>
    <row r="11" spans="1:35" ht="15.75" x14ac:dyDescent="0.2">
      <c r="A11" s="281"/>
      <c r="B11" s="434"/>
      <c r="C11" s="424">
        <v>42</v>
      </c>
      <c r="D11" s="104">
        <v>4502</v>
      </c>
      <c r="E11" s="147" t="s">
        <v>61</v>
      </c>
      <c r="F11" s="100"/>
      <c r="G11" s="101"/>
      <c r="H11" s="102"/>
      <c r="I11" s="100"/>
      <c r="J11" s="101"/>
      <c r="K11" s="100"/>
      <c r="L11" s="103"/>
      <c r="M11" s="103"/>
      <c r="N11" s="101"/>
      <c r="O11" s="101"/>
      <c r="P11" s="274"/>
      <c r="Q11" s="101"/>
      <c r="R11" s="100"/>
      <c r="S11" s="105">
        <f t="shared" ref="S11:AF11" si="3">SUM(S12)</f>
        <v>0</v>
      </c>
      <c r="T11" s="105">
        <f t="shared" si="3"/>
        <v>0</v>
      </c>
      <c r="U11" s="105">
        <f t="shared" si="3"/>
        <v>0</v>
      </c>
      <c r="V11" s="105">
        <f t="shared" si="3"/>
        <v>0</v>
      </c>
      <c r="W11" s="105">
        <f t="shared" si="3"/>
        <v>0</v>
      </c>
      <c r="X11" s="105">
        <f t="shared" si="3"/>
        <v>0</v>
      </c>
      <c r="Y11" s="105">
        <f t="shared" si="3"/>
        <v>0</v>
      </c>
      <c r="Z11" s="105">
        <f t="shared" si="3"/>
        <v>0</v>
      </c>
      <c r="AA11" s="105">
        <f t="shared" si="3"/>
        <v>0</v>
      </c>
      <c r="AB11" s="105">
        <f t="shared" si="3"/>
        <v>0</v>
      </c>
      <c r="AC11" s="369">
        <f t="shared" si="3"/>
        <v>30000000</v>
      </c>
      <c r="AD11" s="105">
        <f t="shared" si="3"/>
        <v>0</v>
      </c>
      <c r="AE11" s="105">
        <f t="shared" si="3"/>
        <v>0</v>
      </c>
      <c r="AF11" s="105">
        <f t="shared" si="3"/>
        <v>30000000</v>
      </c>
      <c r="AH11" s="310"/>
    </row>
    <row r="12" spans="1:35" ht="106.5" customHeight="1" x14ac:dyDescent="0.2">
      <c r="A12" s="282"/>
      <c r="B12" s="441"/>
      <c r="C12" s="423"/>
      <c r="D12" s="421"/>
      <c r="E12" s="412" t="s">
        <v>45</v>
      </c>
      <c r="F12" s="410" t="s">
        <v>62</v>
      </c>
      <c r="G12" s="412" t="s">
        <v>63</v>
      </c>
      <c r="H12" s="412" t="s">
        <v>45</v>
      </c>
      <c r="I12" s="411" t="s">
        <v>64</v>
      </c>
      <c r="J12" s="195" t="s">
        <v>65</v>
      </c>
      <c r="K12" s="196" t="s">
        <v>66</v>
      </c>
      <c r="L12" s="412" t="s">
        <v>51</v>
      </c>
      <c r="M12" s="412">
        <v>1</v>
      </c>
      <c r="N12" s="129">
        <v>1</v>
      </c>
      <c r="O12" s="220">
        <v>1</v>
      </c>
      <c r="P12" s="411" t="s">
        <v>67</v>
      </c>
      <c r="Q12" s="412" t="s">
        <v>68</v>
      </c>
      <c r="R12" s="411" t="s">
        <v>0</v>
      </c>
      <c r="S12" s="2"/>
      <c r="T12" s="2"/>
      <c r="U12" s="2"/>
      <c r="V12" s="2"/>
      <c r="W12" s="2"/>
      <c r="X12" s="2"/>
      <c r="Y12" s="2"/>
      <c r="Z12" s="2"/>
      <c r="AA12" s="2"/>
      <c r="AB12" s="2"/>
      <c r="AC12" s="370">
        <f>55122927.21+0.39-25122927.6</f>
        <v>30000000</v>
      </c>
      <c r="AD12" s="2"/>
      <c r="AE12" s="2"/>
      <c r="AF12" s="106">
        <f>+S12+T12+U12+V12+W12+X12+Y12+Z12+AA12+AB12+AC12+AD12+AE12</f>
        <v>30000000</v>
      </c>
      <c r="AH12" s="310"/>
    </row>
    <row r="13" spans="1:35" s="92" customFormat="1" ht="18" customHeight="1" x14ac:dyDescent="0.25">
      <c r="A13" s="135" t="s">
        <v>69</v>
      </c>
      <c r="B13" s="135"/>
      <c r="C13" s="135"/>
      <c r="D13" s="136"/>
      <c r="E13" s="136"/>
      <c r="F13" s="137"/>
      <c r="G13" s="138"/>
      <c r="H13" s="90"/>
      <c r="I13" s="137"/>
      <c r="J13" s="138"/>
      <c r="K13" s="137"/>
      <c r="L13" s="90"/>
      <c r="M13" s="90"/>
      <c r="N13" s="138"/>
      <c r="O13" s="138"/>
      <c r="P13" s="275"/>
      <c r="Q13" s="138"/>
      <c r="R13" s="137"/>
      <c r="S13" s="107">
        <f t="shared" ref="S13:AF13" si="4">S14</f>
        <v>0</v>
      </c>
      <c r="T13" s="107">
        <f t="shared" si="4"/>
        <v>0</v>
      </c>
      <c r="U13" s="107">
        <f t="shared" si="4"/>
        <v>0</v>
      </c>
      <c r="V13" s="107">
        <f t="shared" si="4"/>
        <v>0</v>
      </c>
      <c r="W13" s="107">
        <f t="shared" si="4"/>
        <v>0</v>
      </c>
      <c r="X13" s="107">
        <f t="shared" si="4"/>
        <v>0</v>
      </c>
      <c r="Y13" s="107">
        <f t="shared" si="4"/>
        <v>0</v>
      </c>
      <c r="Z13" s="107">
        <f t="shared" si="4"/>
        <v>0</v>
      </c>
      <c r="AA13" s="107">
        <f t="shared" si="4"/>
        <v>0</v>
      </c>
      <c r="AB13" s="107">
        <f t="shared" si="4"/>
        <v>0</v>
      </c>
      <c r="AC13" s="107">
        <f t="shared" si="4"/>
        <v>677628511</v>
      </c>
      <c r="AD13" s="107">
        <f t="shared" si="4"/>
        <v>0</v>
      </c>
      <c r="AE13" s="107">
        <f t="shared" si="4"/>
        <v>0</v>
      </c>
      <c r="AF13" s="107">
        <f t="shared" si="4"/>
        <v>677628511</v>
      </c>
      <c r="AG13" s="310"/>
      <c r="AH13" s="310"/>
      <c r="AI13" s="310"/>
    </row>
    <row r="14" spans="1:35" ht="20.25" customHeight="1" x14ac:dyDescent="0.2">
      <c r="A14" s="283"/>
      <c r="B14" s="170">
        <v>4</v>
      </c>
      <c r="C14" s="93" t="s">
        <v>70</v>
      </c>
      <c r="D14" s="94"/>
      <c r="E14" s="94"/>
      <c r="F14" s="95"/>
      <c r="G14" s="96"/>
      <c r="H14" s="97"/>
      <c r="I14" s="95"/>
      <c r="J14" s="96"/>
      <c r="K14" s="95"/>
      <c r="L14" s="98"/>
      <c r="M14" s="98"/>
      <c r="N14" s="96"/>
      <c r="O14" s="96"/>
      <c r="P14" s="276"/>
      <c r="Q14" s="96"/>
      <c r="R14" s="95"/>
      <c r="S14" s="108">
        <f t="shared" ref="S14:AF14" si="5">S15+S17</f>
        <v>0</v>
      </c>
      <c r="T14" s="108">
        <f t="shared" si="5"/>
        <v>0</v>
      </c>
      <c r="U14" s="108">
        <f t="shared" si="5"/>
        <v>0</v>
      </c>
      <c r="V14" s="108">
        <f t="shared" si="5"/>
        <v>0</v>
      </c>
      <c r="W14" s="108">
        <f t="shared" si="5"/>
        <v>0</v>
      </c>
      <c r="X14" s="108">
        <f t="shared" si="5"/>
        <v>0</v>
      </c>
      <c r="Y14" s="108">
        <f t="shared" si="5"/>
        <v>0</v>
      </c>
      <c r="Z14" s="108">
        <f t="shared" si="5"/>
        <v>0</v>
      </c>
      <c r="AA14" s="108">
        <f t="shared" si="5"/>
        <v>0</v>
      </c>
      <c r="AB14" s="108">
        <f t="shared" si="5"/>
        <v>0</v>
      </c>
      <c r="AC14" s="108">
        <f t="shared" si="5"/>
        <v>677628511</v>
      </c>
      <c r="AD14" s="108">
        <f t="shared" si="5"/>
        <v>0</v>
      </c>
      <c r="AE14" s="108">
        <f t="shared" si="5"/>
        <v>0</v>
      </c>
      <c r="AF14" s="108">
        <f t="shared" si="5"/>
        <v>677628511</v>
      </c>
      <c r="AH14" s="310"/>
    </row>
    <row r="15" spans="1:35" ht="18.75" customHeight="1" x14ac:dyDescent="0.2">
      <c r="A15" s="281"/>
      <c r="B15" s="433"/>
      <c r="C15" s="424">
        <v>42</v>
      </c>
      <c r="D15" s="104">
        <v>4502</v>
      </c>
      <c r="E15" s="424" t="s">
        <v>61</v>
      </c>
      <c r="F15" s="100"/>
      <c r="G15" s="101"/>
      <c r="H15" s="102"/>
      <c r="I15" s="100"/>
      <c r="J15" s="101"/>
      <c r="K15" s="100"/>
      <c r="L15" s="103"/>
      <c r="M15" s="103"/>
      <c r="N15" s="101"/>
      <c r="O15" s="101"/>
      <c r="P15" s="274"/>
      <c r="Q15" s="101"/>
      <c r="R15" s="100"/>
      <c r="S15" s="22">
        <f t="shared" ref="S15:AF15" si="6">S16</f>
        <v>0</v>
      </c>
      <c r="T15" s="22">
        <f t="shared" si="6"/>
        <v>0</v>
      </c>
      <c r="U15" s="22">
        <f t="shared" si="6"/>
        <v>0</v>
      </c>
      <c r="V15" s="22">
        <f t="shared" si="6"/>
        <v>0</v>
      </c>
      <c r="W15" s="22">
        <f t="shared" si="6"/>
        <v>0</v>
      </c>
      <c r="X15" s="22">
        <f t="shared" si="6"/>
        <v>0</v>
      </c>
      <c r="Y15" s="22">
        <f t="shared" si="6"/>
        <v>0</v>
      </c>
      <c r="Z15" s="22">
        <f t="shared" si="6"/>
        <v>0</v>
      </c>
      <c r="AA15" s="22">
        <f t="shared" si="6"/>
        <v>0</v>
      </c>
      <c r="AB15" s="22">
        <f t="shared" si="6"/>
        <v>0</v>
      </c>
      <c r="AC15" s="22">
        <f t="shared" si="6"/>
        <v>102285179</v>
      </c>
      <c r="AD15" s="22">
        <f t="shared" si="6"/>
        <v>0</v>
      </c>
      <c r="AE15" s="22">
        <f t="shared" si="6"/>
        <v>0</v>
      </c>
      <c r="AF15" s="22">
        <f t="shared" si="6"/>
        <v>102285179</v>
      </c>
      <c r="AH15" s="310"/>
    </row>
    <row r="16" spans="1:35" ht="93.75" customHeight="1" x14ac:dyDescent="0.2">
      <c r="A16" s="281"/>
      <c r="B16" s="434"/>
      <c r="C16" s="240"/>
      <c r="D16" s="412"/>
      <c r="E16" s="412" t="s">
        <v>45</v>
      </c>
      <c r="F16" s="410" t="s">
        <v>71</v>
      </c>
      <c r="G16" s="412" t="s">
        <v>72</v>
      </c>
      <c r="H16" s="412" t="s">
        <v>45</v>
      </c>
      <c r="I16" s="410" t="s">
        <v>73</v>
      </c>
      <c r="J16" s="195" t="s">
        <v>74</v>
      </c>
      <c r="K16" s="196" t="s">
        <v>75</v>
      </c>
      <c r="L16" s="412" t="s">
        <v>51</v>
      </c>
      <c r="M16" s="412">
        <v>1</v>
      </c>
      <c r="N16" s="129">
        <v>1</v>
      </c>
      <c r="O16" s="220">
        <v>1</v>
      </c>
      <c r="P16" s="411" t="s">
        <v>67</v>
      </c>
      <c r="Q16" s="412" t="s">
        <v>76</v>
      </c>
      <c r="R16" s="410" t="s">
        <v>77</v>
      </c>
      <c r="S16" s="2"/>
      <c r="T16" s="2"/>
      <c r="U16" s="2"/>
      <c r="V16" s="2"/>
      <c r="W16" s="2"/>
      <c r="X16" s="2"/>
      <c r="Y16" s="2"/>
      <c r="Z16" s="2"/>
      <c r="AA16" s="2"/>
      <c r="AB16" s="2"/>
      <c r="AC16" s="8">
        <f>200000000-97714821</f>
        <v>102285179</v>
      </c>
      <c r="AD16" s="2"/>
      <c r="AE16" s="2"/>
      <c r="AF16" s="106">
        <f>+S16+T16+U16+V16+W16+X16+Y16+Z16+AA16+AB16+AC16+AD16+AE16</f>
        <v>102285179</v>
      </c>
      <c r="AH16" s="310"/>
    </row>
    <row r="17" spans="1:35" ht="18.75" customHeight="1" x14ac:dyDescent="0.2">
      <c r="A17" s="281"/>
      <c r="B17" s="434"/>
      <c r="C17" s="424">
        <v>45</v>
      </c>
      <c r="D17" s="104" t="s">
        <v>45</v>
      </c>
      <c r="E17" s="424" t="s">
        <v>78</v>
      </c>
      <c r="F17" s="100"/>
      <c r="G17" s="101"/>
      <c r="H17" s="102"/>
      <c r="I17" s="100"/>
      <c r="J17" s="101"/>
      <c r="K17" s="100"/>
      <c r="L17" s="103"/>
      <c r="M17" s="103"/>
      <c r="N17" s="101"/>
      <c r="O17" s="101"/>
      <c r="P17" s="274"/>
      <c r="Q17" s="101"/>
      <c r="R17" s="100"/>
      <c r="S17" s="22">
        <f t="shared" ref="S17:AF17" si="7">SUM(S18:S28)</f>
        <v>0</v>
      </c>
      <c r="T17" s="22">
        <f t="shared" si="7"/>
        <v>0</v>
      </c>
      <c r="U17" s="22">
        <f t="shared" si="7"/>
        <v>0</v>
      </c>
      <c r="V17" s="22">
        <f t="shared" si="7"/>
        <v>0</v>
      </c>
      <c r="W17" s="22">
        <f t="shared" si="7"/>
        <v>0</v>
      </c>
      <c r="X17" s="22">
        <f t="shared" si="7"/>
        <v>0</v>
      </c>
      <c r="Y17" s="22">
        <f t="shared" si="7"/>
        <v>0</v>
      </c>
      <c r="Z17" s="22">
        <f t="shared" si="7"/>
        <v>0</v>
      </c>
      <c r="AA17" s="22">
        <f t="shared" si="7"/>
        <v>0</v>
      </c>
      <c r="AB17" s="22">
        <f t="shared" si="7"/>
        <v>0</v>
      </c>
      <c r="AC17" s="22">
        <f t="shared" si="7"/>
        <v>575343332</v>
      </c>
      <c r="AD17" s="22">
        <f t="shared" si="7"/>
        <v>0</v>
      </c>
      <c r="AE17" s="22">
        <f t="shared" si="7"/>
        <v>0</v>
      </c>
      <c r="AF17" s="22">
        <f t="shared" si="7"/>
        <v>575343332</v>
      </c>
      <c r="AH17" s="310"/>
    </row>
    <row r="18" spans="1:35" ht="138.75" customHeight="1" x14ac:dyDescent="0.2">
      <c r="A18" s="281"/>
      <c r="B18" s="434"/>
      <c r="C18" s="240"/>
      <c r="D18" s="412"/>
      <c r="E18" s="412" t="s">
        <v>45</v>
      </c>
      <c r="F18" s="411" t="s">
        <v>47</v>
      </c>
      <c r="G18" s="316" t="s">
        <v>79</v>
      </c>
      <c r="H18" s="412" t="s">
        <v>45</v>
      </c>
      <c r="I18" s="410" t="s">
        <v>1320</v>
      </c>
      <c r="J18" s="412" t="s">
        <v>80</v>
      </c>
      <c r="K18" s="410" t="s">
        <v>81</v>
      </c>
      <c r="L18" s="235" t="s">
        <v>51</v>
      </c>
      <c r="M18" s="235">
        <v>1</v>
      </c>
      <c r="N18" s="412">
        <v>1</v>
      </c>
      <c r="O18" s="253">
        <v>1</v>
      </c>
      <c r="P18" s="410" t="s">
        <v>52</v>
      </c>
      <c r="Q18" s="412" t="s">
        <v>82</v>
      </c>
      <c r="R18" s="410" t="s">
        <v>83</v>
      </c>
      <c r="S18" s="109"/>
      <c r="T18" s="109"/>
      <c r="U18" s="109"/>
      <c r="V18" s="109"/>
      <c r="W18" s="109"/>
      <c r="X18" s="109"/>
      <c r="Y18" s="109"/>
      <c r="Z18" s="109"/>
      <c r="AA18" s="109"/>
      <c r="AB18" s="109"/>
      <c r="AC18" s="20">
        <v>153233333</v>
      </c>
      <c r="AD18" s="109"/>
      <c r="AE18" s="109"/>
      <c r="AF18" s="106">
        <f t="shared" ref="AF18:AF28" si="8">+S18+T18+U18+V18+W18+X18+Y18+Z18+AA18+AB18+AC18+AD18+AE18</f>
        <v>153233333</v>
      </c>
      <c r="AH18" s="310"/>
    </row>
    <row r="19" spans="1:35" s="110" customFormat="1" ht="151.5" customHeight="1" x14ac:dyDescent="0.2">
      <c r="A19" s="284"/>
      <c r="B19" s="285"/>
      <c r="C19" s="1"/>
      <c r="D19" s="316"/>
      <c r="E19" s="412" t="s">
        <v>45</v>
      </c>
      <c r="F19" s="411" t="s">
        <v>47</v>
      </c>
      <c r="G19" s="316" t="s">
        <v>79</v>
      </c>
      <c r="H19" s="412" t="s">
        <v>45</v>
      </c>
      <c r="I19" s="410" t="s">
        <v>84</v>
      </c>
      <c r="J19" s="412" t="s">
        <v>80</v>
      </c>
      <c r="K19" s="410" t="s">
        <v>81</v>
      </c>
      <c r="L19" s="241" t="s">
        <v>51</v>
      </c>
      <c r="M19" s="242">
        <v>4</v>
      </c>
      <c r="N19" s="412">
        <v>4</v>
      </c>
      <c r="O19" s="253">
        <v>4</v>
      </c>
      <c r="P19" s="410" t="s">
        <v>52</v>
      </c>
      <c r="Q19" s="412" t="s">
        <v>85</v>
      </c>
      <c r="R19" s="410" t="s">
        <v>86</v>
      </c>
      <c r="S19" s="243"/>
      <c r="T19" s="243"/>
      <c r="U19" s="243"/>
      <c r="V19" s="243"/>
      <c r="W19" s="243"/>
      <c r="X19" s="243"/>
      <c r="Y19" s="243"/>
      <c r="Z19" s="243"/>
      <c r="AA19" s="243"/>
      <c r="AB19" s="243"/>
      <c r="AC19" s="244">
        <f>85000000+120000000-20000000-30000000-61083333</f>
        <v>93916667</v>
      </c>
      <c r="AD19" s="243"/>
      <c r="AE19" s="243"/>
      <c r="AF19" s="106">
        <f t="shared" si="8"/>
        <v>93916667</v>
      </c>
      <c r="AH19" s="310"/>
    </row>
    <row r="20" spans="1:35" ht="66" customHeight="1" x14ac:dyDescent="0.2">
      <c r="A20" s="281"/>
      <c r="B20" s="434"/>
      <c r="C20" s="240"/>
      <c r="D20" s="412"/>
      <c r="E20" s="412" t="s">
        <v>45</v>
      </c>
      <c r="F20" s="411" t="s">
        <v>47</v>
      </c>
      <c r="G20" s="316" t="s">
        <v>87</v>
      </c>
      <c r="H20" s="412" t="s">
        <v>45</v>
      </c>
      <c r="I20" s="410" t="s">
        <v>88</v>
      </c>
      <c r="J20" s="412" t="s">
        <v>89</v>
      </c>
      <c r="K20" s="410" t="s">
        <v>90</v>
      </c>
      <c r="L20" s="3" t="s">
        <v>51</v>
      </c>
      <c r="M20" s="4">
        <v>1</v>
      </c>
      <c r="N20" s="412">
        <v>1</v>
      </c>
      <c r="O20" s="253">
        <v>1</v>
      </c>
      <c r="P20" s="410" t="s">
        <v>52</v>
      </c>
      <c r="Q20" s="412" t="s">
        <v>91</v>
      </c>
      <c r="R20" s="410" t="s">
        <v>92</v>
      </c>
      <c r="S20" s="2"/>
      <c r="T20" s="2"/>
      <c r="U20" s="2"/>
      <c r="V20" s="2"/>
      <c r="W20" s="2"/>
      <c r="X20" s="2"/>
      <c r="Y20" s="2"/>
      <c r="Z20" s="2"/>
      <c r="AA20" s="2"/>
      <c r="AB20" s="2"/>
      <c r="AC20" s="8">
        <f>40000000-15093334</f>
        <v>24906666</v>
      </c>
      <c r="AD20" s="2"/>
      <c r="AE20" s="2"/>
      <c r="AF20" s="106">
        <f t="shared" si="8"/>
        <v>24906666</v>
      </c>
      <c r="AH20" s="310"/>
    </row>
    <row r="21" spans="1:35" ht="86.25" customHeight="1" x14ac:dyDescent="0.2">
      <c r="A21" s="281"/>
      <c r="B21" s="434"/>
      <c r="C21" s="240"/>
      <c r="D21" s="412"/>
      <c r="E21" s="412" t="s">
        <v>45</v>
      </c>
      <c r="F21" s="411" t="s">
        <v>47</v>
      </c>
      <c r="G21" s="316" t="s">
        <v>93</v>
      </c>
      <c r="H21" s="412" t="s">
        <v>45</v>
      </c>
      <c r="I21" s="410" t="s">
        <v>94</v>
      </c>
      <c r="J21" s="412" t="s">
        <v>95</v>
      </c>
      <c r="K21" s="410" t="s">
        <v>96</v>
      </c>
      <c r="L21" s="3" t="s">
        <v>51</v>
      </c>
      <c r="M21" s="4">
        <v>1</v>
      </c>
      <c r="N21" s="412">
        <v>1</v>
      </c>
      <c r="O21" s="253">
        <v>1</v>
      </c>
      <c r="P21" s="410" t="s">
        <v>52</v>
      </c>
      <c r="Q21" s="412" t="s">
        <v>97</v>
      </c>
      <c r="R21" s="410" t="s">
        <v>1321</v>
      </c>
      <c r="S21" s="2"/>
      <c r="T21" s="2"/>
      <c r="U21" s="2"/>
      <c r="V21" s="2"/>
      <c r="W21" s="2"/>
      <c r="X21" s="2"/>
      <c r="Y21" s="2"/>
      <c r="Z21" s="2"/>
      <c r="AA21" s="2"/>
      <c r="AB21" s="2"/>
      <c r="AC21" s="8">
        <f>300000000-50000000-101213334</f>
        <v>148786666</v>
      </c>
      <c r="AD21" s="2"/>
      <c r="AE21" s="2"/>
      <c r="AF21" s="106">
        <f t="shared" si="8"/>
        <v>148786666</v>
      </c>
      <c r="AH21" s="310"/>
    </row>
    <row r="22" spans="1:35" ht="119.25" customHeight="1" x14ac:dyDescent="0.2">
      <c r="A22" s="281"/>
      <c r="B22" s="434"/>
      <c r="C22" s="240"/>
      <c r="D22" s="412"/>
      <c r="E22" s="412" t="s">
        <v>45</v>
      </c>
      <c r="F22" s="410" t="s">
        <v>99</v>
      </c>
      <c r="G22" s="412" t="s">
        <v>100</v>
      </c>
      <c r="H22" s="412" t="s">
        <v>45</v>
      </c>
      <c r="I22" s="410" t="s">
        <v>101</v>
      </c>
      <c r="J22" s="412" t="s">
        <v>102</v>
      </c>
      <c r="K22" s="410" t="s">
        <v>103</v>
      </c>
      <c r="L22" s="3" t="s">
        <v>51</v>
      </c>
      <c r="M22" s="4">
        <v>12</v>
      </c>
      <c r="N22" s="412">
        <v>12</v>
      </c>
      <c r="O22" s="253">
        <v>12</v>
      </c>
      <c r="P22" s="471" t="s">
        <v>52</v>
      </c>
      <c r="Q22" s="470" t="s">
        <v>104</v>
      </c>
      <c r="R22" s="471" t="s">
        <v>105</v>
      </c>
      <c r="S22" s="2"/>
      <c r="T22" s="2"/>
      <c r="U22" s="2"/>
      <c r="V22" s="2"/>
      <c r="W22" s="2"/>
      <c r="X22" s="2"/>
      <c r="Y22" s="2"/>
      <c r="Z22" s="2"/>
      <c r="AA22" s="2"/>
      <c r="AB22" s="2"/>
      <c r="AC22" s="8">
        <f>83325000-45825000-3000000</f>
        <v>34500000</v>
      </c>
      <c r="AD22" s="2"/>
      <c r="AE22" s="2"/>
      <c r="AF22" s="106">
        <f t="shared" si="8"/>
        <v>34500000</v>
      </c>
      <c r="AH22" s="310"/>
    </row>
    <row r="23" spans="1:35" ht="80.25" customHeight="1" x14ac:dyDescent="0.2">
      <c r="A23" s="281"/>
      <c r="B23" s="434"/>
      <c r="C23" s="240"/>
      <c r="D23" s="412"/>
      <c r="E23" s="412" t="s">
        <v>45</v>
      </c>
      <c r="F23" s="410" t="s">
        <v>99</v>
      </c>
      <c r="G23" s="412" t="s">
        <v>106</v>
      </c>
      <c r="H23" s="412" t="s">
        <v>45</v>
      </c>
      <c r="I23" s="410" t="s">
        <v>107</v>
      </c>
      <c r="J23" s="412" t="s">
        <v>108</v>
      </c>
      <c r="K23" s="410" t="s">
        <v>109</v>
      </c>
      <c r="L23" s="3" t="s">
        <v>51</v>
      </c>
      <c r="M23" s="4">
        <v>12</v>
      </c>
      <c r="N23" s="412">
        <v>12</v>
      </c>
      <c r="O23" s="253">
        <v>12</v>
      </c>
      <c r="P23" s="471"/>
      <c r="Q23" s="470"/>
      <c r="R23" s="471"/>
      <c r="S23" s="2"/>
      <c r="T23" s="2"/>
      <c r="U23" s="2"/>
      <c r="V23" s="2"/>
      <c r="W23" s="2"/>
      <c r="X23" s="2"/>
      <c r="Y23" s="2"/>
      <c r="Z23" s="2"/>
      <c r="AA23" s="2"/>
      <c r="AB23" s="2"/>
      <c r="AC23" s="8">
        <v>15000000</v>
      </c>
      <c r="AD23" s="2"/>
      <c r="AE23" s="2"/>
      <c r="AF23" s="106">
        <f t="shared" si="8"/>
        <v>15000000</v>
      </c>
      <c r="AH23" s="310"/>
    </row>
    <row r="24" spans="1:35" ht="83.25" customHeight="1" x14ac:dyDescent="0.2">
      <c r="A24" s="281"/>
      <c r="B24" s="434"/>
      <c r="C24" s="240"/>
      <c r="D24" s="412"/>
      <c r="E24" s="412" t="s">
        <v>45</v>
      </c>
      <c r="F24" s="410" t="s">
        <v>99</v>
      </c>
      <c r="G24" s="412" t="s">
        <v>110</v>
      </c>
      <c r="H24" s="412" t="s">
        <v>45</v>
      </c>
      <c r="I24" s="410" t="s">
        <v>111</v>
      </c>
      <c r="J24" s="412" t="s">
        <v>112</v>
      </c>
      <c r="K24" s="410" t="s">
        <v>109</v>
      </c>
      <c r="L24" s="3" t="s">
        <v>51</v>
      </c>
      <c r="M24" s="4">
        <v>12</v>
      </c>
      <c r="N24" s="412">
        <v>12</v>
      </c>
      <c r="O24" s="253">
        <v>12</v>
      </c>
      <c r="P24" s="471"/>
      <c r="Q24" s="470"/>
      <c r="R24" s="471"/>
      <c r="S24" s="2"/>
      <c r="T24" s="2"/>
      <c r="U24" s="2"/>
      <c r="V24" s="2"/>
      <c r="W24" s="2"/>
      <c r="X24" s="2"/>
      <c r="Y24" s="2"/>
      <c r="Z24" s="2"/>
      <c r="AA24" s="2"/>
      <c r="AB24" s="2"/>
      <c r="AC24" s="8">
        <f>23000000-5000000-3000000</f>
        <v>15000000</v>
      </c>
      <c r="AD24" s="2"/>
      <c r="AE24" s="2"/>
      <c r="AF24" s="106">
        <f t="shared" si="8"/>
        <v>15000000</v>
      </c>
      <c r="AH24" s="310"/>
    </row>
    <row r="25" spans="1:35" ht="109.5" customHeight="1" x14ac:dyDescent="0.2">
      <c r="A25" s="281"/>
      <c r="B25" s="434"/>
      <c r="C25" s="240"/>
      <c r="D25" s="412"/>
      <c r="E25" s="412" t="s">
        <v>45</v>
      </c>
      <c r="F25" s="411" t="s">
        <v>99</v>
      </c>
      <c r="G25" s="197" t="s">
        <v>113</v>
      </c>
      <c r="H25" s="412" t="s">
        <v>45</v>
      </c>
      <c r="I25" s="410" t="s">
        <v>114</v>
      </c>
      <c r="J25" s="197" t="s">
        <v>115</v>
      </c>
      <c r="K25" s="196" t="s">
        <v>109</v>
      </c>
      <c r="L25" s="3" t="s">
        <v>51</v>
      </c>
      <c r="M25" s="4">
        <v>12</v>
      </c>
      <c r="N25" s="412">
        <v>12</v>
      </c>
      <c r="O25" s="253">
        <v>12</v>
      </c>
      <c r="P25" s="471"/>
      <c r="Q25" s="470"/>
      <c r="R25" s="471"/>
      <c r="S25" s="2"/>
      <c r="T25" s="2"/>
      <c r="U25" s="2"/>
      <c r="V25" s="2"/>
      <c r="W25" s="2"/>
      <c r="X25" s="2"/>
      <c r="Y25" s="2"/>
      <c r="Z25" s="2"/>
      <c r="AA25" s="2"/>
      <c r="AB25" s="2"/>
      <c r="AC25" s="8">
        <f>45000000-18000000-3000000</f>
        <v>24000000</v>
      </c>
      <c r="AD25" s="2"/>
      <c r="AE25" s="2"/>
      <c r="AF25" s="106">
        <f t="shared" si="8"/>
        <v>24000000</v>
      </c>
      <c r="AH25" s="310"/>
    </row>
    <row r="26" spans="1:35" ht="105" customHeight="1" x14ac:dyDescent="0.2">
      <c r="A26" s="281"/>
      <c r="B26" s="434"/>
      <c r="C26" s="240"/>
      <c r="D26" s="412"/>
      <c r="E26" s="412" t="s">
        <v>45</v>
      </c>
      <c r="F26" s="411" t="s">
        <v>99</v>
      </c>
      <c r="G26" s="245" t="s">
        <v>116</v>
      </c>
      <c r="H26" s="412" t="s">
        <v>45</v>
      </c>
      <c r="I26" s="410" t="s">
        <v>117</v>
      </c>
      <c r="J26" s="412" t="s">
        <v>118</v>
      </c>
      <c r="K26" s="410" t="s">
        <v>109</v>
      </c>
      <c r="L26" s="3" t="s">
        <v>51</v>
      </c>
      <c r="M26" s="4">
        <v>12</v>
      </c>
      <c r="N26" s="412">
        <v>12</v>
      </c>
      <c r="O26" s="253">
        <v>12</v>
      </c>
      <c r="P26" s="471"/>
      <c r="Q26" s="470"/>
      <c r="R26" s="471"/>
      <c r="S26" s="2"/>
      <c r="T26" s="2"/>
      <c r="U26" s="2"/>
      <c r="V26" s="2"/>
      <c r="W26" s="2"/>
      <c r="X26" s="2"/>
      <c r="Y26" s="2"/>
      <c r="Z26" s="2"/>
      <c r="AA26" s="2"/>
      <c r="AB26" s="2"/>
      <c r="AC26" s="8">
        <f>23000000-5000000-3000000</f>
        <v>15000000</v>
      </c>
      <c r="AD26" s="2"/>
      <c r="AE26" s="2"/>
      <c r="AF26" s="106">
        <f t="shared" si="8"/>
        <v>15000000</v>
      </c>
      <c r="AH26" s="310"/>
    </row>
    <row r="27" spans="1:35" ht="93.75" customHeight="1" x14ac:dyDescent="0.2">
      <c r="A27" s="281"/>
      <c r="B27" s="434"/>
      <c r="C27" s="240"/>
      <c r="D27" s="412"/>
      <c r="E27" s="412" t="s">
        <v>45</v>
      </c>
      <c r="F27" s="410" t="s">
        <v>99</v>
      </c>
      <c r="G27" s="412" t="s">
        <v>119</v>
      </c>
      <c r="H27" s="412" t="s">
        <v>45</v>
      </c>
      <c r="I27" s="410" t="s">
        <v>120</v>
      </c>
      <c r="J27" s="412" t="s">
        <v>121</v>
      </c>
      <c r="K27" s="410" t="s">
        <v>109</v>
      </c>
      <c r="L27" s="3" t="s">
        <v>51</v>
      </c>
      <c r="M27" s="4">
        <v>12</v>
      </c>
      <c r="N27" s="412">
        <v>12</v>
      </c>
      <c r="O27" s="253">
        <v>12</v>
      </c>
      <c r="P27" s="471"/>
      <c r="Q27" s="470"/>
      <c r="R27" s="471"/>
      <c r="S27" s="2"/>
      <c r="T27" s="2"/>
      <c r="U27" s="2"/>
      <c r="V27" s="2"/>
      <c r="W27" s="2"/>
      <c r="X27" s="2"/>
      <c r="Y27" s="2"/>
      <c r="Z27" s="2"/>
      <c r="AA27" s="2"/>
      <c r="AB27" s="2"/>
      <c r="AC27" s="8">
        <f>17312522.3+687478-0.3-3000000</f>
        <v>15000000</v>
      </c>
      <c r="AD27" s="2"/>
      <c r="AE27" s="2"/>
      <c r="AF27" s="106">
        <f t="shared" si="8"/>
        <v>15000000</v>
      </c>
      <c r="AH27" s="310"/>
    </row>
    <row r="28" spans="1:35" ht="99.75" customHeight="1" x14ac:dyDescent="0.2">
      <c r="A28" s="282"/>
      <c r="B28" s="286"/>
      <c r="C28" s="246"/>
      <c r="D28" s="235"/>
      <c r="E28" s="412" t="s">
        <v>45</v>
      </c>
      <c r="F28" s="411" t="s">
        <v>47</v>
      </c>
      <c r="G28" s="195" t="s">
        <v>48</v>
      </c>
      <c r="H28" s="412" t="s">
        <v>45</v>
      </c>
      <c r="I28" s="410" t="s">
        <v>1319</v>
      </c>
      <c r="J28" s="412" t="s">
        <v>49</v>
      </c>
      <c r="K28" s="410" t="s">
        <v>50</v>
      </c>
      <c r="L28" s="3" t="s">
        <v>51</v>
      </c>
      <c r="M28" s="4">
        <v>18</v>
      </c>
      <c r="N28" s="412">
        <v>18</v>
      </c>
      <c r="O28" s="253">
        <v>18</v>
      </c>
      <c r="P28" s="410" t="s">
        <v>52</v>
      </c>
      <c r="Q28" s="412" t="s">
        <v>122</v>
      </c>
      <c r="R28" s="410" t="s">
        <v>123</v>
      </c>
      <c r="S28" s="112"/>
      <c r="T28" s="112"/>
      <c r="U28" s="112"/>
      <c r="V28" s="112"/>
      <c r="W28" s="112"/>
      <c r="X28" s="112"/>
      <c r="Y28" s="112"/>
      <c r="Z28" s="112"/>
      <c r="AA28" s="112"/>
      <c r="AB28" s="112"/>
      <c r="AC28" s="8">
        <f>73658667-37658667</f>
        <v>36000000</v>
      </c>
      <c r="AD28" s="112"/>
      <c r="AE28" s="112"/>
      <c r="AF28" s="106">
        <f t="shared" si="8"/>
        <v>36000000</v>
      </c>
      <c r="AH28" s="310"/>
    </row>
    <row r="29" spans="1:35" ht="15.75" x14ac:dyDescent="0.2">
      <c r="A29" s="135" t="s">
        <v>1306</v>
      </c>
      <c r="B29" s="135"/>
      <c r="C29" s="135"/>
      <c r="D29" s="136"/>
      <c r="E29" s="136"/>
      <c r="F29" s="137"/>
      <c r="G29" s="138"/>
      <c r="H29" s="90"/>
      <c r="I29" s="137"/>
      <c r="J29" s="138"/>
      <c r="K29" s="137"/>
      <c r="L29" s="90"/>
      <c r="M29" s="90"/>
      <c r="N29" s="138"/>
      <c r="O29" s="138"/>
      <c r="P29" s="275"/>
      <c r="Q29" s="138"/>
      <c r="R29" s="137"/>
      <c r="S29" s="119">
        <f t="shared" ref="S29:AB30" si="9">S30</f>
        <v>0</v>
      </c>
      <c r="T29" s="119">
        <f t="shared" si="9"/>
        <v>0</v>
      </c>
      <c r="U29" s="119">
        <f t="shared" si="9"/>
        <v>0</v>
      </c>
      <c r="V29" s="119">
        <f t="shared" si="9"/>
        <v>0</v>
      </c>
      <c r="W29" s="119">
        <f t="shared" si="9"/>
        <v>0</v>
      </c>
      <c r="X29" s="119">
        <f t="shared" si="9"/>
        <v>0</v>
      </c>
      <c r="Y29" s="119">
        <f t="shared" si="9"/>
        <v>0</v>
      </c>
      <c r="Z29" s="119">
        <f t="shared" si="9"/>
        <v>0</v>
      </c>
      <c r="AA29" s="119">
        <f t="shared" si="9"/>
        <v>0</v>
      </c>
      <c r="AB29" s="119">
        <f t="shared" si="9"/>
        <v>0</v>
      </c>
      <c r="AC29" s="119">
        <f t="shared" ref="AC29:AD30" si="10">AC30</f>
        <v>2022013477</v>
      </c>
      <c r="AD29" s="119">
        <f t="shared" si="10"/>
        <v>0</v>
      </c>
      <c r="AE29" s="119">
        <f t="shared" ref="AE29:AF30" si="11">AE30</f>
        <v>250000000</v>
      </c>
      <c r="AF29" s="119">
        <f t="shared" si="11"/>
        <v>2272013477</v>
      </c>
      <c r="AG29" s="310"/>
      <c r="AH29" s="310"/>
      <c r="AI29" s="310"/>
    </row>
    <row r="30" spans="1:35" ht="15.75" x14ac:dyDescent="0.2">
      <c r="A30" s="283"/>
      <c r="B30" s="170">
        <v>4</v>
      </c>
      <c r="C30" s="93" t="s">
        <v>70</v>
      </c>
      <c r="D30" s="94"/>
      <c r="E30" s="94"/>
      <c r="F30" s="95"/>
      <c r="G30" s="96"/>
      <c r="H30" s="97"/>
      <c r="I30" s="95"/>
      <c r="J30" s="96"/>
      <c r="K30" s="95"/>
      <c r="L30" s="98"/>
      <c r="M30" s="98"/>
      <c r="N30" s="96"/>
      <c r="O30" s="96"/>
      <c r="P30" s="276"/>
      <c r="Q30" s="96"/>
      <c r="R30" s="95"/>
      <c r="S30" s="99">
        <f t="shared" si="9"/>
        <v>0</v>
      </c>
      <c r="T30" s="99">
        <f t="shared" si="9"/>
        <v>0</v>
      </c>
      <c r="U30" s="99">
        <f t="shared" si="9"/>
        <v>0</v>
      </c>
      <c r="V30" s="99">
        <f t="shared" si="9"/>
        <v>0</v>
      </c>
      <c r="W30" s="99">
        <f t="shared" si="9"/>
        <v>0</v>
      </c>
      <c r="X30" s="99">
        <f t="shared" si="9"/>
        <v>0</v>
      </c>
      <c r="Y30" s="99">
        <f t="shared" si="9"/>
        <v>0</v>
      </c>
      <c r="Z30" s="99">
        <f t="shared" si="9"/>
        <v>0</v>
      </c>
      <c r="AA30" s="99">
        <f t="shared" si="9"/>
        <v>0</v>
      </c>
      <c r="AB30" s="99">
        <f t="shared" si="9"/>
        <v>0</v>
      </c>
      <c r="AC30" s="99">
        <f t="shared" si="10"/>
        <v>2022013477</v>
      </c>
      <c r="AD30" s="99">
        <f t="shared" si="10"/>
        <v>0</v>
      </c>
      <c r="AE30" s="99">
        <f t="shared" si="11"/>
        <v>250000000</v>
      </c>
      <c r="AF30" s="99">
        <f t="shared" si="11"/>
        <v>2272013477</v>
      </c>
      <c r="AH30" s="310"/>
    </row>
    <row r="31" spans="1:35" ht="15.75" customHeight="1" x14ac:dyDescent="0.2">
      <c r="A31" s="281"/>
      <c r="B31" s="433"/>
      <c r="C31" s="126">
        <v>45</v>
      </c>
      <c r="D31" s="101" t="s">
        <v>45</v>
      </c>
      <c r="E31" s="424" t="s">
        <v>46</v>
      </c>
      <c r="F31" s="142"/>
      <c r="G31" s="142"/>
      <c r="H31" s="142"/>
      <c r="I31" s="142"/>
      <c r="J31" s="142"/>
      <c r="K31" s="142"/>
      <c r="L31" s="142"/>
      <c r="M31" s="142"/>
      <c r="N31" s="142"/>
      <c r="O31" s="142"/>
      <c r="P31" s="100"/>
      <c r="Q31" s="101"/>
      <c r="R31" s="100"/>
      <c r="S31" s="105">
        <f>SUM(S32:S33)</f>
        <v>0</v>
      </c>
      <c r="T31" s="105">
        <f t="shared" ref="T31:AF31" si="12">SUM(T32:T33)</f>
        <v>0</v>
      </c>
      <c r="U31" s="105">
        <f t="shared" si="12"/>
        <v>0</v>
      </c>
      <c r="V31" s="105">
        <f t="shared" si="12"/>
        <v>0</v>
      </c>
      <c r="W31" s="105">
        <f t="shared" si="12"/>
        <v>0</v>
      </c>
      <c r="X31" s="105">
        <f t="shared" si="12"/>
        <v>0</v>
      </c>
      <c r="Y31" s="105">
        <f t="shared" si="12"/>
        <v>0</v>
      </c>
      <c r="Z31" s="105">
        <f t="shared" si="12"/>
        <v>0</v>
      </c>
      <c r="AA31" s="105">
        <f t="shared" si="12"/>
        <v>0</v>
      </c>
      <c r="AB31" s="105">
        <f t="shared" si="12"/>
        <v>0</v>
      </c>
      <c r="AC31" s="105">
        <f t="shared" si="12"/>
        <v>2022013477</v>
      </c>
      <c r="AD31" s="105">
        <f t="shared" si="12"/>
        <v>0</v>
      </c>
      <c r="AE31" s="105">
        <f t="shared" si="12"/>
        <v>250000000</v>
      </c>
      <c r="AF31" s="105">
        <f t="shared" si="12"/>
        <v>2272013477</v>
      </c>
      <c r="AH31" s="310"/>
    </row>
    <row r="32" spans="1:35" ht="69.75" customHeight="1" x14ac:dyDescent="0.2">
      <c r="A32" s="281"/>
      <c r="B32" s="434"/>
      <c r="C32" s="423"/>
      <c r="D32" s="421"/>
      <c r="E32" s="412" t="s">
        <v>45</v>
      </c>
      <c r="F32" s="410" t="s">
        <v>1307</v>
      </c>
      <c r="G32" s="197" t="s">
        <v>124</v>
      </c>
      <c r="H32" s="412" t="s">
        <v>45</v>
      </c>
      <c r="I32" s="120" t="s">
        <v>125</v>
      </c>
      <c r="J32" s="197" t="s">
        <v>126</v>
      </c>
      <c r="K32" s="196" t="s">
        <v>127</v>
      </c>
      <c r="L32" s="412" t="s">
        <v>51</v>
      </c>
      <c r="M32" s="412">
        <v>1</v>
      </c>
      <c r="N32" s="121">
        <v>1</v>
      </c>
      <c r="O32" s="218">
        <v>1</v>
      </c>
      <c r="P32" s="410" t="s">
        <v>52</v>
      </c>
      <c r="Q32" s="412" t="s">
        <v>128</v>
      </c>
      <c r="R32" s="410" t="s">
        <v>129</v>
      </c>
      <c r="S32" s="122"/>
      <c r="T32" s="122"/>
      <c r="U32" s="2"/>
      <c r="V32" s="122"/>
      <c r="W32" s="122"/>
      <c r="X32" s="122"/>
      <c r="Y32" s="122"/>
      <c r="Z32" s="122"/>
      <c r="AA32" s="122"/>
      <c r="AB32" s="122"/>
      <c r="AC32" s="8">
        <v>1631149477</v>
      </c>
      <c r="AD32" s="122"/>
      <c r="AE32" s="123">
        <v>250000000</v>
      </c>
      <c r="AF32" s="106">
        <f>+S32+T32+U32+V32+W32+X32+Y32+Z32+AA32+AB32+AC32+AD32+AE32</f>
        <v>1881149477</v>
      </c>
      <c r="AH32" s="310"/>
    </row>
    <row r="33" spans="1:35" ht="117.75" customHeight="1" x14ac:dyDescent="0.2">
      <c r="A33" s="282"/>
      <c r="B33" s="441"/>
      <c r="C33" s="423"/>
      <c r="D33" s="421"/>
      <c r="E33" s="412" t="s">
        <v>45</v>
      </c>
      <c r="F33" s="410" t="s">
        <v>1307</v>
      </c>
      <c r="G33" s="197" t="s">
        <v>130</v>
      </c>
      <c r="H33" s="412" t="s">
        <v>45</v>
      </c>
      <c r="I33" s="120" t="s">
        <v>131</v>
      </c>
      <c r="J33" s="197" t="s">
        <v>132</v>
      </c>
      <c r="K33" s="196" t="s">
        <v>133</v>
      </c>
      <c r="L33" s="412" t="s">
        <v>51</v>
      </c>
      <c r="M33" s="412">
        <v>1</v>
      </c>
      <c r="N33" s="121">
        <v>1</v>
      </c>
      <c r="O33" s="218">
        <v>1</v>
      </c>
      <c r="P33" s="410" t="s">
        <v>52</v>
      </c>
      <c r="Q33" s="412" t="s">
        <v>134</v>
      </c>
      <c r="R33" s="410" t="s">
        <v>1322</v>
      </c>
      <c r="S33" s="2"/>
      <c r="T33" s="2"/>
      <c r="U33" s="2"/>
      <c r="V33" s="2"/>
      <c r="W33" s="2"/>
      <c r="X33" s="2"/>
      <c r="Y33" s="2"/>
      <c r="Z33" s="2"/>
      <c r="AA33" s="2"/>
      <c r="AB33" s="2"/>
      <c r="AC33" s="146">
        <v>390864000</v>
      </c>
      <c r="AD33" s="2"/>
      <c r="AE33" s="2"/>
      <c r="AF33" s="106">
        <f>+S33+T33+U33+V33+W33+X33+Y33+Z33+AA33+AB33+AC33+AD33+AE33</f>
        <v>390864000</v>
      </c>
      <c r="AH33" s="310"/>
    </row>
    <row r="34" spans="1:35" ht="15.75" x14ac:dyDescent="0.2">
      <c r="A34" s="135" t="s">
        <v>1293</v>
      </c>
      <c r="B34" s="135"/>
      <c r="C34" s="135"/>
      <c r="D34" s="136"/>
      <c r="E34" s="136"/>
      <c r="F34" s="137"/>
      <c r="G34" s="138"/>
      <c r="H34" s="90"/>
      <c r="I34" s="137"/>
      <c r="J34" s="138"/>
      <c r="K34" s="137"/>
      <c r="L34" s="90"/>
      <c r="M34" s="90"/>
      <c r="N34" s="138"/>
      <c r="O34" s="138"/>
      <c r="P34" s="136"/>
      <c r="Q34" s="138"/>
      <c r="R34" s="137"/>
      <c r="S34" s="119">
        <f t="shared" ref="S34:AF34" si="13">S35+S48+S53+S69</f>
        <v>1875832773.6699998</v>
      </c>
      <c r="T34" s="119">
        <f t="shared" si="13"/>
        <v>0</v>
      </c>
      <c r="U34" s="119">
        <f t="shared" si="13"/>
        <v>184304077.94</v>
      </c>
      <c r="V34" s="119">
        <f t="shared" si="13"/>
        <v>0</v>
      </c>
      <c r="W34" s="119">
        <f t="shared" si="13"/>
        <v>0</v>
      </c>
      <c r="X34" s="119">
        <f t="shared" si="13"/>
        <v>0</v>
      </c>
      <c r="Y34" s="119">
        <f t="shared" si="13"/>
        <v>0</v>
      </c>
      <c r="Z34" s="119">
        <f t="shared" si="13"/>
        <v>0</v>
      </c>
      <c r="AA34" s="119">
        <f t="shared" si="13"/>
        <v>0</v>
      </c>
      <c r="AB34" s="119">
        <f t="shared" si="13"/>
        <v>2780436507.1199999</v>
      </c>
      <c r="AC34" s="119">
        <f t="shared" si="13"/>
        <v>938870576.74000001</v>
      </c>
      <c r="AD34" s="119">
        <f t="shared" si="13"/>
        <v>60660648</v>
      </c>
      <c r="AE34" s="119">
        <f t="shared" si="13"/>
        <v>0</v>
      </c>
      <c r="AF34" s="119">
        <f t="shared" si="13"/>
        <v>5840104583.4699993</v>
      </c>
      <c r="AG34" s="310"/>
      <c r="AH34" s="310"/>
      <c r="AI34" s="310"/>
    </row>
    <row r="35" spans="1:35" ht="15.75" x14ac:dyDescent="0.2">
      <c r="A35" s="283"/>
      <c r="B35" s="170">
        <v>1</v>
      </c>
      <c r="C35" s="93" t="s">
        <v>1</v>
      </c>
      <c r="D35" s="94"/>
      <c r="E35" s="94"/>
      <c r="F35" s="95"/>
      <c r="G35" s="96"/>
      <c r="H35" s="97"/>
      <c r="I35" s="95"/>
      <c r="J35" s="96"/>
      <c r="K35" s="95"/>
      <c r="L35" s="98"/>
      <c r="M35" s="98"/>
      <c r="N35" s="96"/>
      <c r="O35" s="96"/>
      <c r="P35" s="94"/>
      <c r="Q35" s="96"/>
      <c r="R35" s="95"/>
      <c r="S35" s="99">
        <f t="shared" ref="S35:AF35" si="14">S36+S38+S40+S44+S46+S42</f>
        <v>1671410242.8699999</v>
      </c>
      <c r="T35" s="99">
        <f t="shared" si="14"/>
        <v>0</v>
      </c>
      <c r="U35" s="99">
        <f t="shared" si="14"/>
        <v>0</v>
      </c>
      <c r="V35" s="99">
        <f t="shared" si="14"/>
        <v>0</v>
      </c>
      <c r="W35" s="99">
        <f t="shared" si="14"/>
        <v>0</v>
      </c>
      <c r="X35" s="99">
        <f t="shared" si="14"/>
        <v>0</v>
      </c>
      <c r="Y35" s="99">
        <f t="shared" si="14"/>
        <v>0</v>
      </c>
      <c r="Z35" s="99">
        <f t="shared" si="14"/>
        <v>0</v>
      </c>
      <c r="AA35" s="99">
        <f t="shared" si="14"/>
        <v>0</v>
      </c>
      <c r="AB35" s="99">
        <f t="shared" si="14"/>
        <v>0</v>
      </c>
      <c r="AC35" s="99">
        <f t="shared" si="14"/>
        <v>113746979</v>
      </c>
      <c r="AD35" s="99">
        <f t="shared" si="14"/>
        <v>0</v>
      </c>
      <c r="AE35" s="99">
        <f t="shared" si="14"/>
        <v>0</v>
      </c>
      <c r="AF35" s="99">
        <f t="shared" si="14"/>
        <v>1785157221.8699999</v>
      </c>
      <c r="AH35" s="310"/>
    </row>
    <row r="36" spans="1:35" ht="21.75" customHeight="1" x14ac:dyDescent="0.2">
      <c r="A36" s="281"/>
      <c r="B36" s="433"/>
      <c r="C36" s="126">
        <v>1</v>
      </c>
      <c r="D36" s="101">
        <v>1202</v>
      </c>
      <c r="E36" s="424" t="s">
        <v>1323</v>
      </c>
      <c r="F36" s="100"/>
      <c r="G36" s="101"/>
      <c r="H36" s="102"/>
      <c r="I36" s="100"/>
      <c r="J36" s="101"/>
      <c r="K36" s="100"/>
      <c r="L36" s="103"/>
      <c r="M36" s="103"/>
      <c r="N36" s="101"/>
      <c r="O36" s="101"/>
      <c r="P36" s="104"/>
      <c r="Q36" s="101"/>
      <c r="R36" s="100"/>
      <c r="S36" s="105">
        <f t="shared" ref="S36:AF36" si="15">S37</f>
        <v>0</v>
      </c>
      <c r="T36" s="105">
        <f t="shared" si="15"/>
        <v>0</v>
      </c>
      <c r="U36" s="105">
        <f t="shared" si="15"/>
        <v>0</v>
      </c>
      <c r="V36" s="105">
        <f t="shared" si="15"/>
        <v>0</v>
      </c>
      <c r="W36" s="105">
        <f t="shared" si="15"/>
        <v>0</v>
      </c>
      <c r="X36" s="105">
        <f t="shared" si="15"/>
        <v>0</v>
      </c>
      <c r="Y36" s="105">
        <f t="shared" si="15"/>
        <v>0</v>
      </c>
      <c r="Z36" s="105">
        <f t="shared" si="15"/>
        <v>0</v>
      </c>
      <c r="AA36" s="105">
        <f t="shared" si="15"/>
        <v>0</v>
      </c>
      <c r="AB36" s="105">
        <f t="shared" si="15"/>
        <v>0</v>
      </c>
      <c r="AC36" s="105">
        <f t="shared" si="15"/>
        <v>3000000</v>
      </c>
      <c r="AD36" s="105">
        <f t="shared" si="15"/>
        <v>0</v>
      </c>
      <c r="AE36" s="105">
        <f t="shared" si="15"/>
        <v>0</v>
      </c>
      <c r="AF36" s="105">
        <f t="shared" si="15"/>
        <v>3000000</v>
      </c>
      <c r="AH36" s="310"/>
    </row>
    <row r="37" spans="1:35" ht="201" customHeight="1" x14ac:dyDescent="0.2">
      <c r="A37" s="281"/>
      <c r="B37" s="434"/>
      <c r="C37" s="423"/>
      <c r="D37" s="421"/>
      <c r="E37" s="412">
        <v>1202</v>
      </c>
      <c r="F37" s="124" t="s">
        <v>136</v>
      </c>
      <c r="G37" s="129" t="s">
        <v>137</v>
      </c>
      <c r="H37" s="412" t="s">
        <v>45</v>
      </c>
      <c r="I37" s="6" t="s">
        <v>138</v>
      </c>
      <c r="J37" s="129" t="s">
        <v>139</v>
      </c>
      <c r="K37" s="6" t="s">
        <v>140</v>
      </c>
      <c r="L37" s="412" t="s">
        <v>141</v>
      </c>
      <c r="M37" s="412">
        <v>12</v>
      </c>
      <c r="N37" s="129">
        <v>1</v>
      </c>
      <c r="O37" s="129">
        <v>1</v>
      </c>
      <c r="P37" s="411" t="s">
        <v>253</v>
      </c>
      <c r="Q37" s="412" t="s">
        <v>142</v>
      </c>
      <c r="R37" s="410" t="s">
        <v>143</v>
      </c>
      <c r="S37" s="125"/>
      <c r="T37" s="2"/>
      <c r="U37" s="2"/>
      <c r="V37" s="2"/>
      <c r="W37" s="2"/>
      <c r="X37" s="2"/>
      <c r="Y37" s="2"/>
      <c r="Z37" s="2"/>
      <c r="AA37" s="2"/>
      <c r="AB37" s="2"/>
      <c r="AC37" s="8">
        <v>3000000</v>
      </c>
      <c r="AD37" s="2"/>
      <c r="AE37" s="5"/>
      <c r="AF37" s="106">
        <f>+S37+T37+U37+V37+W37+X37+Y37+Z37+AA37+AB37+AC37+AD37+AE37</f>
        <v>3000000</v>
      </c>
      <c r="AH37" s="310"/>
    </row>
    <row r="38" spans="1:35" ht="18.75" customHeight="1" x14ac:dyDescent="0.2">
      <c r="A38" s="281"/>
      <c r="B38" s="434"/>
      <c r="C38" s="126">
        <v>13</v>
      </c>
      <c r="D38" s="101">
        <v>1906</v>
      </c>
      <c r="E38" s="424" t="s">
        <v>144</v>
      </c>
      <c r="F38" s="100"/>
      <c r="G38" s="101"/>
      <c r="H38" s="102"/>
      <c r="I38" s="100"/>
      <c r="J38" s="101"/>
      <c r="K38" s="100"/>
      <c r="L38" s="103"/>
      <c r="M38" s="103"/>
      <c r="N38" s="101"/>
      <c r="O38" s="101"/>
      <c r="P38" s="274"/>
      <c r="Q38" s="101"/>
      <c r="R38" s="100"/>
      <c r="S38" s="105">
        <f t="shared" ref="S38:AF38" si="16">S39</f>
        <v>0</v>
      </c>
      <c r="T38" s="105">
        <f t="shared" si="16"/>
        <v>0</v>
      </c>
      <c r="U38" s="105">
        <f t="shared" si="16"/>
        <v>0</v>
      </c>
      <c r="V38" s="105">
        <f t="shared" si="16"/>
        <v>0</v>
      </c>
      <c r="W38" s="105">
        <f t="shared" si="16"/>
        <v>0</v>
      </c>
      <c r="X38" s="105">
        <f t="shared" si="16"/>
        <v>0</v>
      </c>
      <c r="Y38" s="105">
        <f t="shared" si="16"/>
        <v>0</v>
      </c>
      <c r="Z38" s="105">
        <f t="shared" si="16"/>
        <v>0</v>
      </c>
      <c r="AA38" s="105">
        <f t="shared" si="16"/>
        <v>0</v>
      </c>
      <c r="AB38" s="105">
        <f t="shared" si="16"/>
        <v>0</v>
      </c>
      <c r="AC38" s="105">
        <f t="shared" si="16"/>
        <v>60746979</v>
      </c>
      <c r="AD38" s="105">
        <f t="shared" si="16"/>
        <v>0</v>
      </c>
      <c r="AE38" s="105">
        <f t="shared" si="16"/>
        <v>0</v>
      </c>
      <c r="AF38" s="105">
        <f t="shared" si="16"/>
        <v>60746979</v>
      </c>
      <c r="AH38" s="310"/>
    </row>
    <row r="39" spans="1:35" ht="112.5" customHeight="1" x14ac:dyDescent="0.2">
      <c r="A39" s="281"/>
      <c r="B39" s="434"/>
      <c r="C39" s="423"/>
      <c r="D39" s="421"/>
      <c r="E39" s="412">
        <v>1906</v>
      </c>
      <c r="F39" s="411" t="s">
        <v>145</v>
      </c>
      <c r="G39" s="316" t="s">
        <v>146</v>
      </c>
      <c r="H39" s="412" t="s">
        <v>45</v>
      </c>
      <c r="I39" s="6" t="s">
        <v>147</v>
      </c>
      <c r="J39" s="195" t="s">
        <v>148</v>
      </c>
      <c r="K39" s="199" t="s">
        <v>149</v>
      </c>
      <c r="L39" s="412" t="s">
        <v>141</v>
      </c>
      <c r="M39" s="412">
        <v>5</v>
      </c>
      <c r="N39" s="129">
        <v>2</v>
      </c>
      <c r="O39" s="129">
        <v>2</v>
      </c>
      <c r="P39" s="411" t="s">
        <v>150</v>
      </c>
      <c r="Q39" s="412" t="s">
        <v>151</v>
      </c>
      <c r="R39" s="411" t="s">
        <v>152</v>
      </c>
      <c r="S39" s="125">
        <f>+S41-628874337</f>
        <v>0</v>
      </c>
      <c r="T39" s="2"/>
      <c r="U39" s="2"/>
      <c r="V39" s="2"/>
      <c r="W39" s="2"/>
      <c r="X39" s="2"/>
      <c r="Y39" s="2"/>
      <c r="Z39" s="2"/>
      <c r="AA39" s="2"/>
      <c r="AB39" s="2"/>
      <c r="AC39" s="8">
        <f>2000000+58746979</f>
        <v>60746979</v>
      </c>
      <c r="AD39" s="2"/>
      <c r="AE39" s="5"/>
      <c r="AF39" s="106">
        <f>+S39+T39+U39+V39+W39+X39+Y39+Z39+AA39+AB39+AC39+AD39+AE39</f>
        <v>60746979</v>
      </c>
      <c r="AH39" s="310"/>
    </row>
    <row r="40" spans="1:35" ht="21" customHeight="1" x14ac:dyDescent="0.2">
      <c r="A40" s="281"/>
      <c r="B40" s="434"/>
      <c r="C40" s="126">
        <v>15</v>
      </c>
      <c r="D40" s="101">
        <v>2201</v>
      </c>
      <c r="E40" s="424" t="s">
        <v>153</v>
      </c>
      <c r="F40" s="100"/>
      <c r="G40" s="101"/>
      <c r="H40" s="102"/>
      <c r="I40" s="100" t="s">
        <v>154</v>
      </c>
      <c r="J40" s="101"/>
      <c r="K40" s="100"/>
      <c r="L40" s="103"/>
      <c r="M40" s="103"/>
      <c r="N40" s="101"/>
      <c r="O40" s="101"/>
      <c r="P40" s="274"/>
      <c r="Q40" s="101"/>
      <c r="R40" s="100"/>
      <c r="S40" s="105">
        <f t="shared" ref="S40:AF40" si="17">S41</f>
        <v>628874337</v>
      </c>
      <c r="T40" s="105">
        <f t="shared" si="17"/>
        <v>0</v>
      </c>
      <c r="U40" s="105">
        <f t="shared" si="17"/>
        <v>0</v>
      </c>
      <c r="V40" s="105">
        <f t="shared" si="17"/>
        <v>0</v>
      </c>
      <c r="W40" s="105">
        <f t="shared" si="17"/>
        <v>0</v>
      </c>
      <c r="X40" s="105">
        <f t="shared" si="17"/>
        <v>0</v>
      </c>
      <c r="Y40" s="105">
        <f t="shared" si="17"/>
        <v>0</v>
      </c>
      <c r="Z40" s="105">
        <f t="shared" si="17"/>
        <v>0</v>
      </c>
      <c r="AA40" s="105">
        <f t="shared" si="17"/>
        <v>0</v>
      </c>
      <c r="AB40" s="105">
        <f t="shared" si="17"/>
        <v>0</v>
      </c>
      <c r="AC40" s="105">
        <f t="shared" si="17"/>
        <v>0</v>
      </c>
      <c r="AD40" s="105">
        <f t="shared" si="17"/>
        <v>0</v>
      </c>
      <c r="AE40" s="105">
        <f t="shared" si="17"/>
        <v>0</v>
      </c>
      <c r="AF40" s="105">
        <f t="shared" si="17"/>
        <v>628874337</v>
      </c>
      <c r="AH40" s="310"/>
    </row>
    <row r="41" spans="1:35" ht="90" customHeight="1" x14ac:dyDescent="0.2">
      <c r="A41" s="281"/>
      <c r="B41" s="434"/>
      <c r="C41" s="423"/>
      <c r="D41" s="421"/>
      <c r="E41" s="412">
        <v>2201</v>
      </c>
      <c r="F41" s="411" t="s">
        <v>155</v>
      </c>
      <c r="G41" s="316" t="s">
        <v>156</v>
      </c>
      <c r="H41" s="412" t="s">
        <v>45</v>
      </c>
      <c r="I41" s="410" t="s">
        <v>157</v>
      </c>
      <c r="J41" s="427" t="s">
        <v>158</v>
      </c>
      <c r="K41" s="410" t="s">
        <v>159</v>
      </c>
      <c r="L41" s="412" t="s">
        <v>141</v>
      </c>
      <c r="M41" s="412">
        <v>54</v>
      </c>
      <c r="N41" s="412">
        <v>9</v>
      </c>
      <c r="O41" s="412">
        <v>0</v>
      </c>
      <c r="P41" s="410" t="s">
        <v>160</v>
      </c>
      <c r="Q41" s="412" t="s">
        <v>161</v>
      </c>
      <c r="R41" s="410" t="s">
        <v>162</v>
      </c>
      <c r="S41" s="125">
        <f>2575091000-645788600-1300428063</f>
        <v>628874337</v>
      </c>
      <c r="T41" s="2"/>
      <c r="U41" s="2"/>
      <c r="V41" s="2"/>
      <c r="W41" s="2"/>
      <c r="X41" s="2"/>
      <c r="Y41" s="2"/>
      <c r="Z41" s="2"/>
      <c r="AA41" s="2"/>
      <c r="AB41" s="2"/>
      <c r="AC41" s="8"/>
      <c r="AD41" s="2"/>
      <c r="AE41" s="5"/>
      <c r="AF41" s="106">
        <f>+S41+T41+U41+V41+W41+X41+Y41+Z41+AA41+AB41+AC41+AD41+AE41</f>
        <v>628874337</v>
      </c>
      <c r="AH41" s="310"/>
    </row>
    <row r="42" spans="1:35" ht="20.25" customHeight="1" x14ac:dyDescent="0.2">
      <c r="A42" s="281"/>
      <c r="B42" s="434"/>
      <c r="C42" s="126">
        <v>25</v>
      </c>
      <c r="D42" s="101">
        <v>3301</v>
      </c>
      <c r="E42" s="424" t="s">
        <v>163</v>
      </c>
      <c r="F42" s="100"/>
      <c r="G42" s="101"/>
      <c r="H42" s="102"/>
      <c r="I42" s="100"/>
      <c r="J42" s="101"/>
      <c r="K42" s="100"/>
      <c r="L42" s="103"/>
      <c r="M42" s="103"/>
      <c r="N42" s="101"/>
      <c r="O42" s="101"/>
      <c r="P42" s="274"/>
      <c r="Q42" s="101"/>
      <c r="R42" s="100"/>
      <c r="S42" s="105">
        <f t="shared" ref="S42:AE42" si="18">SUM(S43)</f>
        <v>0</v>
      </c>
      <c r="T42" s="105">
        <f t="shared" si="18"/>
        <v>0</v>
      </c>
      <c r="U42" s="105">
        <f t="shared" si="18"/>
        <v>0</v>
      </c>
      <c r="V42" s="105">
        <f t="shared" si="18"/>
        <v>0</v>
      </c>
      <c r="W42" s="105">
        <f t="shared" si="18"/>
        <v>0</v>
      </c>
      <c r="X42" s="105">
        <f t="shared" si="18"/>
        <v>0</v>
      </c>
      <c r="Y42" s="105">
        <f t="shared" si="18"/>
        <v>0</v>
      </c>
      <c r="Z42" s="105">
        <f t="shared" si="18"/>
        <v>0</v>
      </c>
      <c r="AA42" s="105">
        <f t="shared" si="18"/>
        <v>0</v>
      </c>
      <c r="AB42" s="105">
        <f t="shared" si="18"/>
        <v>0</v>
      </c>
      <c r="AC42" s="105">
        <f t="shared" si="18"/>
        <v>50000000</v>
      </c>
      <c r="AD42" s="105">
        <f t="shared" si="18"/>
        <v>0</v>
      </c>
      <c r="AE42" s="105">
        <f t="shared" si="18"/>
        <v>0</v>
      </c>
      <c r="AF42" s="105">
        <f>SUM(AF43)</f>
        <v>50000000</v>
      </c>
      <c r="AH42" s="310"/>
    </row>
    <row r="43" spans="1:35" ht="78" customHeight="1" x14ac:dyDescent="0.2">
      <c r="A43" s="281"/>
      <c r="B43" s="434"/>
      <c r="C43" s="423"/>
      <c r="D43" s="421"/>
      <c r="E43" s="235">
        <v>3301</v>
      </c>
      <c r="F43" s="411" t="s">
        <v>1372</v>
      </c>
      <c r="G43" s="195" t="s">
        <v>164</v>
      </c>
      <c r="H43" s="412" t="s">
        <v>165</v>
      </c>
      <c r="I43" s="410" t="s">
        <v>166</v>
      </c>
      <c r="J43" s="129" t="s">
        <v>167</v>
      </c>
      <c r="K43" s="6" t="s">
        <v>168</v>
      </c>
      <c r="L43" s="412" t="s">
        <v>141</v>
      </c>
      <c r="M43" s="412">
        <v>10</v>
      </c>
      <c r="N43" s="129">
        <v>1</v>
      </c>
      <c r="O43" s="129">
        <v>5</v>
      </c>
      <c r="P43" s="410" t="s">
        <v>169</v>
      </c>
      <c r="Q43" s="412" t="s">
        <v>161</v>
      </c>
      <c r="R43" s="410" t="s">
        <v>162</v>
      </c>
      <c r="S43" s="2"/>
      <c r="T43" s="2"/>
      <c r="U43" s="2"/>
      <c r="V43" s="2"/>
      <c r="W43" s="2"/>
      <c r="X43" s="2"/>
      <c r="Y43" s="2"/>
      <c r="Z43" s="2"/>
      <c r="AA43" s="2"/>
      <c r="AB43" s="2"/>
      <c r="AC43" s="372">
        <f>20000000+30000000</f>
        <v>50000000</v>
      </c>
      <c r="AD43" s="2"/>
      <c r="AE43" s="2"/>
      <c r="AF43" s="106">
        <f>+S43+T43+U43+V43+W43+X43+Y43+Z43+AA43+AB43+AC43+AD43+AE43</f>
        <v>50000000</v>
      </c>
      <c r="AH43" s="310"/>
    </row>
    <row r="44" spans="1:35" ht="23.25" customHeight="1" x14ac:dyDescent="0.2">
      <c r="A44" s="281"/>
      <c r="B44" s="434"/>
      <c r="C44" s="126">
        <v>39</v>
      </c>
      <c r="D44" s="101">
        <v>4301</v>
      </c>
      <c r="E44" s="424" t="s">
        <v>170</v>
      </c>
      <c r="F44" s="100"/>
      <c r="G44" s="101"/>
      <c r="H44" s="102"/>
      <c r="I44" s="100"/>
      <c r="J44" s="101"/>
      <c r="K44" s="100"/>
      <c r="L44" s="103"/>
      <c r="M44" s="103"/>
      <c r="N44" s="101"/>
      <c r="O44" s="101"/>
      <c r="P44" s="274"/>
      <c r="Q44" s="101"/>
      <c r="R44" s="100"/>
      <c r="S44" s="105">
        <f t="shared" ref="S44:AF44" si="19">S45</f>
        <v>977810591.28999996</v>
      </c>
      <c r="T44" s="105">
        <f t="shared" si="19"/>
        <v>0</v>
      </c>
      <c r="U44" s="105">
        <f t="shared" si="19"/>
        <v>0</v>
      </c>
      <c r="V44" s="105">
        <f t="shared" si="19"/>
        <v>0</v>
      </c>
      <c r="W44" s="105">
        <f t="shared" si="19"/>
        <v>0</v>
      </c>
      <c r="X44" s="105">
        <f t="shared" si="19"/>
        <v>0</v>
      </c>
      <c r="Y44" s="105">
        <f t="shared" si="19"/>
        <v>0</v>
      </c>
      <c r="Z44" s="105">
        <f t="shared" si="19"/>
        <v>0</v>
      </c>
      <c r="AA44" s="105">
        <f t="shared" si="19"/>
        <v>0</v>
      </c>
      <c r="AB44" s="105">
        <f t="shared" si="19"/>
        <v>0</v>
      </c>
      <c r="AC44" s="105">
        <f t="shared" si="19"/>
        <v>0</v>
      </c>
      <c r="AD44" s="105">
        <f t="shared" si="19"/>
        <v>0</v>
      </c>
      <c r="AE44" s="105">
        <f t="shared" si="19"/>
        <v>0</v>
      </c>
      <c r="AF44" s="105">
        <f t="shared" si="19"/>
        <v>977810591.28999996</v>
      </c>
      <c r="AH44" s="310"/>
    </row>
    <row r="45" spans="1:35" ht="139.5" customHeight="1" x14ac:dyDescent="0.2">
      <c r="A45" s="281"/>
      <c r="B45" s="434"/>
      <c r="C45" s="423"/>
      <c r="D45" s="421"/>
      <c r="E45" s="412">
        <v>4301</v>
      </c>
      <c r="F45" s="124" t="s">
        <v>171</v>
      </c>
      <c r="G45" s="127" t="s">
        <v>172</v>
      </c>
      <c r="H45" s="412" t="s">
        <v>45</v>
      </c>
      <c r="I45" s="6" t="s">
        <v>173</v>
      </c>
      <c r="J45" s="129" t="s">
        <v>174</v>
      </c>
      <c r="K45" s="6" t="s">
        <v>175</v>
      </c>
      <c r="L45" s="412" t="s">
        <v>141</v>
      </c>
      <c r="M45" s="412">
        <v>12</v>
      </c>
      <c r="N45" s="129">
        <v>3</v>
      </c>
      <c r="O45" s="129">
        <v>3</v>
      </c>
      <c r="P45" s="411" t="s">
        <v>176</v>
      </c>
      <c r="Q45" s="412" t="s">
        <v>161</v>
      </c>
      <c r="R45" s="410" t="s">
        <v>162</v>
      </c>
      <c r="S45" s="128">
        <f>1668660141.5-690849550.21</f>
        <v>977810591.28999996</v>
      </c>
      <c r="T45" s="2"/>
      <c r="U45" s="2"/>
      <c r="V45" s="2"/>
      <c r="W45" s="2"/>
      <c r="X45" s="2"/>
      <c r="Y45" s="2"/>
      <c r="Z45" s="2"/>
      <c r="AA45" s="2"/>
      <c r="AB45" s="2"/>
      <c r="AC45" s="8"/>
      <c r="AD45" s="2"/>
      <c r="AE45" s="2"/>
      <c r="AF45" s="106">
        <f>+S45+T45+U45+V45+W45+X45+Y45+Z45+AA45+AB45+AC45+AD45+AE45</f>
        <v>977810591.28999996</v>
      </c>
      <c r="AH45" s="310"/>
    </row>
    <row r="46" spans="1:35" ht="21.75" customHeight="1" x14ac:dyDescent="0.2">
      <c r="A46" s="281"/>
      <c r="B46" s="434"/>
      <c r="C46" s="126">
        <v>40</v>
      </c>
      <c r="D46" s="101">
        <v>4302</v>
      </c>
      <c r="E46" s="424" t="s">
        <v>177</v>
      </c>
      <c r="F46" s="100"/>
      <c r="G46" s="101"/>
      <c r="H46" s="102"/>
      <c r="I46" s="100"/>
      <c r="J46" s="101"/>
      <c r="K46" s="100"/>
      <c r="L46" s="103"/>
      <c r="M46" s="103"/>
      <c r="N46" s="101"/>
      <c r="O46" s="101"/>
      <c r="P46" s="274"/>
      <c r="Q46" s="101"/>
      <c r="R46" s="100"/>
      <c r="S46" s="105">
        <f t="shared" ref="S46:AF46" si="20">S47</f>
        <v>64725314.580000043</v>
      </c>
      <c r="T46" s="105">
        <f t="shared" si="20"/>
        <v>0</v>
      </c>
      <c r="U46" s="105">
        <f t="shared" si="20"/>
        <v>0</v>
      </c>
      <c r="V46" s="105">
        <f t="shared" si="20"/>
        <v>0</v>
      </c>
      <c r="W46" s="105">
        <f t="shared" si="20"/>
        <v>0</v>
      </c>
      <c r="X46" s="105">
        <f t="shared" si="20"/>
        <v>0</v>
      </c>
      <c r="Y46" s="105">
        <f t="shared" si="20"/>
        <v>0</v>
      </c>
      <c r="Z46" s="105">
        <f t="shared" si="20"/>
        <v>0</v>
      </c>
      <c r="AA46" s="105">
        <f t="shared" si="20"/>
        <v>0</v>
      </c>
      <c r="AB46" s="105">
        <f t="shared" si="20"/>
        <v>0</v>
      </c>
      <c r="AC46" s="105">
        <f t="shared" si="20"/>
        <v>0</v>
      </c>
      <c r="AD46" s="105">
        <f t="shared" si="20"/>
        <v>0</v>
      </c>
      <c r="AE46" s="105">
        <f t="shared" si="20"/>
        <v>0</v>
      </c>
      <c r="AF46" s="105">
        <f t="shared" si="20"/>
        <v>64725314.580000043</v>
      </c>
      <c r="AH46" s="310"/>
    </row>
    <row r="47" spans="1:35" ht="133.5" customHeight="1" x14ac:dyDescent="0.2">
      <c r="A47" s="281"/>
      <c r="B47" s="441"/>
      <c r="C47" s="423"/>
      <c r="D47" s="421"/>
      <c r="E47" s="412">
        <v>4302</v>
      </c>
      <c r="F47" s="124" t="s">
        <v>171</v>
      </c>
      <c r="G47" s="198" t="s">
        <v>178</v>
      </c>
      <c r="H47" s="412">
        <v>4302020</v>
      </c>
      <c r="I47" s="6" t="s">
        <v>179</v>
      </c>
      <c r="J47" s="198" t="s">
        <v>180</v>
      </c>
      <c r="K47" s="199" t="s">
        <v>179</v>
      </c>
      <c r="L47" s="412" t="s">
        <v>141</v>
      </c>
      <c r="M47" s="412">
        <v>1</v>
      </c>
      <c r="N47" s="129">
        <v>0.25</v>
      </c>
      <c r="O47" s="129">
        <v>0</v>
      </c>
      <c r="P47" s="411" t="s">
        <v>176</v>
      </c>
      <c r="Q47" s="412" t="s">
        <v>161</v>
      </c>
      <c r="R47" s="410" t="s">
        <v>162</v>
      </c>
      <c r="S47" s="128">
        <f>1668660141.65-778436089.07-825498738</f>
        <v>64725314.580000043</v>
      </c>
      <c r="T47" s="2"/>
      <c r="U47" s="2"/>
      <c r="V47" s="2"/>
      <c r="W47" s="2"/>
      <c r="X47" s="2"/>
      <c r="Y47" s="2"/>
      <c r="Z47" s="2"/>
      <c r="AA47" s="2"/>
      <c r="AB47" s="2"/>
      <c r="AC47" s="8"/>
      <c r="AD47" s="2"/>
      <c r="AE47" s="2"/>
      <c r="AF47" s="106">
        <f>+S47+T47+U47+V47+W47+X47+Y47+Z47+AA47+AB47+AC47+AD47+AE47</f>
        <v>64725314.580000043</v>
      </c>
      <c r="AH47" s="310"/>
    </row>
    <row r="48" spans="1:35" ht="15.75" x14ac:dyDescent="0.2">
      <c r="A48" s="281"/>
      <c r="B48" s="170">
        <v>2</v>
      </c>
      <c r="C48" s="93" t="s">
        <v>2</v>
      </c>
      <c r="D48" s="94"/>
      <c r="E48" s="94"/>
      <c r="F48" s="95"/>
      <c r="G48" s="96"/>
      <c r="H48" s="97"/>
      <c r="I48" s="95"/>
      <c r="J48" s="96"/>
      <c r="K48" s="95"/>
      <c r="L48" s="98"/>
      <c r="M48" s="98"/>
      <c r="N48" s="96"/>
      <c r="O48" s="96"/>
      <c r="P48" s="276"/>
      <c r="Q48" s="96"/>
      <c r="R48" s="95"/>
      <c r="S48" s="99">
        <f t="shared" ref="S48:AE48" si="21">S49+S51</f>
        <v>0</v>
      </c>
      <c r="T48" s="99">
        <f t="shared" si="21"/>
        <v>0</v>
      </c>
      <c r="U48" s="99">
        <f t="shared" si="21"/>
        <v>0</v>
      </c>
      <c r="V48" s="99">
        <f t="shared" si="21"/>
        <v>0</v>
      </c>
      <c r="W48" s="99">
        <f t="shared" si="21"/>
        <v>0</v>
      </c>
      <c r="X48" s="99">
        <f t="shared" si="21"/>
        <v>0</v>
      </c>
      <c r="Y48" s="99">
        <f t="shared" si="21"/>
        <v>0</v>
      </c>
      <c r="Z48" s="99">
        <f t="shared" si="21"/>
        <v>0</v>
      </c>
      <c r="AA48" s="99">
        <f t="shared" si="21"/>
        <v>0</v>
      </c>
      <c r="AB48" s="99">
        <f t="shared" si="21"/>
        <v>0</v>
      </c>
      <c r="AC48" s="99">
        <f t="shared" si="21"/>
        <v>3000000</v>
      </c>
      <c r="AD48" s="99">
        <f t="shared" si="21"/>
        <v>0</v>
      </c>
      <c r="AE48" s="99">
        <f t="shared" si="21"/>
        <v>0</v>
      </c>
      <c r="AF48" s="99">
        <f>AF49+AF51</f>
        <v>3000000</v>
      </c>
      <c r="AH48" s="310"/>
    </row>
    <row r="49" spans="1:34" ht="18.75" customHeight="1" x14ac:dyDescent="0.2">
      <c r="A49" s="281"/>
      <c r="B49" s="433"/>
      <c r="C49" s="126">
        <v>10</v>
      </c>
      <c r="D49" s="101">
        <v>1709</v>
      </c>
      <c r="E49" s="424" t="s">
        <v>181</v>
      </c>
      <c r="F49" s="100"/>
      <c r="G49" s="101"/>
      <c r="H49" s="102"/>
      <c r="I49" s="100"/>
      <c r="J49" s="101"/>
      <c r="K49" s="100"/>
      <c r="L49" s="103"/>
      <c r="M49" s="103"/>
      <c r="N49" s="101"/>
      <c r="O49" s="101"/>
      <c r="P49" s="274"/>
      <c r="Q49" s="101"/>
      <c r="R49" s="100"/>
      <c r="S49" s="105">
        <f t="shared" ref="S49:AF49" si="22">SUM(S50:S50)</f>
        <v>0</v>
      </c>
      <c r="T49" s="105">
        <f t="shared" si="22"/>
        <v>0</v>
      </c>
      <c r="U49" s="105">
        <f t="shared" si="22"/>
        <v>0</v>
      </c>
      <c r="V49" s="105">
        <f t="shared" si="22"/>
        <v>0</v>
      </c>
      <c r="W49" s="105">
        <f t="shared" si="22"/>
        <v>0</v>
      </c>
      <c r="X49" s="105">
        <f t="shared" si="22"/>
        <v>0</v>
      </c>
      <c r="Y49" s="105">
        <f t="shared" si="22"/>
        <v>0</v>
      </c>
      <c r="Z49" s="105">
        <f t="shared" si="22"/>
        <v>0</v>
      </c>
      <c r="AA49" s="105">
        <f t="shared" si="22"/>
        <v>0</v>
      </c>
      <c r="AB49" s="105">
        <f t="shared" si="22"/>
        <v>0</v>
      </c>
      <c r="AC49" s="105">
        <f t="shared" si="22"/>
        <v>2000000</v>
      </c>
      <c r="AD49" s="105">
        <f t="shared" si="22"/>
        <v>0</v>
      </c>
      <c r="AE49" s="105">
        <f t="shared" si="22"/>
        <v>0</v>
      </c>
      <c r="AF49" s="105">
        <f t="shared" si="22"/>
        <v>2000000</v>
      </c>
      <c r="AH49" s="310"/>
    </row>
    <row r="50" spans="1:34" s="132" customFormat="1" ht="123" customHeight="1" x14ac:dyDescent="0.2">
      <c r="A50" s="287"/>
      <c r="B50" s="430"/>
      <c r="C50" s="432"/>
      <c r="D50" s="233"/>
      <c r="E50" s="427">
        <v>1709</v>
      </c>
      <c r="F50" s="6" t="s">
        <v>182</v>
      </c>
      <c r="G50" s="129" t="s">
        <v>183</v>
      </c>
      <c r="H50" s="129">
        <v>1709078</v>
      </c>
      <c r="I50" s="6" t="s">
        <v>184</v>
      </c>
      <c r="J50" s="129" t="s">
        <v>185</v>
      </c>
      <c r="K50" s="6" t="s">
        <v>184</v>
      </c>
      <c r="L50" s="427" t="s">
        <v>51</v>
      </c>
      <c r="M50" s="427">
        <v>1</v>
      </c>
      <c r="N50" s="129">
        <v>1</v>
      </c>
      <c r="O50" s="129">
        <v>0</v>
      </c>
      <c r="P50" s="428" t="s">
        <v>186</v>
      </c>
      <c r="Q50" s="427" t="s">
        <v>187</v>
      </c>
      <c r="R50" s="428" t="s">
        <v>188</v>
      </c>
      <c r="S50" s="2"/>
      <c r="T50" s="2"/>
      <c r="U50" s="420"/>
      <c r="V50" s="2"/>
      <c r="W50" s="2"/>
      <c r="X50" s="2"/>
      <c r="Y50" s="2"/>
      <c r="Z50" s="2"/>
      <c r="AA50" s="2"/>
      <c r="AB50" s="2"/>
      <c r="AC50" s="130">
        <f>1000000+1000000</f>
        <v>2000000</v>
      </c>
      <c r="AD50" s="2"/>
      <c r="AE50" s="2"/>
      <c r="AF50" s="131">
        <f>+S50+T50+U50+V50+W50+X50+Y50+Z50+AA50+AB50+AC50+AD50+AE50</f>
        <v>2000000</v>
      </c>
      <c r="AH50" s="310"/>
    </row>
    <row r="51" spans="1:34" ht="23.25" customHeight="1" x14ac:dyDescent="0.2">
      <c r="A51" s="281"/>
      <c r="B51" s="434"/>
      <c r="C51" s="126">
        <v>27</v>
      </c>
      <c r="D51" s="101">
        <v>3502</v>
      </c>
      <c r="E51" s="424" t="s">
        <v>189</v>
      </c>
      <c r="F51" s="100"/>
      <c r="G51" s="101"/>
      <c r="H51" s="102"/>
      <c r="I51" s="100"/>
      <c r="J51" s="101"/>
      <c r="K51" s="100"/>
      <c r="L51" s="103"/>
      <c r="M51" s="103"/>
      <c r="N51" s="101"/>
      <c r="O51" s="101"/>
      <c r="P51" s="274"/>
      <c r="Q51" s="101"/>
      <c r="R51" s="100"/>
      <c r="S51" s="105">
        <f t="shared" ref="S51:AE51" si="23">S52</f>
        <v>0</v>
      </c>
      <c r="T51" s="105">
        <f t="shared" si="23"/>
        <v>0</v>
      </c>
      <c r="U51" s="105">
        <f t="shared" si="23"/>
        <v>0</v>
      </c>
      <c r="V51" s="105">
        <f t="shared" si="23"/>
        <v>0</v>
      </c>
      <c r="W51" s="105">
        <f t="shared" si="23"/>
        <v>0</v>
      </c>
      <c r="X51" s="105">
        <f t="shared" si="23"/>
        <v>0</v>
      </c>
      <c r="Y51" s="105">
        <f t="shared" si="23"/>
        <v>0</v>
      </c>
      <c r="Z51" s="105">
        <f t="shared" si="23"/>
        <v>0</v>
      </c>
      <c r="AA51" s="105">
        <f t="shared" si="23"/>
        <v>0</v>
      </c>
      <c r="AB51" s="105">
        <f t="shared" si="23"/>
        <v>0</v>
      </c>
      <c r="AC51" s="105">
        <f t="shared" si="23"/>
        <v>1000000</v>
      </c>
      <c r="AD51" s="105">
        <f t="shared" si="23"/>
        <v>0</v>
      </c>
      <c r="AE51" s="105">
        <f t="shared" si="23"/>
        <v>0</v>
      </c>
      <c r="AF51" s="105">
        <f>AF52</f>
        <v>1000000</v>
      </c>
      <c r="AH51" s="310"/>
    </row>
    <row r="52" spans="1:34" ht="101.25" customHeight="1" x14ac:dyDescent="0.2">
      <c r="A52" s="281"/>
      <c r="B52" s="441"/>
      <c r="C52" s="423"/>
      <c r="D52" s="421"/>
      <c r="E52" s="412">
        <v>3502</v>
      </c>
      <c r="F52" s="411" t="s">
        <v>1373</v>
      </c>
      <c r="G52" s="129" t="s">
        <v>190</v>
      </c>
      <c r="H52" s="129">
        <v>3502084</v>
      </c>
      <c r="I52" s="6" t="s">
        <v>191</v>
      </c>
      <c r="J52" s="129" t="s">
        <v>192</v>
      </c>
      <c r="K52" s="6" t="s">
        <v>191</v>
      </c>
      <c r="L52" s="412" t="s">
        <v>141</v>
      </c>
      <c r="M52" s="412">
        <v>1</v>
      </c>
      <c r="N52" s="129">
        <v>0.5</v>
      </c>
      <c r="O52" s="129">
        <v>0</v>
      </c>
      <c r="P52" s="411" t="s">
        <v>186</v>
      </c>
      <c r="Q52" s="412" t="s">
        <v>187</v>
      </c>
      <c r="R52" s="411" t="s">
        <v>193</v>
      </c>
      <c r="S52" s="2"/>
      <c r="T52" s="2"/>
      <c r="U52" s="420"/>
      <c r="V52" s="2"/>
      <c r="W52" s="2"/>
      <c r="X52" s="2"/>
      <c r="Y52" s="2"/>
      <c r="Z52" s="2"/>
      <c r="AA52" s="2"/>
      <c r="AB52" s="2"/>
      <c r="AC52" s="130">
        <v>1000000</v>
      </c>
      <c r="AD52" s="2"/>
      <c r="AE52" s="2"/>
      <c r="AF52" s="106">
        <f>+S52+T52+U52+V52+W52+X52+Y52+Z52+AA52+AB52+AC52+AD52+AE52</f>
        <v>1000000</v>
      </c>
      <c r="AH52" s="310"/>
    </row>
    <row r="53" spans="1:34" ht="21.75" customHeight="1" x14ac:dyDescent="0.2">
      <c r="A53" s="281"/>
      <c r="B53" s="170">
        <v>3</v>
      </c>
      <c r="C53" s="93" t="s">
        <v>3</v>
      </c>
      <c r="D53" s="94"/>
      <c r="E53" s="94"/>
      <c r="F53" s="95"/>
      <c r="G53" s="96"/>
      <c r="H53" s="97"/>
      <c r="I53" s="95"/>
      <c r="J53" s="96"/>
      <c r="K53" s="95"/>
      <c r="L53" s="98"/>
      <c r="M53" s="98"/>
      <c r="N53" s="96"/>
      <c r="O53" s="96"/>
      <c r="P53" s="276"/>
      <c r="Q53" s="96"/>
      <c r="R53" s="95"/>
      <c r="S53" s="99">
        <f t="shared" ref="S53:AE53" si="24">S54+S57+S59+S61+S63</f>
        <v>204422530.80000001</v>
      </c>
      <c r="T53" s="99">
        <f t="shared" si="24"/>
        <v>0</v>
      </c>
      <c r="U53" s="99">
        <f t="shared" si="24"/>
        <v>184304077.94</v>
      </c>
      <c r="V53" s="99">
        <f t="shared" si="24"/>
        <v>0</v>
      </c>
      <c r="W53" s="99">
        <f t="shared" si="24"/>
        <v>0</v>
      </c>
      <c r="X53" s="99">
        <f t="shared" si="24"/>
        <v>0</v>
      </c>
      <c r="Y53" s="99">
        <f t="shared" si="24"/>
        <v>0</v>
      </c>
      <c r="Z53" s="99">
        <f t="shared" si="24"/>
        <v>0</v>
      </c>
      <c r="AA53" s="99">
        <f t="shared" si="24"/>
        <v>0</v>
      </c>
      <c r="AB53" s="99">
        <f t="shared" si="24"/>
        <v>2780436507.1199999</v>
      </c>
      <c r="AC53" s="99">
        <f t="shared" si="24"/>
        <v>786082004</v>
      </c>
      <c r="AD53" s="99">
        <f t="shared" si="24"/>
        <v>0</v>
      </c>
      <c r="AE53" s="99">
        <f t="shared" si="24"/>
        <v>0</v>
      </c>
      <c r="AF53" s="99">
        <f>AF54+AF57+AF59+AF61+AF63</f>
        <v>3955245119.8600001</v>
      </c>
      <c r="AH53" s="310"/>
    </row>
    <row r="54" spans="1:34" ht="21.75" customHeight="1" x14ac:dyDescent="0.2">
      <c r="A54" s="281"/>
      <c r="B54" s="433"/>
      <c r="C54" s="126">
        <v>18</v>
      </c>
      <c r="D54" s="101">
        <v>2402</v>
      </c>
      <c r="E54" s="424" t="s">
        <v>194</v>
      </c>
      <c r="F54" s="100"/>
      <c r="G54" s="101"/>
      <c r="H54" s="102"/>
      <c r="I54" s="100"/>
      <c r="J54" s="101"/>
      <c r="K54" s="100"/>
      <c r="L54" s="103"/>
      <c r="M54" s="103"/>
      <c r="N54" s="101"/>
      <c r="O54" s="101"/>
      <c r="P54" s="274"/>
      <c r="Q54" s="101"/>
      <c r="R54" s="100"/>
      <c r="S54" s="105">
        <f t="shared" ref="S54:AE54" si="25">SUM(S55:S55)</f>
        <v>0</v>
      </c>
      <c r="T54" s="105">
        <f t="shared" si="25"/>
        <v>0</v>
      </c>
      <c r="U54" s="105">
        <f t="shared" si="25"/>
        <v>184304077.94</v>
      </c>
      <c r="V54" s="105">
        <f t="shared" si="25"/>
        <v>0</v>
      </c>
      <c r="W54" s="105">
        <f t="shared" si="25"/>
        <v>0</v>
      </c>
      <c r="X54" s="105">
        <f t="shared" si="25"/>
        <v>0</v>
      </c>
      <c r="Y54" s="105">
        <f t="shared" si="25"/>
        <v>0</v>
      </c>
      <c r="Z54" s="105">
        <f t="shared" si="25"/>
        <v>0</v>
      </c>
      <c r="AA54" s="105">
        <f t="shared" si="25"/>
        <v>0</v>
      </c>
      <c r="AB54" s="105">
        <f t="shared" si="25"/>
        <v>0</v>
      </c>
      <c r="AC54" s="105">
        <f>SUM(AC55:AC56)</f>
        <v>584721336</v>
      </c>
      <c r="AD54" s="105">
        <f>SUM(AD55:AD56)</f>
        <v>0</v>
      </c>
      <c r="AE54" s="105">
        <f t="shared" si="25"/>
        <v>0</v>
      </c>
      <c r="AF54" s="105">
        <f>SUM(AF55:AF56)</f>
        <v>769025413.94000006</v>
      </c>
      <c r="AH54" s="310"/>
    </row>
    <row r="55" spans="1:34" s="132" customFormat="1" ht="91.5" customHeight="1" x14ac:dyDescent="0.2">
      <c r="A55" s="287"/>
      <c r="B55" s="430"/>
      <c r="C55" s="432"/>
      <c r="D55" s="233"/>
      <c r="E55" s="427">
        <v>2402</v>
      </c>
      <c r="F55" s="426" t="s">
        <v>1324</v>
      </c>
      <c r="G55" s="129" t="s">
        <v>195</v>
      </c>
      <c r="H55" s="7" t="s">
        <v>45</v>
      </c>
      <c r="I55" s="6" t="s">
        <v>196</v>
      </c>
      <c r="J55" s="129" t="s">
        <v>197</v>
      </c>
      <c r="K55" s="6" t="s">
        <v>1392</v>
      </c>
      <c r="L55" s="427" t="s">
        <v>51</v>
      </c>
      <c r="M55" s="427">
        <v>130</v>
      </c>
      <c r="N55" s="129">
        <v>130</v>
      </c>
      <c r="O55" s="129">
        <v>159</v>
      </c>
      <c r="P55" s="428" t="s">
        <v>198</v>
      </c>
      <c r="Q55" s="427" t="s">
        <v>199</v>
      </c>
      <c r="R55" s="426" t="s">
        <v>200</v>
      </c>
      <c r="S55" s="2"/>
      <c r="T55" s="2"/>
      <c r="U55" s="125">
        <f>479436488.05-295132410.11</f>
        <v>184304077.94</v>
      </c>
      <c r="V55" s="2"/>
      <c r="W55" s="2"/>
      <c r="X55" s="2"/>
      <c r="Y55" s="2"/>
      <c r="Z55" s="2"/>
      <c r="AA55" s="2"/>
      <c r="AB55" s="2"/>
      <c r="AC55" s="130">
        <f>143360668+141360668+266000000</f>
        <v>550721336</v>
      </c>
      <c r="AD55" s="2"/>
      <c r="AE55" s="2"/>
      <c r="AF55" s="131">
        <f>+S55+T55+U55+V55+W55+X55+Y55+Z55+AA55+AB55+AC55+AD55+AE55</f>
        <v>735025413.94000006</v>
      </c>
      <c r="AH55" s="310"/>
    </row>
    <row r="56" spans="1:34" s="132" customFormat="1" ht="91.5" customHeight="1" x14ac:dyDescent="0.2">
      <c r="A56" s="287"/>
      <c r="B56" s="430"/>
      <c r="C56" s="432"/>
      <c r="D56" s="233"/>
      <c r="E56" s="427">
        <v>2402</v>
      </c>
      <c r="F56" s="426" t="s">
        <v>1433</v>
      </c>
      <c r="G56" s="129" t="s">
        <v>1434</v>
      </c>
      <c r="H56" s="7" t="s">
        <v>45</v>
      </c>
      <c r="I56" s="6" t="s">
        <v>1435</v>
      </c>
      <c r="J56" s="129" t="s">
        <v>1436</v>
      </c>
      <c r="K56" s="6" t="s">
        <v>1437</v>
      </c>
      <c r="L56" s="427" t="s">
        <v>141</v>
      </c>
      <c r="M56" s="427">
        <v>8</v>
      </c>
      <c r="N56" s="129">
        <v>1</v>
      </c>
      <c r="O56" s="129">
        <v>1</v>
      </c>
      <c r="P56" s="428"/>
      <c r="Q56" s="427"/>
      <c r="R56" s="426"/>
      <c r="S56" s="2"/>
      <c r="T56" s="2"/>
      <c r="U56" s="125"/>
      <c r="V56" s="2"/>
      <c r="W56" s="2"/>
      <c r="X56" s="2"/>
      <c r="Y56" s="2"/>
      <c r="Z56" s="2"/>
      <c r="AA56" s="2"/>
      <c r="AB56" s="2"/>
      <c r="AC56" s="130">
        <f>0+34000000</f>
        <v>34000000</v>
      </c>
      <c r="AD56" s="2"/>
      <c r="AE56" s="2"/>
      <c r="AF56" s="131">
        <f>+S56+T56+U56+V56+W56+X56+Y56+Z56+AA56+AB56+AC56+AD56+AE56</f>
        <v>34000000</v>
      </c>
      <c r="AH56" s="310"/>
    </row>
    <row r="57" spans="1:34" ht="23.25" customHeight="1" x14ac:dyDescent="0.2">
      <c r="A57" s="281"/>
      <c r="B57" s="434"/>
      <c r="C57" s="126">
        <v>21</v>
      </c>
      <c r="D57" s="101" t="s">
        <v>201</v>
      </c>
      <c r="E57" s="424" t="s">
        <v>202</v>
      </c>
      <c r="F57" s="100"/>
      <c r="G57" s="101"/>
      <c r="H57" s="102"/>
      <c r="I57" s="100"/>
      <c r="J57" s="101"/>
      <c r="K57" s="100"/>
      <c r="L57" s="103"/>
      <c r="M57" s="103"/>
      <c r="N57" s="101"/>
      <c r="O57" s="101"/>
      <c r="P57" s="274"/>
      <c r="Q57" s="101"/>
      <c r="R57" s="100"/>
      <c r="S57" s="105">
        <f t="shared" ref="S57:AF57" si="26">S58</f>
        <v>0</v>
      </c>
      <c r="T57" s="105">
        <f t="shared" si="26"/>
        <v>0</v>
      </c>
      <c r="U57" s="105">
        <f t="shared" si="26"/>
        <v>0</v>
      </c>
      <c r="V57" s="105">
        <f t="shared" si="26"/>
        <v>0</v>
      </c>
      <c r="W57" s="105">
        <f t="shared" si="26"/>
        <v>0</v>
      </c>
      <c r="X57" s="105">
        <f t="shared" si="26"/>
        <v>0</v>
      </c>
      <c r="Y57" s="105">
        <f t="shared" si="26"/>
        <v>0</v>
      </c>
      <c r="Z57" s="105">
        <f t="shared" si="26"/>
        <v>0</v>
      </c>
      <c r="AA57" s="105">
        <f t="shared" si="26"/>
        <v>0</v>
      </c>
      <c r="AB57" s="105">
        <f t="shared" si="26"/>
        <v>0</v>
      </c>
      <c r="AC57" s="105">
        <f t="shared" si="26"/>
        <v>1000000</v>
      </c>
      <c r="AD57" s="105">
        <f t="shared" si="26"/>
        <v>0</v>
      </c>
      <c r="AE57" s="105">
        <f t="shared" si="26"/>
        <v>0</v>
      </c>
      <c r="AF57" s="105">
        <f t="shared" si="26"/>
        <v>1000000</v>
      </c>
      <c r="AH57" s="310"/>
    </row>
    <row r="58" spans="1:34" ht="63.75" customHeight="1" x14ac:dyDescent="0.2">
      <c r="A58" s="281"/>
      <c r="B58" s="434"/>
      <c r="C58" s="423"/>
      <c r="D58" s="421"/>
      <c r="E58" s="412">
        <v>3202</v>
      </c>
      <c r="F58" s="410" t="s">
        <v>203</v>
      </c>
      <c r="G58" s="412" t="s">
        <v>204</v>
      </c>
      <c r="H58" s="129">
        <v>3202033</v>
      </c>
      <c r="I58" s="410" t="s">
        <v>205</v>
      </c>
      <c r="J58" s="412" t="s">
        <v>206</v>
      </c>
      <c r="K58" s="410" t="s">
        <v>205</v>
      </c>
      <c r="L58" s="412" t="s">
        <v>141</v>
      </c>
      <c r="M58" s="412">
        <v>1</v>
      </c>
      <c r="N58" s="412">
        <v>0.1</v>
      </c>
      <c r="O58" s="412">
        <v>0</v>
      </c>
      <c r="P58" s="411" t="s">
        <v>186</v>
      </c>
      <c r="Q58" s="412" t="s">
        <v>187</v>
      </c>
      <c r="R58" s="411" t="s">
        <v>188</v>
      </c>
      <c r="S58" s="2"/>
      <c r="T58" s="2"/>
      <c r="U58" s="420"/>
      <c r="V58" s="2"/>
      <c r="W58" s="2"/>
      <c r="X58" s="2"/>
      <c r="Y58" s="2"/>
      <c r="Z58" s="2"/>
      <c r="AA58" s="2"/>
      <c r="AB58" s="2"/>
      <c r="AC58" s="130">
        <v>1000000</v>
      </c>
      <c r="AD58" s="2"/>
      <c r="AE58" s="2"/>
      <c r="AF58" s="106">
        <f>+S58+T58+U58+V58+W58+X58+Y58+Z58+AA58+AB58+AC58+AD58+AE58</f>
        <v>1000000</v>
      </c>
      <c r="AH58" s="310"/>
    </row>
    <row r="59" spans="1:34" ht="19.5" customHeight="1" x14ac:dyDescent="0.2">
      <c r="A59" s="281"/>
      <c r="B59" s="434"/>
      <c r="C59" s="126">
        <v>23</v>
      </c>
      <c r="D59" s="101">
        <v>3205</v>
      </c>
      <c r="E59" s="424" t="s">
        <v>207</v>
      </c>
      <c r="F59" s="100"/>
      <c r="G59" s="101"/>
      <c r="H59" s="102"/>
      <c r="I59" s="100"/>
      <c r="J59" s="101"/>
      <c r="K59" s="100"/>
      <c r="L59" s="103"/>
      <c r="M59" s="103"/>
      <c r="N59" s="101"/>
      <c r="O59" s="101"/>
      <c r="P59" s="274"/>
      <c r="Q59" s="101"/>
      <c r="R59" s="100"/>
      <c r="S59" s="105">
        <f t="shared" ref="S59:AF59" si="27">SUM(S60:S60)</f>
        <v>0</v>
      </c>
      <c r="T59" s="105">
        <f t="shared" si="27"/>
        <v>0</v>
      </c>
      <c r="U59" s="105">
        <f t="shared" si="27"/>
        <v>0</v>
      </c>
      <c r="V59" s="105">
        <f t="shared" si="27"/>
        <v>0</v>
      </c>
      <c r="W59" s="105">
        <f t="shared" si="27"/>
        <v>0</v>
      </c>
      <c r="X59" s="105">
        <f t="shared" si="27"/>
        <v>0</v>
      </c>
      <c r="Y59" s="105">
        <f t="shared" si="27"/>
        <v>0</v>
      </c>
      <c r="Z59" s="105">
        <f t="shared" si="27"/>
        <v>0</v>
      </c>
      <c r="AA59" s="105">
        <f t="shared" si="27"/>
        <v>0</v>
      </c>
      <c r="AB59" s="105">
        <f t="shared" si="27"/>
        <v>0</v>
      </c>
      <c r="AC59" s="105">
        <f t="shared" si="27"/>
        <v>170360668</v>
      </c>
      <c r="AD59" s="105">
        <f t="shared" si="27"/>
        <v>0</v>
      </c>
      <c r="AE59" s="105">
        <f t="shared" si="27"/>
        <v>0</v>
      </c>
      <c r="AF59" s="105">
        <f t="shared" si="27"/>
        <v>170360668</v>
      </c>
      <c r="AH59" s="310"/>
    </row>
    <row r="60" spans="1:34" s="132" customFormat="1" ht="97.5" customHeight="1" x14ac:dyDescent="0.2">
      <c r="A60" s="287"/>
      <c r="B60" s="430"/>
      <c r="C60" s="432"/>
      <c r="D60" s="233"/>
      <c r="E60" s="427">
        <v>3205</v>
      </c>
      <c r="F60" s="426" t="s">
        <v>203</v>
      </c>
      <c r="G60" s="427" t="s">
        <v>329</v>
      </c>
      <c r="H60" s="129">
        <v>3205021</v>
      </c>
      <c r="I60" s="426" t="s">
        <v>209</v>
      </c>
      <c r="J60" s="427" t="s">
        <v>208</v>
      </c>
      <c r="K60" s="426" t="s">
        <v>210</v>
      </c>
      <c r="L60" s="435" t="s">
        <v>141</v>
      </c>
      <c r="M60" s="435">
        <v>8</v>
      </c>
      <c r="N60" s="435">
        <v>1</v>
      </c>
      <c r="O60" s="435">
        <v>1</v>
      </c>
      <c r="P60" s="428" t="s">
        <v>198</v>
      </c>
      <c r="Q60" s="427" t="s">
        <v>199</v>
      </c>
      <c r="R60" s="426" t="s">
        <v>200</v>
      </c>
      <c r="S60" s="2"/>
      <c r="T60" s="2"/>
      <c r="U60" s="420"/>
      <c r="V60" s="2"/>
      <c r="W60" s="2"/>
      <c r="X60" s="2"/>
      <c r="Y60" s="2"/>
      <c r="Z60" s="2"/>
      <c r="AA60" s="2"/>
      <c r="AB60" s="2"/>
      <c r="AC60" s="130">
        <v>170360668</v>
      </c>
      <c r="AD60" s="2"/>
      <c r="AE60" s="2"/>
      <c r="AF60" s="131">
        <f>+S60+T60+U60+V60+W60+X60+Y60+Z60+AA60+AB60+AC60+AD60+AE60</f>
        <v>170360668</v>
      </c>
      <c r="AH60" s="310"/>
    </row>
    <row r="61" spans="1:34" ht="21.75" customHeight="1" x14ac:dyDescent="0.2">
      <c r="A61" s="281"/>
      <c r="B61" s="434"/>
      <c r="C61" s="126">
        <v>33</v>
      </c>
      <c r="D61" s="101">
        <v>4001</v>
      </c>
      <c r="E61" s="424" t="s">
        <v>211</v>
      </c>
      <c r="F61" s="100"/>
      <c r="G61" s="101"/>
      <c r="H61" s="102"/>
      <c r="I61" s="100"/>
      <c r="J61" s="101"/>
      <c r="K61" s="100"/>
      <c r="L61" s="103"/>
      <c r="M61" s="103"/>
      <c r="N61" s="101"/>
      <c r="O61" s="101"/>
      <c r="P61" s="274"/>
      <c r="Q61" s="101"/>
      <c r="R61" s="100"/>
      <c r="S61" s="105">
        <f t="shared" ref="S61:AF61" si="28">S62</f>
        <v>129129296.87</v>
      </c>
      <c r="T61" s="105">
        <f t="shared" si="28"/>
        <v>0</v>
      </c>
      <c r="U61" s="105">
        <f t="shared" si="28"/>
        <v>0</v>
      </c>
      <c r="V61" s="105">
        <f t="shared" si="28"/>
        <v>0</v>
      </c>
      <c r="W61" s="105">
        <f t="shared" si="28"/>
        <v>0</v>
      </c>
      <c r="X61" s="105">
        <f t="shared" si="28"/>
        <v>0</v>
      </c>
      <c r="Y61" s="105">
        <f t="shared" si="28"/>
        <v>0</v>
      </c>
      <c r="Z61" s="105">
        <f t="shared" si="28"/>
        <v>0</v>
      </c>
      <c r="AA61" s="105">
        <f t="shared" si="28"/>
        <v>0</v>
      </c>
      <c r="AB61" s="105">
        <f t="shared" si="28"/>
        <v>0</v>
      </c>
      <c r="AC61" s="105">
        <f t="shared" si="28"/>
        <v>0</v>
      </c>
      <c r="AD61" s="105">
        <f t="shared" si="28"/>
        <v>0</v>
      </c>
      <c r="AE61" s="105">
        <f t="shared" si="28"/>
        <v>0</v>
      </c>
      <c r="AF61" s="105">
        <f t="shared" si="28"/>
        <v>129129296.87</v>
      </c>
      <c r="AH61" s="310"/>
    </row>
    <row r="62" spans="1:34" ht="82.5" customHeight="1" x14ac:dyDescent="0.2">
      <c r="A62" s="281"/>
      <c r="B62" s="434"/>
      <c r="C62" s="423"/>
      <c r="D62" s="421"/>
      <c r="E62" s="412">
        <v>4001</v>
      </c>
      <c r="F62" s="410" t="s">
        <v>1325</v>
      </c>
      <c r="G62" s="195" t="s">
        <v>212</v>
      </c>
      <c r="H62" s="7">
        <v>4001015</v>
      </c>
      <c r="I62" s="410" t="s">
        <v>213</v>
      </c>
      <c r="J62" s="195" t="s">
        <v>214</v>
      </c>
      <c r="K62" s="200" t="s">
        <v>215</v>
      </c>
      <c r="L62" s="412" t="s">
        <v>141</v>
      </c>
      <c r="M62" s="412">
        <v>300</v>
      </c>
      <c r="N62" s="412">
        <v>10</v>
      </c>
      <c r="O62" s="412">
        <v>0</v>
      </c>
      <c r="P62" s="411" t="s">
        <v>216</v>
      </c>
      <c r="Q62" s="412" t="s">
        <v>161</v>
      </c>
      <c r="R62" s="410" t="s">
        <v>162</v>
      </c>
      <c r="S62" s="2">
        <f>702546165-270099880.13-303316988</f>
        <v>129129296.87</v>
      </c>
      <c r="T62" s="2"/>
      <c r="U62" s="420"/>
      <c r="V62" s="2"/>
      <c r="W62" s="2"/>
      <c r="X62" s="2"/>
      <c r="Y62" s="2"/>
      <c r="Z62" s="2"/>
      <c r="AA62" s="2"/>
      <c r="AB62" s="2"/>
      <c r="AC62" s="8"/>
      <c r="AD62" s="2"/>
      <c r="AE62" s="2"/>
      <c r="AF62" s="106">
        <f>+S62+T62+U62+V62+W62+X62+Y62+Z62+AA62+AB62+AC62+AD62+AE62</f>
        <v>129129296.87</v>
      </c>
      <c r="AH62" s="310"/>
    </row>
    <row r="63" spans="1:34" ht="21" customHeight="1" x14ac:dyDescent="0.2">
      <c r="A63" s="281"/>
      <c r="B63" s="434"/>
      <c r="C63" s="126">
        <v>34</v>
      </c>
      <c r="D63" s="101">
        <v>4003</v>
      </c>
      <c r="E63" s="424" t="s">
        <v>217</v>
      </c>
      <c r="F63" s="100"/>
      <c r="G63" s="101"/>
      <c r="H63" s="102"/>
      <c r="I63" s="100"/>
      <c r="J63" s="101"/>
      <c r="K63" s="100"/>
      <c r="L63" s="103"/>
      <c r="M63" s="103"/>
      <c r="N63" s="101"/>
      <c r="O63" s="101"/>
      <c r="P63" s="274"/>
      <c r="Q63" s="101"/>
      <c r="R63" s="100"/>
      <c r="S63" s="105">
        <f t="shared" ref="S63:AF63" si="29">SUM(S64:S68)</f>
        <v>75293233.930000007</v>
      </c>
      <c r="T63" s="105">
        <f t="shared" si="29"/>
        <v>0</v>
      </c>
      <c r="U63" s="105">
        <f t="shared" si="29"/>
        <v>0</v>
      </c>
      <c r="V63" s="105">
        <f t="shared" si="29"/>
        <v>0</v>
      </c>
      <c r="W63" s="105">
        <f t="shared" si="29"/>
        <v>0</v>
      </c>
      <c r="X63" s="105">
        <f t="shared" si="29"/>
        <v>0</v>
      </c>
      <c r="Y63" s="105">
        <f t="shared" si="29"/>
        <v>0</v>
      </c>
      <c r="Z63" s="105">
        <f t="shared" si="29"/>
        <v>0</v>
      </c>
      <c r="AA63" s="105">
        <f t="shared" si="29"/>
        <v>0</v>
      </c>
      <c r="AB63" s="105">
        <f t="shared" si="29"/>
        <v>2780436507.1199999</v>
      </c>
      <c r="AC63" s="105">
        <f t="shared" si="29"/>
        <v>30000000</v>
      </c>
      <c r="AD63" s="105">
        <f t="shared" si="29"/>
        <v>0</v>
      </c>
      <c r="AE63" s="105">
        <f t="shared" si="29"/>
        <v>0</v>
      </c>
      <c r="AF63" s="105">
        <f t="shared" si="29"/>
        <v>2885729741.0500002</v>
      </c>
      <c r="AH63" s="310"/>
    </row>
    <row r="64" spans="1:34" ht="85.5" customHeight="1" x14ac:dyDescent="0.2">
      <c r="A64" s="281"/>
      <c r="B64" s="434"/>
      <c r="C64" s="423"/>
      <c r="D64" s="421"/>
      <c r="E64" s="412">
        <v>4003</v>
      </c>
      <c r="F64" s="6" t="s">
        <v>218</v>
      </c>
      <c r="G64" s="412" t="s">
        <v>219</v>
      </c>
      <c r="H64" s="7" t="s">
        <v>45</v>
      </c>
      <c r="I64" s="410" t="s">
        <v>220</v>
      </c>
      <c r="J64" s="412" t="s">
        <v>221</v>
      </c>
      <c r="K64" s="410" t="s">
        <v>222</v>
      </c>
      <c r="L64" s="412" t="s">
        <v>51</v>
      </c>
      <c r="M64" s="412">
        <v>1</v>
      </c>
      <c r="N64" s="412">
        <v>1</v>
      </c>
      <c r="O64" s="412">
        <v>0</v>
      </c>
      <c r="P64" s="486" t="s">
        <v>223</v>
      </c>
      <c r="Q64" s="470" t="s">
        <v>224</v>
      </c>
      <c r="R64" s="471" t="s">
        <v>1326</v>
      </c>
      <c r="S64" s="2"/>
      <c r="T64" s="2"/>
      <c r="U64" s="420"/>
      <c r="V64" s="2"/>
      <c r="W64" s="2"/>
      <c r="X64" s="2"/>
      <c r="Y64" s="2"/>
      <c r="Z64" s="2"/>
      <c r="AA64" s="2"/>
      <c r="AB64" s="2"/>
      <c r="AC64" s="8">
        <v>30000000</v>
      </c>
      <c r="AD64" s="2"/>
      <c r="AE64" s="2"/>
      <c r="AF64" s="106">
        <f>+S64+T64+U64+V64+W64+X64+Y64+Z64+AA64+AB64+AC64+AD64+AE64</f>
        <v>30000000</v>
      </c>
      <c r="AH64" s="310"/>
    </row>
    <row r="65" spans="1:35" ht="67.5" customHeight="1" x14ac:dyDescent="0.2">
      <c r="A65" s="281"/>
      <c r="B65" s="434"/>
      <c r="C65" s="423"/>
      <c r="D65" s="421"/>
      <c r="E65" s="412">
        <v>4003</v>
      </c>
      <c r="F65" s="6" t="s">
        <v>1374</v>
      </c>
      <c r="G65" s="247" t="s">
        <v>226</v>
      </c>
      <c r="H65" s="129">
        <v>4003018</v>
      </c>
      <c r="I65" s="9" t="s">
        <v>227</v>
      </c>
      <c r="J65" s="247" t="s">
        <v>228</v>
      </c>
      <c r="K65" s="9" t="s">
        <v>229</v>
      </c>
      <c r="L65" s="412" t="s">
        <v>141</v>
      </c>
      <c r="M65" s="412">
        <v>2</v>
      </c>
      <c r="N65" s="129">
        <v>1</v>
      </c>
      <c r="O65" s="129">
        <v>0</v>
      </c>
      <c r="P65" s="486"/>
      <c r="Q65" s="470"/>
      <c r="R65" s="471"/>
      <c r="S65" s="2"/>
      <c r="T65" s="2"/>
      <c r="U65" s="420"/>
      <c r="V65" s="2"/>
      <c r="W65" s="2"/>
      <c r="X65" s="2"/>
      <c r="Y65" s="2"/>
      <c r="Z65" s="2"/>
      <c r="AA65" s="2"/>
      <c r="AB65" s="2">
        <v>681900630</v>
      </c>
      <c r="AC65" s="8"/>
      <c r="AD65" s="2"/>
      <c r="AE65" s="2"/>
      <c r="AF65" s="106">
        <f>+S65+T65+U65+V65+W65+X65+Y65+Z65+AA65+AB65+AC65+AD65+AE65</f>
        <v>681900630</v>
      </c>
      <c r="AH65" s="310"/>
    </row>
    <row r="66" spans="1:35" ht="60" customHeight="1" x14ac:dyDescent="0.2">
      <c r="A66" s="281"/>
      <c r="B66" s="434"/>
      <c r="C66" s="423"/>
      <c r="D66" s="421"/>
      <c r="E66" s="412">
        <v>4003</v>
      </c>
      <c r="F66" s="6" t="s">
        <v>218</v>
      </c>
      <c r="G66" s="195" t="s">
        <v>230</v>
      </c>
      <c r="H66" s="129">
        <v>4003025</v>
      </c>
      <c r="I66" s="9" t="s">
        <v>231</v>
      </c>
      <c r="J66" s="195" t="s">
        <v>232</v>
      </c>
      <c r="K66" s="199" t="s">
        <v>233</v>
      </c>
      <c r="L66" s="198" t="s">
        <v>141</v>
      </c>
      <c r="M66" s="198">
        <v>12</v>
      </c>
      <c r="N66" s="198">
        <v>1</v>
      </c>
      <c r="O66" s="198">
        <v>1</v>
      </c>
      <c r="P66" s="486"/>
      <c r="Q66" s="470"/>
      <c r="R66" s="471"/>
      <c r="S66" s="2">
        <f>476050000-400756766.07</f>
        <v>75293233.930000007</v>
      </c>
      <c r="T66" s="2"/>
      <c r="U66" s="420"/>
      <c r="V66" s="2"/>
      <c r="W66" s="2"/>
      <c r="X66" s="2"/>
      <c r="Y66" s="2"/>
      <c r="Z66" s="2"/>
      <c r="AA66" s="2"/>
      <c r="AB66" s="2">
        <v>1288535877.1199999</v>
      </c>
      <c r="AC66" s="8"/>
      <c r="AD66" s="2"/>
      <c r="AE66" s="2"/>
      <c r="AF66" s="106">
        <f>+S66+T66+U66+V66+W66+X66+Y66+Z66+AA66+AB66+AC66+AD66+AE66</f>
        <v>1363829111.05</v>
      </c>
      <c r="AH66" s="310"/>
    </row>
    <row r="67" spans="1:35" ht="71.25" customHeight="1" x14ac:dyDescent="0.2">
      <c r="A67" s="281"/>
      <c r="B67" s="434"/>
      <c r="C67" s="423"/>
      <c r="D67" s="421"/>
      <c r="E67" s="412">
        <v>4003</v>
      </c>
      <c r="F67" s="6" t="s">
        <v>218</v>
      </c>
      <c r="G67" s="247" t="s">
        <v>234</v>
      </c>
      <c r="H67" s="129">
        <v>4003028</v>
      </c>
      <c r="I67" s="9" t="s">
        <v>235</v>
      </c>
      <c r="J67" s="247" t="s">
        <v>236</v>
      </c>
      <c r="K67" s="9" t="s">
        <v>237</v>
      </c>
      <c r="L67" s="412" t="s">
        <v>51</v>
      </c>
      <c r="M67" s="412">
        <v>4</v>
      </c>
      <c r="N67" s="129">
        <v>4</v>
      </c>
      <c r="O67" s="129">
        <v>4</v>
      </c>
      <c r="P67" s="486"/>
      <c r="Q67" s="470"/>
      <c r="R67" s="471"/>
      <c r="S67" s="2"/>
      <c r="T67" s="2"/>
      <c r="U67" s="420"/>
      <c r="V67" s="2"/>
      <c r="W67" s="2"/>
      <c r="X67" s="2"/>
      <c r="Y67" s="2"/>
      <c r="Z67" s="2"/>
      <c r="AA67" s="2"/>
      <c r="AB67" s="2">
        <v>125000000</v>
      </c>
      <c r="AC67" s="8"/>
      <c r="AD67" s="2"/>
      <c r="AE67" s="2"/>
      <c r="AF67" s="106">
        <f>+S67+T67+U67+V67+W67+X67+Y67+Z67+AA67+AB67+AC67+AD67+AE67</f>
        <v>125000000</v>
      </c>
      <c r="AH67" s="310"/>
    </row>
    <row r="68" spans="1:35" ht="56.25" customHeight="1" x14ac:dyDescent="0.2">
      <c r="A68" s="281"/>
      <c r="B68" s="441"/>
      <c r="C68" s="423"/>
      <c r="D68" s="421"/>
      <c r="E68" s="412">
        <v>4003</v>
      </c>
      <c r="F68" s="6" t="s">
        <v>218</v>
      </c>
      <c r="G68" s="247" t="s">
        <v>238</v>
      </c>
      <c r="H68" s="129">
        <v>4003042</v>
      </c>
      <c r="I68" s="9" t="s">
        <v>239</v>
      </c>
      <c r="J68" s="247" t="s">
        <v>240</v>
      </c>
      <c r="K68" s="9" t="s">
        <v>241</v>
      </c>
      <c r="L68" s="412" t="s">
        <v>141</v>
      </c>
      <c r="M68" s="412">
        <v>8</v>
      </c>
      <c r="N68" s="129">
        <v>1</v>
      </c>
      <c r="O68" s="129">
        <v>1</v>
      </c>
      <c r="P68" s="486"/>
      <c r="Q68" s="470"/>
      <c r="R68" s="471"/>
      <c r="S68" s="2"/>
      <c r="T68" s="2"/>
      <c r="U68" s="420"/>
      <c r="V68" s="2"/>
      <c r="W68" s="2"/>
      <c r="X68" s="2"/>
      <c r="Y68" s="2"/>
      <c r="Z68" s="2"/>
      <c r="AA68" s="2"/>
      <c r="AB68" s="2">
        <v>685000000</v>
      </c>
      <c r="AC68" s="8"/>
      <c r="AD68" s="2"/>
      <c r="AE68" s="2"/>
      <c r="AF68" s="106">
        <f>+S68+T68+U68+V68+W68+X68+Y68+Z68+AA68+AB68+AC68+AD68+AE68</f>
        <v>685000000</v>
      </c>
      <c r="AH68" s="310"/>
    </row>
    <row r="69" spans="1:35" ht="21.75" customHeight="1" x14ac:dyDescent="0.2">
      <c r="A69" s="281"/>
      <c r="B69" s="170">
        <v>4</v>
      </c>
      <c r="C69" s="93" t="s">
        <v>70</v>
      </c>
      <c r="D69" s="94"/>
      <c r="E69" s="94"/>
      <c r="F69" s="95"/>
      <c r="G69" s="96"/>
      <c r="H69" s="97"/>
      <c r="I69" s="95"/>
      <c r="J69" s="96"/>
      <c r="K69" s="95"/>
      <c r="L69" s="98"/>
      <c r="M69" s="98"/>
      <c r="N69" s="96"/>
      <c r="O69" s="96"/>
      <c r="P69" s="276"/>
      <c r="Q69" s="96"/>
      <c r="R69" s="95"/>
      <c r="S69" s="99">
        <f t="shared" ref="S69:AE69" si="30">S70+S72</f>
        <v>0</v>
      </c>
      <c r="T69" s="99">
        <f t="shared" si="30"/>
        <v>0</v>
      </c>
      <c r="U69" s="99">
        <f t="shared" si="30"/>
        <v>0</v>
      </c>
      <c r="V69" s="99">
        <f t="shared" si="30"/>
        <v>0</v>
      </c>
      <c r="W69" s="99">
        <f t="shared" si="30"/>
        <v>0</v>
      </c>
      <c r="X69" s="99">
        <f t="shared" si="30"/>
        <v>0</v>
      </c>
      <c r="Y69" s="99">
        <f t="shared" si="30"/>
        <v>0</v>
      </c>
      <c r="Z69" s="99">
        <f t="shared" si="30"/>
        <v>0</v>
      </c>
      <c r="AA69" s="99">
        <f t="shared" si="30"/>
        <v>0</v>
      </c>
      <c r="AB69" s="99">
        <f t="shared" si="30"/>
        <v>0</v>
      </c>
      <c r="AC69" s="99">
        <f t="shared" si="30"/>
        <v>36041593.740000002</v>
      </c>
      <c r="AD69" s="99">
        <f t="shared" si="30"/>
        <v>60660648</v>
      </c>
      <c r="AE69" s="99">
        <f t="shared" si="30"/>
        <v>0</v>
      </c>
      <c r="AF69" s="99">
        <f>AF70+AF72</f>
        <v>96702241.739999995</v>
      </c>
      <c r="AH69" s="310"/>
    </row>
    <row r="70" spans="1:35" ht="21.75" customHeight="1" x14ac:dyDescent="0.2">
      <c r="A70" s="281"/>
      <c r="B70" s="433"/>
      <c r="C70" s="126">
        <v>45</v>
      </c>
      <c r="D70" s="101" t="s">
        <v>45</v>
      </c>
      <c r="E70" s="424" t="s">
        <v>46</v>
      </c>
      <c r="F70" s="100"/>
      <c r="G70" s="101"/>
      <c r="H70" s="102"/>
      <c r="I70" s="100"/>
      <c r="J70" s="101"/>
      <c r="K70" s="100"/>
      <c r="L70" s="103"/>
      <c r="M70" s="103"/>
      <c r="N70" s="101"/>
      <c r="O70" s="101"/>
      <c r="P70" s="274"/>
      <c r="Q70" s="101"/>
      <c r="R70" s="100"/>
      <c r="S70" s="105">
        <f t="shared" ref="S70:AF70" si="31">S71</f>
        <v>0</v>
      </c>
      <c r="T70" s="105">
        <f t="shared" si="31"/>
        <v>0</v>
      </c>
      <c r="U70" s="105">
        <f t="shared" si="31"/>
        <v>0</v>
      </c>
      <c r="V70" s="105">
        <f t="shared" si="31"/>
        <v>0</v>
      </c>
      <c r="W70" s="105">
        <f t="shared" si="31"/>
        <v>0</v>
      </c>
      <c r="X70" s="105">
        <f t="shared" si="31"/>
        <v>0</v>
      </c>
      <c r="Y70" s="105">
        <f t="shared" si="31"/>
        <v>0</v>
      </c>
      <c r="Z70" s="105">
        <f t="shared" si="31"/>
        <v>0</v>
      </c>
      <c r="AA70" s="105">
        <f t="shared" si="31"/>
        <v>0</v>
      </c>
      <c r="AB70" s="105">
        <f t="shared" si="31"/>
        <v>0</v>
      </c>
      <c r="AC70" s="105">
        <f t="shared" si="31"/>
        <v>12013864.58</v>
      </c>
      <c r="AD70" s="105">
        <f t="shared" si="31"/>
        <v>60660648</v>
      </c>
      <c r="AE70" s="105">
        <f t="shared" si="31"/>
        <v>0</v>
      </c>
      <c r="AF70" s="105">
        <f t="shared" si="31"/>
        <v>72674512.579999998</v>
      </c>
      <c r="AH70" s="310"/>
    </row>
    <row r="71" spans="1:35" ht="91.5" customHeight="1" x14ac:dyDescent="0.2">
      <c r="A71" s="281"/>
      <c r="B71" s="434"/>
      <c r="C71" s="423"/>
      <c r="D71" s="421"/>
      <c r="E71" s="412" t="s">
        <v>45</v>
      </c>
      <c r="F71" s="411" t="s">
        <v>47</v>
      </c>
      <c r="G71" s="316" t="s">
        <v>242</v>
      </c>
      <c r="H71" s="412" t="s">
        <v>45</v>
      </c>
      <c r="I71" s="411" t="s">
        <v>243</v>
      </c>
      <c r="J71" s="316" t="s">
        <v>244</v>
      </c>
      <c r="K71" s="411" t="s">
        <v>245</v>
      </c>
      <c r="L71" s="412" t="s">
        <v>51</v>
      </c>
      <c r="M71" s="412">
        <v>4</v>
      </c>
      <c r="N71" s="316">
        <v>4</v>
      </c>
      <c r="O71" s="316">
        <v>3</v>
      </c>
      <c r="P71" s="410" t="s">
        <v>52</v>
      </c>
      <c r="Q71" s="412" t="s">
        <v>161</v>
      </c>
      <c r="R71" s="410" t="s">
        <v>162</v>
      </c>
      <c r="S71" s="128"/>
      <c r="T71" s="2"/>
      <c r="U71" s="2"/>
      <c r="V71" s="2"/>
      <c r="W71" s="2"/>
      <c r="X71" s="2"/>
      <c r="Y71" s="2"/>
      <c r="Z71" s="2"/>
      <c r="AA71" s="2"/>
      <c r="AB71" s="2"/>
      <c r="AC71" s="8">
        <v>12013864.58</v>
      </c>
      <c r="AD71" s="8">
        <v>60660648</v>
      </c>
      <c r="AE71" s="2"/>
      <c r="AF71" s="106">
        <f>+S71+T71+U71+V71+W71+X71+Y71+Z71+AA71+AB71+AC71+AD71+AE71</f>
        <v>72674512.579999998</v>
      </c>
      <c r="AH71" s="310"/>
    </row>
    <row r="72" spans="1:35" ht="24.75" customHeight="1" x14ac:dyDescent="0.2">
      <c r="A72" s="281"/>
      <c r="B72" s="434"/>
      <c r="C72" s="126">
        <v>42</v>
      </c>
      <c r="D72" s="101">
        <v>4502</v>
      </c>
      <c r="E72" s="424" t="s">
        <v>61</v>
      </c>
      <c r="F72" s="100"/>
      <c r="G72" s="101"/>
      <c r="H72" s="102"/>
      <c r="I72" s="100"/>
      <c r="J72" s="101"/>
      <c r="K72" s="100"/>
      <c r="L72" s="103"/>
      <c r="M72" s="103"/>
      <c r="N72" s="101"/>
      <c r="O72" s="101"/>
      <c r="P72" s="274"/>
      <c r="Q72" s="101"/>
      <c r="R72" s="100"/>
      <c r="S72" s="105">
        <f t="shared" ref="S72:AF72" si="32">S73</f>
        <v>0</v>
      </c>
      <c r="T72" s="105">
        <f t="shared" si="32"/>
        <v>0</v>
      </c>
      <c r="U72" s="105">
        <f t="shared" si="32"/>
        <v>0</v>
      </c>
      <c r="V72" s="105">
        <f t="shared" si="32"/>
        <v>0</v>
      </c>
      <c r="W72" s="105">
        <f t="shared" si="32"/>
        <v>0</v>
      </c>
      <c r="X72" s="105">
        <f t="shared" si="32"/>
        <v>0</v>
      </c>
      <c r="Y72" s="105">
        <f t="shared" si="32"/>
        <v>0</v>
      </c>
      <c r="Z72" s="105">
        <f t="shared" si="32"/>
        <v>0</v>
      </c>
      <c r="AA72" s="105">
        <f t="shared" si="32"/>
        <v>0</v>
      </c>
      <c r="AB72" s="105">
        <f t="shared" si="32"/>
        <v>0</v>
      </c>
      <c r="AC72" s="105">
        <f t="shared" si="32"/>
        <v>24027729.16</v>
      </c>
      <c r="AD72" s="105">
        <f t="shared" si="32"/>
        <v>0</v>
      </c>
      <c r="AE72" s="105">
        <f t="shared" si="32"/>
        <v>0</v>
      </c>
      <c r="AF72" s="105">
        <f t="shared" si="32"/>
        <v>24027729.16</v>
      </c>
      <c r="AH72" s="310"/>
    </row>
    <row r="73" spans="1:35" ht="47.25" customHeight="1" x14ac:dyDescent="0.2">
      <c r="A73" s="282"/>
      <c r="B73" s="441"/>
      <c r="C73" s="423"/>
      <c r="D73" s="421"/>
      <c r="E73" s="412">
        <v>4502</v>
      </c>
      <c r="F73" s="410" t="s">
        <v>71</v>
      </c>
      <c r="G73" s="129" t="s">
        <v>246</v>
      </c>
      <c r="H73" s="129">
        <v>4502003</v>
      </c>
      <c r="I73" s="6" t="s">
        <v>247</v>
      </c>
      <c r="J73" s="129" t="s">
        <v>248</v>
      </c>
      <c r="K73" s="6" t="s">
        <v>247</v>
      </c>
      <c r="L73" s="412" t="s">
        <v>141</v>
      </c>
      <c r="M73" s="412">
        <v>8</v>
      </c>
      <c r="N73" s="129">
        <v>2</v>
      </c>
      <c r="O73" s="129">
        <v>2</v>
      </c>
      <c r="P73" s="411" t="s">
        <v>67</v>
      </c>
      <c r="Q73" s="412" t="s">
        <v>161</v>
      </c>
      <c r="R73" s="410" t="s">
        <v>162</v>
      </c>
      <c r="S73" s="128"/>
      <c r="T73" s="2"/>
      <c r="U73" s="2"/>
      <c r="V73" s="2"/>
      <c r="W73" s="2"/>
      <c r="X73" s="2"/>
      <c r="Y73" s="2"/>
      <c r="Z73" s="2"/>
      <c r="AA73" s="2"/>
      <c r="AB73" s="2"/>
      <c r="AC73" s="8">
        <v>24027729.16</v>
      </c>
      <c r="AD73" s="112"/>
      <c r="AE73" s="2"/>
      <c r="AF73" s="106">
        <f>+S73+T73+U73+V73+W73+X73+Y73+Z73+AA73+AB73+AC73+AD73+AE73</f>
        <v>24027729.16</v>
      </c>
      <c r="AH73" s="310"/>
    </row>
    <row r="74" spans="1:35" ht="15.75" x14ac:dyDescent="0.2">
      <c r="A74" s="135" t="s">
        <v>249</v>
      </c>
      <c r="B74" s="135"/>
      <c r="C74" s="135"/>
      <c r="D74" s="136"/>
      <c r="E74" s="136"/>
      <c r="F74" s="137"/>
      <c r="G74" s="138"/>
      <c r="H74" s="90"/>
      <c r="I74" s="137"/>
      <c r="J74" s="138"/>
      <c r="K74" s="137"/>
      <c r="L74" s="90"/>
      <c r="M74" s="90"/>
      <c r="N74" s="138"/>
      <c r="O74" s="138"/>
      <c r="P74" s="136"/>
      <c r="Q74" s="138"/>
      <c r="R74" s="137"/>
      <c r="S74" s="119">
        <f t="shared" ref="S74:AF74" si="33">+S75+S96+S104</f>
        <v>0</v>
      </c>
      <c r="T74" s="119">
        <f t="shared" si="33"/>
        <v>2192073558.0099998</v>
      </c>
      <c r="U74" s="119">
        <f t="shared" si="33"/>
        <v>0</v>
      </c>
      <c r="V74" s="119">
        <f t="shared" si="33"/>
        <v>0</v>
      </c>
      <c r="W74" s="119">
        <f t="shared" si="33"/>
        <v>0</v>
      </c>
      <c r="X74" s="119">
        <f t="shared" si="33"/>
        <v>0</v>
      </c>
      <c r="Y74" s="119">
        <f t="shared" si="33"/>
        <v>0</v>
      </c>
      <c r="Z74" s="119">
        <f t="shared" si="33"/>
        <v>0</v>
      </c>
      <c r="AA74" s="119">
        <f t="shared" si="33"/>
        <v>0</v>
      </c>
      <c r="AB74" s="119">
        <f t="shared" si="33"/>
        <v>0</v>
      </c>
      <c r="AC74" s="119">
        <f t="shared" si="33"/>
        <v>1638147036.3</v>
      </c>
      <c r="AD74" s="119">
        <f t="shared" si="33"/>
        <v>0</v>
      </c>
      <c r="AE74" s="119">
        <f t="shared" si="33"/>
        <v>0</v>
      </c>
      <c r="AF74" s="119">
        <f t="shared" si="33"/>
        <v>3830220594.3099999</v>
      </c>
      <c r="AG74" s="310"/>
      <c r="AH74" s="310"/>
      <c r="AI74" s="310"/>
    </row>
    <row r="75" spans="1:35" ht="15.75" x14ac:dyDescent="0.2">
      <c r="A75" s="283"/>
      <c r="B75" s="170">
        <v>1</v>
      </c>
      <c r="C75" s="93" t="s">
        <v>1</v>
      </c>
      <c r="D75" s="94"/>
      <c r="E75" s="94"/>
      <c r="F75" s="95"/>
      <c r="G75" s="96"/>
      <c r="H75" s="97"/>
      <c r="I75" s="95"/>
      <c r="J75" s="96"/>
      <c r="K75" s="95"/>
      <c r="L75" s="97"/>
      <c r="M75" s="97"/>
      <c r="N75" s="96"/>
      <c r="O75" s="96"/>
      <c r="P75" s="94"/>
      <c r="Q75" s="96"/>
      <c r="R75" s="95"/>
      <c r="S75" s="99">
        <f t="shared" ref="S75:AF75" si="34">+S76+S78+S80+S82+S84+S90+S92</f>
        <v>0</v>
      </c>
      <c r="T75" s="99">
        <f t="shared" si="34"/>
        <v>2192073558.0099998</v>
      </c>
      <c r="U75" s="99">
        <f t="shared" si="34"/>
        <v>0</v>
      </c>
      <c r="V75" s="99">
        <f t="shared" si="34"/>
        <v>0</v>
      </c>
      <c r="W75" s="99">
        <f t="shared" si="34"/>
        <v>0</v>
      </c>
      <c r="X75" s="99">
        <f t="shared" si="34"/>
        <v>0</v>
      </c>
      <c r="Y75" s="99">
        <f t="shared" si="34"/>
        <v>0</v>
      </c>
      <c r="Z75" s="99">
        <f t="shared" si="34"/>
        <v>0</v>
      </c>
      <c r="AA75" s="99">
        <f t="shared" si="34"/>
        <v>0</v>
      </c>
      <c r="AB75" s="99">
        <f t="shared" si="34"/>
        <v>0</v>
      </c>
      <c r="AC75" s="99">
        <f t="shared" si="34"/>
        <v>1051464495</v>
      </c>
      <c r="AD75" s="99">
        <f t="shared" si="34"/>
        <v>0</v>
      </c>
      <c r="AE75" s="99">
        <f t="shared" si="34"/>
        <v>0</v>
      </c>
      <c r="AF75" s="99">
        <f t="shared" si="34"/>
        <v>3243538053.0099998</v>
      </c>
      <c r="AH75" s="310"/>
    </row>
    <row r="76" spans="1:35" ht="15.75" x14ac:dyDescent="0.2">
      <c r="A76" s="281"/>
      <c r="B76" s="433"/>
      <c r="C76" s="126">
        <v>1</v>
      </c>
      <c r="D76" s="101">
        <v>1202</v>
      </c>
      <c r="E76" s="424" t="s">
        <v>1323</v>
      </c>
      <c r="F76" s="100"/>
      <c r="G76" s="101"/>
      <c r="H76" s="102"/>
      <c r="I76" s="100"/>
      <c r="J76" s="101"/>
      <c r="K76" s="100"/>
      <c r="L76" s="102"/>
      <c r="M76" s="102"/>
      <c r="N76" s="101"/>
      <c r="O76" s="101"/>
      <c r="P76" s="104"/>
      <c r="Q76" s="101"/>
      <c r="R76" s="100"/>
      <c r="S76" s="424"/>
      <c r="T76" s="424"/>
      <c r="U76" s="424"/>
      <c r="V76" s="424"/>
      <c r="W76" s="424"/>
      <c r="X76" s="424"/>
      <c r="Y76" s="424"/>
      <c r="Z76" s="424"/>
      <c r="AA76" s="424"/>
      <c r="AB76" s="424"/>
      <c r="AC76" s="248">
        <f>+AC77</f>
        <v>112128400</v>
      </c>
      <c r="AD76" s="424"/>
      <c r="AE76" s="424"/>
      <c r="AF76" s="248">
        <f>+AF77</f>
        <v>112128400</v>
      </c>
      <c r="AH76" s="310"/>
    </row>
    <row r="77" spans="1:35" ht="207" customHeight="1" x14ac:dyDescent="0.2">
      <c r="A77" s="281"/>
      <c r="B77" s="434"/>
      <c r="C77" s="423"/>
      <c r="D77" s="421"/>
      <c r="E77" s="412">
        <v>1202</v>
      </c>
      <c r="F77" s="410" t="s">
        <v>136</v>
      </c>
      <c r="G77" s="201" t="s">
        <v>250</v>
      </c>
      <c r="H77" s="316">
        <v>1202004</v>
      </c>
      <c r="I77" s="411" t="s">
        <v>1308</v>
      </c>
      <c r="J77" s="201" t="s">
        <v>251</v>
      </c>
      <c r="K77" s="202" t="s">
        <v>252</v>
      </c>
      <c r="L77" s="412" t="s">
        <v>51</v>
      </c>
      <c r="M77" s="412">
        <v>12</v>
      </c>
      <c r="N77" s="316">
        <v>12</v>
      </c>
      <c r="O77" s="223">
        <v>8</v>
      </c>
      <c r="P77" s="411" t="s">
        <v>253</v>
      </c>
      <c r="Q77" s="412" t="s">
        <v>254</v>
      </c>
      <c r="R77" s="410" t="s">
        <v>255</v>
      </c>
      <c r="S77" s="2"/>
      <c r="T77" s="20"/>
      <c r="U77" s="2"/>
      <c r="V77" s="2"/>
      <c r="W77" s="2"/>
      <c r="X77" s="2"/>
      <c r="Y77" s="2"/>
      <c r="Z77" s="2"/>
      <c r="AA77" s="2"/>
      <c r="AB77" s="2"/>
      <c r="AC77" s="8">
        <v>112128400</v>
      </c>
      <c r="AD77" s="2"/>
      <c r="AE77" s="2"/>
      <c r="AF77" s="106">
        <f>+S77+T77+U77+V77+W77+X77+Y77+Z77+AA77+AB77+AC77+AD77+AE77</f>
        <v>112128400</v>
      </c>
      <c r="AH77" s="310"/>
    </row>
    <row r="78" spans="1:35" ht="20.25" customHeight="1" x14ac:dyDescent="0.2">
      <c r="A78" s="281"/>
      <c r="B78" s="434"/>
      <c r="C78" s="126">
        <v>2</v>
      </c>
      <c r="D78" s="101">
        <v>1203</v>
      </c>
      <c r="E78" s="424" t="s">
        <v>256</v>
      </c>
      <c r="F78" s="100"/>
      <c r="G78" s="101"/>
      <c r="H78" s="102"/>
      <c r="I78" s="100"/>
      <c r="J78" s="101"/>
      <c r="K78" s="100"/>
      <c r="L78" s="102"/>
      <c r="M78" s="102"/>
      <c r="N78" s="101"/>
      <c r="O78" s="101"/>
      <c r="P78" s="274"/>
      <c r="Q78" s="101"/>
      <c r="R78" s="100"/>
      <c r="S78" s="105"/>
      <c r="T78" s="105"/>
      <c r="U78" s="105"/>
      <c r="V78" s="105"/>
      <c r="W78" s="105"/>
      <c r="X78" s="105"/>
      <c r="Y78" s="105"/>
      <c r="Z78" s="105"/>
      <c r="AA78" s="105"/>
      <c r="AB78" s="105"/>
      <c r="AC78" s="105">
        <f>AC79</f>
        <v>15000000</v>
      </c>
      <c r="AD78" s="105"/>
      <c r="AE78" s="105"/>
      <c r="AF78" s="105">
        <f>+AF79</f>
        <v>15000000</v>
      </c>
      <c r="AH78" s="310"/>
    </row>
    <row r="79" spans="1:35" ht="120" customHeight="1" x14ac:dyDescent="0.2">
      <c r="A79" s="281"/>
      <c r="B79" s="434"/>
      <c r="C79" s="423"/>
      <c r="D79" s="421"/>
      <c r="E79" s="412">
        <v>1203</v>
      </c>
      <c r="F79" s="410" t="s">
        <v>136</v>
      </c>
      <c r="G79" s="412" t="s">
        <v>257</v>
      </c>
      <c r="H79" s="316">
        <v>1203002</v>
      </c>
      <c r="I79" s="411" t="s">
        <v>258</v>
      </c>
      <c r="J79" s="201" t="s">
        <v>259</v>
      </c>
      <c r="K79" s="202" t="s">
        <v>260</v>
      </c>
      <c r="L79" s="234" t="s">
        <v>141</v>
      </c>
      <c r="M79" s="412">
        <v>150</v>
      </c>
      <c r="N79" s="316">
        <v>10</v>
      </c>
      <c r="O79" s="436">
        <v>10</v>
      </c>
      <c r="P79" s="411" t="s">
        <v>253</v>
      </c>
      <c r="Q79" s="412" t="s">
        <v>261</v>
      </c>
      <c r="R79" s="410" t="s">
        <v>262</v>
      </c>
      <c r="S79" s="2"/>
      <c r="T79" s="106"/>
      <c r="U79" s="2"/>
      <c r="V79" s="2"/>
      <c r="W79" s="2"/>
      <c r="X79" s="2"/>
      <c r="Y79" s="2"/>
      <c r="Z79" s="2"/>
      <c r="AA79" s="2"/>
      <c r="AB79" s="2"/>
      <c r="AC79" s="8">
        <f>15000000</f>
        <v>15000000</v>
      </c>
      <c r="AD79" s="2"/>
      <c r="AE79" s="249"/>
      <c r="AF79" s="106">
        <f>+S79+T79+U79+V79+W79+X79+Y79+Z79+AA79+AB79+AC79+AD79+AE79</f>
        <v>15000000</v>
      </c>
      <c r="AH79" s="310"/>
    </row>
    <row r="80" spans="1:35" ht="15.75" x14ac:dyDescent="0.2">
      <c r="A80" s="281"/>
      <c r="B80" s="434"/>
      <c r="C80" s="126">
        <v>3</v>
      </c>
      <c r="D80" s="101">
        <v>1206</v>
      </c>
      <c r="E80" s="424" t="s">
        <v>263</v>
      </c>
      <c r="F80" s="100"/>
      <c r="G80" s="101"/>
      <c r="H80" s="102"/>
      <c r="I80" s="100"/>
      <c r="J80" s="101"/>
      <c r="K80" s="100"/>
      <c r="L80" s="102"/>
      <c r="M80" s="102"/>
      <c r="N80" s="101"/>
      <c r="O80" s="101"/>
      <c r="P80" s="100"/>
      <c r="Q80" s="101"/>
      <c r="R80" s="100"/>
      <c r="S80" s="147"/>
      <c r="T80" s="147"/>
      <c r="U80" s="147"/>
      <c r="V80" s="147"/>
      <c r="W80" s="147"/>
      <c r="X80" s="147"/>
      <c r="Y80" s="147"/>
      <c r="Z80" s="147"/>
      <c r="AA80" s="147"/>
      <c r="AB80" s="147"/>
      <c r="AC80" s="105">
        <f>+AC81</f>
        <v>15000000</v>
      </c>
      <c r="AD80" s="147"/>
      <c r="AE80" s="147"/>
      <c r="AF80" s="105">
        <f>+AF81</f>
        <v>15000000</v>
      </c>
      <c r="AH80" s="310"/>
    </row>
    <row r="81" spans="1:34" ht="98.25" customHeight="1" x14ac:dyDescent="0.2">
      <c r="A81" s="281"/>
      <c r="B81" s="434"/>
      <c r="C81" s="423"/>
      <c r="D81" s="421"/>
      <c r="E81" s="412">
        <v>1206</v>
      </c>
      <c r="F81" s="410" t="s">
        <v>136</v>
      </c>
      <c r="G81" s="316" t="s">
        <v>264</v>
      </c>
      <c r="H81" s="316">
        <v>1206005</v>
      </c>
      <c r="I81" s="411" t="s">
        <v>265</v>
      </c>
      <c r="J81" s="316" t="s">
        <v>266</v>
      </c>
      <c r="K81" s="411" t="s">
        <v>267</v>
      </c>
      <c r="L81" s="234" t="s">
        <v>141</v>
      </c>
      <c r="M81" s="412">
        <v>100</v>
      </c>
      <c r="N81" s="316">
        <v>15</v>
      </c>
      <c r="O81" s="223">
        <v>0</v>
      </c>
      <c r="P81" s="411" t="s">
        <v>253</v>
      </c>
      <c r="Q81" s="412" t="s">
        <v>261</v>
      </c>
      <c r="R81" s="410" t="s">
        <v>262</v>
      </c>
      <c r="S81" s="2"/>
      <c r="T81" s="19"/>
      <c r="U81" s="2"/>
      <c r="V81" s="2"/>
      <c r="W81" s="2"/>
      <c r="X81" s="2"/>
      <c r="Y81" s="2"/>
      <c r="Z81" s="2"/>
      <c r="AA81" s="2"/>
      <c r="AB81" s="2"/>
      <c r="AC81" s="8">
        <f>15000000</f>
        <v>15000000</v>
      </c>
      <c r="AD81" s="2"/>
      <c r="AE81" s="2"/>
      <c r="AF81" s="106">
        <f>+S81+T81+U81+V81+W81+X81+Y81+Z81+AA81+AB81+AC81+AD81+AE81</f>
        <v>15000000</v>
      </c>
      <c r="AH81" s="310"/>
    </row>
    <row r="82" spans="1:34" ht="18.75" customHeight="1" x14ac:dyDescent="0.2">
      <c r="A82" s="281"/>
      <c r="B82" s="434"/>
      <c r="C82" s="126">
        <v>15</v>
      </c>
      <c r="D82" s="101">
        <v>2201</v>
      </c>
      <c r="E82" s="424" t="s">
        <v>153</v>
      </c>
      <c r="F82" s="100"/>
      <c r="G82" s="101"/>
      <c r="H82" s="102"/>
      <c r="I82" s="100"/>
      <c r="J82" s="101"/>
      <c r="K82" s="100"/>
      <c r="L82" s="102"/>
      <c r="M82" s="102"/>
      <c r="N82" s="101"/>
      <c r="O82" s="101"/>
      <c r="P82" s="274"/>
      <c r="Q82" s="101"/>
      <c r="R82" s="100"/>
      <c r="S82" s="424"/>
      <c r="T82" s="424"/>
      <c r="U82" s="424"/>
      <c r="V82" s="424"/>
      <c r="W82" s="424"/>
      <c r="X82" s="424"/>
      <c r="Y82" s="424"/>
      <c r="Z82" s="424"/>
      <c r="AA82" s="424"/>
      <c r="AB82" s="424"/>
      <c r="AC82" s="133">
        <f>+AC83</f>
        <v>201866667</v>
      </c>
      <c r="AD82" s="424"/>
      <c r="AE82" s="424"/>
      <c r="AF82" s="133">
        <f>+AF83</f>
        <v>201866667</v>
      </c>
      <c r="AH82" s="310"/>
    </row>
    <row r="83" spans="1:34" ht="140.25" customHeight="1" x14ac:dyDescent="0.2">
      <c r="A83" s="281"/>
      <c r="B83" s="434"/>
      <c r="C83" s="423"/>
      <c r="D83" s="421"/>
      <c r="E83" s="235">
        <v>2201</v>
      </c>
      <c r="F83" s="410" t="s">
        <v>1309</v>
      </c>
      <c r="G83" s="412" t="s">
        <v>268</v>
      </c>
      <c r="H83" s="7">
        <v>2201068</v>
      </c>
      <c r="I83" s="410" t="s">
        <v>269</v>
      </c>
      <c r="J83" s="427" t="s">
        <v>270</v>
      </c>
      <c r="K83" s="410" t="s">
        <v>271</v>
      </c>
      <c r="L83" s="253" t="s">
        <v>141</v>
      </c>
      <c r="M83" s="253">
        <v>266</v>
      </c>
      <c r="N83" s="253">
        <v>40</v>
      </c>
      <c r="O83" s="253">
        <v>0</v>
      </c>
      <c r="P83" s="410" t="s">
        <v>160</v>
      </c>
      <c r="Q83" s="412" t="s">
        <v>272</v>
      </c>
      <c r="R83" s="410" t="s">
        <v>273</v>
      </c>
      <c r="S83" s="2"/>
      <c r="T83" s="2"/>
      <c r="U83" s="2"/>
      <c r="V83" s="2"/>
      <c r="W83" s="2"/>
      <c r="X83" s="2"/>
      <c r="Y83" s="2"/>
      <c r="Z83" s="2"/>
      <c r="AA83" s="2"/>
      <c r="AB83" s="2"/>
      <c r="AC83" s="8">
        <f>21866667+180000000</f>
        <v>201866667</v>
      </c>
      <c r="AD83" s="2"/>
      <c r="AE83" s="2"/>
      <c r="AF83" s="106">
        <f>+S83+T83+U83+V83+W83+X83+Y83+Z83+AA83+AB83+AC83+AD83+AE83</f>
        <v>201866667</v>
      </c>
      <c r="AH83" s="310"/>
    </row>
    <row r="84" spans="1:34" ht="15.75" x14ac:dyDescent="0.2">
      <c r="A84" s="281"/>
      <c r="B84" s="434"/>
      <c r="C84" s="126">
        <v>35</v>
      </c>
      <c r="D84" s="101">
        <v>4101</v>
      </c>
      <c r="E84" s="424" t="s">
        <v>274</v>
      </c>
      <c r="F84" s="100"/>
      <c r="G84" s="101"/>
      <c r="H84" s="102"/>
      <c r="I84" s="100"/>
      <c r="J84" s="101"/>
      <c r="K84" s="100"/>
      <c r="L84" s="102"/>
      <c r="M84" s="102"/>
      <c r="N84" s="101"/>
      <c r="O84" s="101"/>
      <c r="P84" s="274"/>
      <c r="Q84" s="101"/>
      <c r="R84" s="100"/>
      <c r="S84" s="105">
        <f t="shared" ref="S84:AC84" si="35">SUM(S85:S89)</f>
        <v>0</v>
      </c>
      <c r="T84" s="105">
        <f t="shared" si="35"/>
        <v>0</v>
      </c>
      <c r="U84" s="105">
        <f t="shared" si="35"/>
        <v>0</v>
      </c>
      <c r="V84" s="105">
        <f t="shared" si="35"/>
        <v>0</v>
      </c>
      <c r="W84" s="105">
        <f t="shared" si="35"/>
        <v>0</v>
      </c>
      <c r="X84" s="105">
        <f t="shared" si="35"/>
        <v>0</v>
      </c>
      <c r="Y84" s="105">
        <f t="shared" si="35"/>
        <v>0</v>
      </c>
      <c r="Z84" s="105">
        <f t="shared" si="35"/>
        <v>0</v>
      </c>
      <c r="AA84" s="105">
        <f t="shared" si="35"/>
        <v>0</v>
      </c>
      <c r="AB84" s="105">
        <f t="shared" si="35"/>
        <v>0</v>
      </c>
      <c r="AC84" s="105">
        <f t="shared" si="35"/>
        <v>522730761</v>
      </c>
      <c r="AD84" s="105"/>
      <c r="AE84" s="105">
        <f>SUM(AE85:AE89)</f>
        <v>0</v>
      </c>
      <c r="AF84" s="105">
        <f>SUM(AF85:AF89)</f>
        <v>522730761</v>
      </c>
      <c r="AH84" s="310"/>
    </row>
    <row r="85" spans="1:34" ht="89.25" customHeight="1" x14ac:dyDescent="0.2">
      <c r="A85" s="281"/>
      <c r="B85" s="434"/>
      <c r="C85" s="240"/>
      <c r="D85" s="412"/>
      <c r="E85" s="412">
        <v>4101</v>
      </c>
      <c r="F85" s="410" t="s">
        <v>275</v>
      </c>
      <c r="G85" s="195" t="s">
        <v>276</v>
      </c>
      <c r="H85" s="129">
        <v>4101023</v>
      </c>
      <c r="I85" s="410" t="s">
        <v>277</v>
      </c>
      <c r="J85" s="195" t="s">
        <v>278</v>
      </c>
      <c r="K85" s="200" t="s">
        <v>279</v>
      </c>
      <c r="L85" s="234" t="s">
        <v>141</v>
      </c>
      <c r="M85" s="412">
        <v>2500</v>
      </c>
      <c r="N85" s="129">
        <v>200</v>
      </c>
      <c r="O85" s="220">
        <v>200</v>
      </c>
      <c r="P85" s="486" t="s">
        <v>280</v>
      </c>
      <c r="Q85" s="470" t="s">
        <v>281</v>
      </c>
      <c r="R85" s="471" t="s">
        <v>282</v>
      </c>
      <c r="S85" s="2"/>
      <c r="T85" s="2"/>
      <c r="U85" s="2"/>
      <c r="V85" s="2"/>
      <c r="W85" s="2"/>
      <c r="X85" s="2"/>
      <c r="Y85" s="2"/>
      <c r="Z85" s="2"/>
      <c r="AA85" s="2"/>
      <c r="AB85" s="2"/>
      <c r="AC85" s="236">
        <v>310730761</v>
      </c>
      <c r="AD85" s="231"/>
      <c r="AE85" s="2"/>
      <c r="AF85" s="106">
        <f>+S85+T85+U85+V85+W85+X85+Y85+Z85+AA85+AB85+AC85+AD85+AE85</f>
        <v>310730761</v>
      </c>
      <c r="AH85" s="310"/>
    </row>
    <row r="86" spans="1:34" ht="73.5" customHeight="1" x14ac:dyDescent="0.2">
      <c r="A86" s="281"/>
      <c r="B86" s="434"/>
      <c r="C86" s="240"/>
      <c r="D86" s="412"/>
      <c r="E86" s="412">
        <v>4101</v>
      </c>
      <c r="F86" s="410" t="s">
        <v>275</v>
      </c>
      <c r="G86" s="412" t="s">
        <v>283</v>
      </c>
      <c r="H86" s="129">
        <v>4101025</v>
      </c>
      <c r="I86" s="410" t="s">
        <v>284</v>
      </c>
      <c r="J86" s="412" t="s">
        <v>285</v>
      </c>
      <c r="K86" s="410" t="s">
        <v>286</v>
      </c>
      <c r="L86" s="234" t="s">
        <v>141</v>
      </c>
      <c r="M86" s="412">
        <v>500</v>
      </c>
      <c r="N86" s="129">
        <v>250</v>
      </c>
      <c r="O86" s="220">
        <v>125</v>
      </c>
      <c r="P86" s="486"/>
      <c r="Q86" s="470"/>
      <c r="R86" s="471"/>
      <c r="S86" s="2"/>
      <c r="T86" s="2"/>
      <c r="U86" s="2"/>
      <c r="V86" s="2"/>
      <c r="W86" s="2"/>
      <c r="X86" s="2"/>
      <c r="Y86" s="2"/>
      <c r="Z86" s="2"/>
      <c r="AA86" s="2"/>
      <c r="AB86" s="2"/>
      <c r="AC86" s="236">
        <v>50000000</v>
      </c>
      <c r="AD86" s="231"/>
      <c r="AE86" s="2"/>
      <c r="AF86" s="106">
        <f>+S86+T86+U86+V86+W86+X86+Y86+Z86+AA86+AB86+AC86+AD86+AE86</f>
        <v>50000000</v>
      </c>
      <c r="AH86" s="310"/>
    </row>
    <row r="87" spans="1:34" ht="47.25" customHeight="1" x14ac:dyDescent="0.2">
      <c r="A87" s="281"/>
      <c r="B87" s="434"/>
      <c r="C87" s="240"/>
      <c r="D87" s="412"/>
      <c r="E87" s="412">
        <v>4101</v>
      </c>
      <c r="F87" s="410" t="s">
        <v>275</v>
      </c>
      <c r="G87" s="412" t="s">
        <v>287</v>
      </c>
      <c r="H87" s="129">
        <v>4101038</v>
      </c>
      <c r="I87" s="410" t="s">
        <v>288</v>
      </c>
      <c r="J87" s="412" t="s">
        <v>289</v>
      </c>
      <c r="K87" s="410" t="s">
        <v>290</v>
      </c>
      <c r="L87" s="234" t="s">
        <v>141</v>
      </c>
      <c r="M87" s="412">
        <v>48</v>
      </c>
      <c r="N87" s="129">
        <v>12</v>
      </c>
      <c r="O87" s="220">
        <v>12</v>
      </c>
      <c r="P87" s="486"/>
      <c r="Q87" s="470"/>
      <c r="R87" s="471"/>
      <c r="S87" s="2"/>
      <c r="T87" s="2"/>
      <c r="U87" s="2"/>
      <c r="V87" s="2"/>
      <c r="W87" s="2"/>
      <c r="X87" s="2"/>
      <c r="Y87" s="2"/>
      <c r="Z87" s="2"/>
      <c r="AA87" s="2"/>
      <c r="AB87" s="2"/>
      <c r="AC87" s="236">
        <v>42000000</v>
      </c>
      <c r="AD87" s="231"/>
      <c r="AE87" s="2"/>
      <c r="AF87" s="106">
        <f>+S87+T87+U87+V87+W87+X87+Y87+Z87+AA87+AB87+AC87+AD87+AE87</f>
        <v>42000000</v>
      </c>
      <c r="AH87" s="310"/>
    </row>
    <row r="88" spans="1:34" ht="46.5" customHeight="1" x14ac:dyDescent="0.2">
      <c r="A88" s="281"/>
      <c r="B88" s="434"/>
      <c r="C88" s="240"/>
      <c r="D88" s="412"/>
      <c r="E88" s="412">
        <v>4101</v>
      </c>
      <c r="F88" s="410" t="s">
        <v>291</v>
      </c>
      <c r="G88" s="412" t="s">
        <v>292</v>
      </c>
      <c r="H88" s="129">
        <v>4101073</v>
      </c>
      <c r="I88" s="410" t="s">
        <v>293</v>
      </c>
      <c r="J88" s="412" t="s">
        <v>294</v>
      </c>
      <c r="K88" s="410" t="s">
        <v>295</v>
      </c>
      <c r="L88" s="195" t="s">
        <v>141</v>
      </c>
      <c r="M88" s="195">
        <v>200</v>
      </c>
      <c r="N88" s="195">
        <v>20</v>
      </c>
      <c r="O88" s="326">
        <v>0</v>
      </c>
      <c r="P88" s="486"/>
      <c r="Q88" s="470"/>
      <c r="R88" s="471"/>
      <c r="S88" s="2"/>
      <c r="T88" s="2"/>
      <c r="U88" s="2"/>
      <c r="V88" s="2"/>
      <c r="W88" s="2"/>
      <c r="X88" s="2"/>
      <c r="Y88" s="2"/>
      <c r="Z88" s="2"/>
      <c r="AA88" s="2"/>
      <c r="AB88" s="2"/>
      <c r="AC88" s="236">
        <v>65000000</v>
      </c>
      <c r="AD88" s="231"/>
      <c r="AE88" s="2"/>
      <c r="AF88" s="106">
        <f>+S88+T88+U88+V88+W88+X88+Y88+Z88+AA88+AB88+AC88+AD88+AE88</f>
        <v>65000000</v>
      </c>
      <c r="AH88" s="310"/>
    </row>
    <row r="89" spans="1:34" ht="90.75" customHeight="1" x14ac:dyDescent="0.2">
      <c r="A89" s="281"/>
      <c r="B89" s="434"/>
      <c r="C89" s="240"/>
      <c r="D89" s="412"/>
      <c r="E89" s="412">
        <v>4101</v>
      </c>
      <c r="F89" s="410" t="s">
        <v>296</v>
      </c>
      <c r="G89" s="412" t="s">
        <v>297</v>
      </c>
      <c r="H89" s="129">
        <v>4101011</v>
      </c>
      <c r="I89" s="410" t="s">
        <v>298</v>
      </c>
      <c r="J89" s="412" t="s">
        <v>299</v>
      </c>
      <c r="K89" s="410" t="s">
        <v>300</v>
      </c>
      <c r="L89" s="234" t="s">
        <v>141</v>
      </c>
      <c r="M89" s="412">
        <v>10</v>
      </c>
      <c r="N89" s="129">
        <v>2</v>
      </c>
      <c r="O89" s="220">
        <v>1</v>
      </c>
      <c r="P89" s="486"/>
      <c r="Q89" s="470"/>
      <c r="R89" s="471"/>
      <c r="S89" s="2"/>
      <c r="T89" s="2"/>
      <c r="U89" s="2"/>
      <c r="V89" s="2"/>
      <c r="W89" s="2"/>
      <c r="X89" s="2"/>
      <c r="Y89" s="2"/>
      <c r="Z89" s="2"/>
      <c r="AA89" s="2"/>
      <c r="AB89" s="2"/>
      <c r="AC89" s="236">
        <v>55000000</v>
      </c>
      <c r="AD89" s="231"/>
      <c r="AE89" s="2"/>
      <c r="AF89" s="106">
        <f>+S89+T89+U89+V89+W89+X89+Y89+Z89+AA89+AB89+AC89+AD89+AE89</f>
        <v>55000000</v>
      </c>
      <c r="AH89" s="310"/>
    </row>
    <row r="90" spans="1:34" ht="17.25" customHeight="1" x14ac:dyDescent="0.2">
      <c r="A90" s="281"/>
      <c r="B90" s="434"/>
      <c r="C90" s="126">
        <v>37</v>
      </c>
      <c r="D90" s="101">
        <v>4103</v>
      </c>
      <c r="E90" s="424" t="s">
        <v>301</v>
      </c>
      <c r="F90" s="100"/>
      <c r="G90" s="101"/>
      <c r="H90" s="102"/>
      <c r="I90" s="100"/>
      <c r="J90" s="101"/>
      <c r="K90" s="100"/>
      <c r="L90" s="102"/>
      <c r="M90" s="102"/>
      <c r="N90" s="101"/>
      <c r="O90" s="101"/>
      <c r="P90" s="274"/>
      <c r="Q90" s="101"/>
      <c r="R90" s="100"/>
      <c r="S90" s="248">
        <f t="shared" ref="S90:AF90" si="36">+S91</f>
        <v>0</v>
      </c>
      <c r="T90" s="248">
        <f t="shared" si="36"/>
        <v>0</v>
      </c>
      <c r="U90" s="248">
        <f t="shared" si="36"/>
        <v>0</v>
      </c>
      <c r="V90" s="248">
        <f t="shared" si="36"/>
        <v>0</v>
      </c>
      <c r="W90" s="248">
        <f t="shared" si="36"/>
        <v>0</v>
      </c>
      <c r="X90" s="248">
        <f t="shared" si="36"/>
        <v>0</v>
      </c>
      <c r="Y90" s="248">
        <f t="shared" si="36"/>
        <v>0</v>
      </c>
      <c r="Z90" s="248">
        <f t="shared" si="36"/>
        <v>0</v>
      </c>
      <c r="AA90" s="248">
        <f t="shared" si="36"/>
        <v>0</v>
      </c>
      <c r="AB90" s="248">
        <f t="shared" si="36"/>
        <v>0</v>
      </c>
      <c r="AC90" s="248">
        <f t="shared" si="36"/>
        <v>15738667</v>
      </c>
      <c r="AD90" s="248">
        <f t="shared" si="36"/>
        <v>0</v>
      </c>
      <c r="AE90" s="248">
        <f t="shared" si="36"/>
        <v>0</v>
      </c>
      <c r="AF90" s="248">
        <f t="shared" si="36"/>
        <v>15738667</v>
      </c>
      <c r="AH90" s="310"/>
    </row>
    <row r="91" spans="1:34" ht="77.25" customHeight="1" x14ac:dyDescent="0.2">
      <c r="A91" s="281"/>
      <c r="B91" s="434"/>
      <c r="C91" s="240"/>
      <c r="D91" s="412"/>
      <c r="E91" s="412">
        <v>4103</v>
      </c>
      <c r="F91" s="410" t="s">
        <v>302</v>
      </c>
      <c r="G91" s="195" t="s">
        <v>303</v>
      </c>
      <c r="H91" s="412" t="s">
        <v>1310</v>
      </c>
      <c r="I91" s="410" t="s">
        <v>304</v>
      </c>
      <c r="J91" s="412" t="s">
        <v>305</v>
      </c>
      <c r="K91" s="410" t="s">
        <v>306</v>
      </c>
      <c r="L91" s="253" t="s">
        <v>141</v>
      </c>
      <c r="M91" s="253">
        <v>125</v>
      </c>
      <c r="N91" s="253">
        <v>50</v>
      </c>
      <c r="O91" s="253">
        <v>50</v>
      </c>
      <c r="P91" s="411" t="s">
        <v>253</v>
      </c>
      <c r="Q91" s="412" t="s">
        <v>307</v>
      </c>
      <c r="R91" s="410" t="s">
        <v>308</v>
      </c>
      <c r="S91" s="2"/>
      <c r="T91" s="2"/>
      <c r="U91" s="2"/>
      <c r="V91" s="2"/>
      <c r="W91" s="2"/>
      <c r="X91" s="2"/>
      <c r="Y91" s="2"/>
      <c r="Z91" s="2"/>
      <c r="AA91" s="2"/>
      <c r="AB91" s="2"/>
      <c r="AC91" s="8">
        <v>15738667</v>
      </c>
      <c r="AD91" s="2"/>
      <c r="AE91" s="2"/>
      <c r="AF91" s="106">
        <f>+S91+T91+U91+V91+W91+X91+Y91+Z91+AA91+AB91+AC91+AD91+AE91</f>
        <v>15738667</v>
      </c>
      <c r="AH91" s="310"/>
    </row>
    <row r="92" spans="1:34" ht="15.75" x14ac:dyDescent="0.2">
      <c r="A92" s="281"/>
      <c r="B92" s="434"/>
      <c r="C92" s="126">
        <v>41</v>
      </c>
      <c r="D92" s="101">
        <v>4501</v>
      </c>
      <c r="E92" s="424" t="s">
        <v>309</v>
      </c>
      <c r="F92" s="100"/>
      <c r="G92" s="101"/>
      <c r="H92" s="102"/>
      <c r="I92" s="100"/>
      <c r="J92" s="101"/>
      <c r="K92" s="100"/>
      <c r="L92" s="102"/>
      <c r="M92" s="102"/>
      <c r="N92" s="101"/>
      <c r="O92" s="101"/>
      <c r="P92" s="274"/>
      <c r="Q92" s="101"/>
      <c r="R92" s="100"/>
      <c r="S92" s="248">
        <f t="shared" ref="S92:AC92" si="37">SUM(S93:S95)</f>
        <v>0</v>
      </c>
      <c r="T92" s="248">
        <f t="shared" si="37"/>
        <v>2192073558.0099998</v>
      </c>
      <c r="U92" s="248">
        <f t="shared" si="37"/>
        <v>0</v>
      </c>
      <c r="V92" s="248">
        <f t="shared" si="37"/>
        <v>0</v>
      </c>
      <c r="W92" s="248">
        <f t="shared" si="37"/>
        <v>0</v>
      </c>
      <c r="X92" s="248">
        <f t="shared" si="37"/>
        <v>0</v>
      </c>
      <c r="Y92" s="248">
        <f t="shared" si="37"/>
        <v>0</v>
      </c>
      <c r="Z92" s="248">
        <f t="shared" si="37"/>
        <v>0</v>
      </c>
      <c r="AA92" s="248">
        <f t="shared" si="37"/>
        <v>0</v>
      </c>
      <c r="AB92" s="248">
        <f t="shared" si="37"/>
        <v>0</v>
      </c>
      <c r="AC92" s="248">
        <f t="shared" si="37"/>
        <v>169000000</v>
      </c>
      <c r="AD92" s="248"/>
      <c r="AE92" s="248">
        <f>SUM(AE93:AE95)</f>
        <v>0</v>
      </c>
      <c r="AF92" s="248">
        <f>SUM(AF93:AF95)</f>
        <v>2361073558.0099998</v>
      </c>
      <c r="AH92" s="310"/>
    </row>
    <row r="93" spans="1:34" ht="198" customHeight="1" x14ac:dyDescent="0.2">
      <c r="A93" s="281"/>
      <c r="B93" s="434"/>
      <c r="C93" s="423"/>
      <c r="D93" s="421"/>
      <c r="E93" s="412">
        <v>4501</v>
      </c>
      <c r="F93" s="410" t="s">
        <v>136</v>
      </c>
      <c r="G93" s="412" t="s">
        <v>310</v>
      </c>
      <c r="H93" s="412" t="s">
        <v>1310</v>
      </c>
      <c r="I93" s="410" t="s">
        <v>311</v>
      </c>
      <c r="J93" s="412" t="s">
        <v>312</v>
      </c>
      <c r="K93" s="410" t="s">
        <v>313</v>
      </c>
      <c r="L93" s="234" t="s">
        <v>51</v>
      </c>
      <c r="M93" s="412">
        <v>5</v>
      </c>
      <c r="N93" s="412">
        <v>5</v>
      </c>
      <c r="O93" s="253">
        <v>5</v>
      </c>
      <c r="P93" s="411" t="s">
        <v>253</v>
      </c>
      <c r="Q93" s="412" t="s">
        <v>261</v>
      </c>
      <c r="R93" s="410" t="s">
        <v>262</v>
      </c>
      <c r="S93" s="2"/>
      <c r="T93" s="19">
        <f>5428613946.86-3236540388.85</f>
        <v>2192073558.0099998</v>
      </c>
      <c r="U93" s="2"/>
      <c r="V93" s="2"/>
      <c r="W93" s="2"/>
      <c r="X93" s="2"/>
      <c r="Y93" s="2"/>
      <c r="Z93" s="2"/>
      <c r="AA93" s="2"/>
      <c r="AB93" s="2"/>
      <c r="AC93" s="8"/>
      <c r="AD93" s="2"/>
      <c r="AE93" s="2"/>
      <c r="AF93" s="106">
        <f>+S93+T93+U93+V93+W93+X93+Y93+Z93+AA93+AB93+AC93+AD93+AE93</f>
        <v>2192073558.0099998</v>
      </c>
      <c r="AH93" s="310"/>
    </row>
    <row r="94" spans="1:34" ht="119.25" customHeight="1" x14ac:dyDescent="0.2">
      <c r="A94" s="281"/>
      <c r="B94" s="434"/>
      <c r="C94" s="240"/>
      <c r="D94" s="412"/>
      <c r="E94" s="412">
        <v>4501</v>
      </c>
      <c r="F94" s="410" t="s">
        <v>1327</v>
      </c>
      <c r="G94" s="198" t="s">
        <v>314</v>
      </c>
      <c r="H94" s="412">
        <v>4501024</v>
      </c>
      <c r="I94" s="410" t="s">
        <v>315</v>
      </c>
      <c r="J94" s="198" t="s">
        <v>316</v>
      </c>
      <c r="K94" s="200" t="s">
        <v>317</v>
      </c>
      <c r="L94" s="412" t="s">
        <v>51</v>
      </c>
      <c r="M94" s="412">
        <v>10</v>
      </c>
      <c r="N94" s="412">
        <v>10</v>
      </c>
      <c r="O94" s="253">
        <v>10</v>
      </c>
      <c r="P94" s="411" t="s">
        <v>253</v>
      </c>
      <c r="Q94" s="412" t="s">
        <v>307</v>
      </c>
      <c r="R94" s="410" t="s">
        <v>308</v>
      </c>
      <c r="S94" s="2"/>
      <c r="T94" s="2"/>
      <c r="U94" s="2"/>
      <c r="V94" s="2"/>
      <c r="W94" s="2"/>
      <c r="X94" s="2"/>
      <c r="Y94" s="2"/>
      <c r="Z94" s="2"/>
      <c r="AA94" s="2"/>
      <c r="AB94" s="2"/>
      <c r="AC94" s="8">
        <v>94000000</v>
      </c>
      <c r="AD94" s="2"/>
      <c r="AE94" s="2"/>
      <c r="AF94" s="106">
        <f>+S94+T94+U94+V94+W94+X94+Y94+Z94+AA94+AB94+AC94+AD94+AE94</f>
        <v>94000000</v>
      </c>
      <c r="AH94" s="310"/>
    </row>
    <row r="95" spans="1:34" ht="180.75" customHeight="1" x14ac:dyDescent="0.2">
      <c r="A95" s="281"/>
      <c r="B95" s="288"/>
      <c r="C95" s="240"/>
      <c r="D95" s="412"/>
      <c r="E95" s="412">
        <v>4501</v>
      </c>
      <c r="F95" s="410" t="s">
        <v>136</v>
      </c>
      <c r="G95" s="412" t="s">
        <v>318</v>
      </c>
      <c r="H95" s="412">
        <v>4501001</v>
      </c>
      <c r="I95" s="410" t="s">
        <v>319</v>
      </c>
      <c r="J95" s="412" t="s">
        <v>320</v>
      </c>
      <c r="K95" s="410" t="s">
        <v>321</v>
      </c>
      <c r="L95" s="234" t="s">
        <v>51</v>
      </c>
      <c r="M95" s="412">
        <v>12</v>
      </c>
      <c r="N95" s="412">
        <v>12</v>
      </c>
      <c r="O95" s="253">
        <v>12</v>
      </c>
      <c r="P95" s="411" t="s">
        <v>67</v>
      </c>
      <c r="Q95" s="412" t="s">
        <v>322</v>
      </c>
      <c r="R95" s="410" t="s">
        <v>323</v>
      </c>
      <c r="S95" s="2"/>
      <c r="T95" s="2"/>
      <c r="U95" s="2"/>
      <c r="V95" s="2"/>
      <c r="W95" s="2"/>
      <c r="X95" s="2"/>
      <c r="Y95" s="2"/>
      <c r="Z95" s="2"/>
      <c r="AA95" s="2"/>
      <c r="AB95" s="2"/>
      <c r="AC95" s="8">
        <f>96923000-21923000</f>
        <v>75000000</v>
      </c>
      <c r="AD95" s="2"/>
      <c r="AE95" s="2"/>
      <c r="AF95" s="106">
        <f>+S95+T95+U95+V95+W95+X95+Y95+Z95+AA95+AB95+AC95+AD95+AE95</f>
        <v>75000000</v>
      </c>
      <c r="AH95" s="310"/>
    </row>
    <row r="96" spans="1:34" ht="15.75" x14ac:dyDescent="0.2">
      <c r="A96" s="281"/>
      <c r="B96" s="170">
        <v>3</v>
      </c>
      <c r="C96" s="93" t="s">
        <v>3</v>
      </c>
      <c r="D96" s="94"/>
      <c r="E96" s="94"/>
      <c r="F96" s="95"/>
      <c r="G96" s="96"/>
      <c r="H96" s="97"/>
      <c r="I96" s="95"/>
      <c r="J96" s="96"/>
      <c r="K96" s="95"/>
      <c r="L96" s="97"/>
      <c r="M96" s="97"/>
      <c r="N96" s="96"/>
      <c r="O96" s="96"/>
      <c r="P96" s="94"/>
      <c r="Q96" s="96"/>
      <c r="R96" s="95"/>
      <c r="S96" s="99">
        <f t="shared" ref="S96:AF96" si="38">+S97+S100</f>
        <v>0</v>
      </c>
      <c r="T96" s="99">
        <f t="shared" si="38"/>
        <v>0</v>
      </c>
      <c r="U96" s="99">
        <f t="shared" si="38"/>
        <v>0</v>
      </c>
      <c r="V96" s="99">
        <f t="shared" si="38"/>
        <v>0</v>
      </c>
      <c r="W96" s="99">
        <f t="shared" si="38"/>
        <v>0</v>
      </c>
      <c r="X96" s="99">
        <f t="shared" si="38"/>
        <v>0</v>
      </c>
      <c r="Y96" s="99">
        <f t="shared" si="38"/>
        <v>0</v>
      </c>
      <c r="Z96" s="99">
        <f t="shared" si="38"/>
        <v>0</v>
      </c>
      <c r="AA96" s="99">
        <f t="shared" si="38"/>
        <v>0</v>
      </c>
      <c r="AB96" s="99">
        <f t="shared" si="38"/>
        <v>0</v>
      </c>
      <c r="AC96" s="99">
        <f t="shared" si="38"/>
        <v>436511874.30000001</v>
      </c>
      <c r="AD96" s="99">
        <f t="shared" si="38"/>
        <v>0</v>
      </c>
      <c r="AE96" s="99">
        <f t="shared" si="38"/>
        <v>0</v>
      </c>
      <c r="AF96" s="99">
        <f t="shared" si="38"/>
        <v>436511874.30000001</v>
      </c>
      <c r="AH96" s="310"/>
    </row>
    <row r="97" spans="1:35" ht="15.75" x14ac:dyDescent="0.2">
      <c r="A97" s="281"/>
      <c r="B97" s="433"/>
      <c r="C97" s="126">
        <v>23</v>
      </c>
      <c r="D97" s="101">
        <v>3205</v>
      </c>
      <c r="E97" s="424" t="s">
        <v>207</v>
      </c>
      <c r="F97" s="100"/>
      <c r="G97" s="101"/>
      <c r="H97" s="102"/>
      <c r="I97" s="100"/>
      <c r="J97" s="101"/>
      <c r="K97" s="100"/>
      <c r="L97" s="102"/>
      <c r="M97" s="102"/>
      <c r="N97" s="101"/>
      <c r="O97" s="101"/>
      <c r="P97" s="104"/>
      <c r="Q97" s="101"/>
      <c r="R97" s="100"/>
      <c r="S97" s="248">
        <f t="shared" ref="S97:AF97" si="39">SUM(S98:S99)</f>
        <v>0</v>
      </c>
      <c r="T97" s="248">
        <f t="shared" si="39"/>
        <v>0</v>
      </c>
      <c r="U97" s="248">
        <f t="shared" si="39"/>
        <v>0</v>
      </c>
      <c r="V97" s="248">
        <f t="shared" si="39"/>
        <v>0</v>
      </c>
      <c r="W97" s="248">
        <f t="shared" si="39"/>
        <v>0</v>
      </c>
      <c r="X97" s="248">
        <f t="shared" si="39"/>
        <v>0</v>
      </c>
      <c r="Y97" s="248">
        <f t="shared" si="39"/>
        <v>0</v>
      </c>
      <c r="Z97" s="248">
        <f t="shared" si="39"/>
        <v>0</v>
      </c>
      <c r="AA97" s="248">
        <f t="shared" si="39"/>
        <v>0</v>
      </c>
      <c r="AB97" s="248">
        <f t="shared" si="39"/>
        <v>0</v>
      </c>
      <c r="AC97" s="248">
        <f t="shared" si="39"/>
        <v>37702666</v>
      </c>
      <c r="AD97" s="248">
        <f t="shared" si="39"/>
        <v>0</v>
      </c>
      <c r="AE97" s="248">
        <f t="shared" si="39"/>
        <v>0</v>
      </c>
      <c r="AF97" s="248">
        <f t="shared" si="39"/>
        <v>37702666</v>
      </c>
      <c r="AH97" s="310"/>
    </row>
    <row r="98" spans="1:35" ht="130.5" customHeight="1" x14ac:dyDescent="0.2">
      <c r="A98" s="281"/>
      <c r="B98" s="434"/>
      <c r="C98" s="423"/>
      <c r="D98" s="250"/>
      <c r="E98" s="253">
        <v>3205</v>
      </c>
      <c r="F98" s="422" t="s">
        <v>1328</v>
      </c>
      <c r="G98" s="253" t="s">
        <v>324</v>
      </c>
      <c r="H98" s="253">
        <v>3205002</v>
      </c>
      <c r="I98" s="422" t="s">
        <v>325</v>
      </c>
      <c r="J98" s="253" t="s">
        <v>326</v>
      </c>
      <c r="K98" s="422" t="s">
        <v>327</v>
      </c>
      <c r="L98" s="326" t="s">
        <v>141</v>
      </c>
      <c r="M98" s="326">
        <v>10</v>
      </c>
      <c r="N98" s="326">
        <v>1</v>
      </c>
      <c r="O98" s="326">
        <v>1</v>
      </c>
      <c r="P98" s="486" t="s">
        <v>328</v>
      </c>
      <c r="Q98" s="470" t="s">
        <v>272</v>
      </c>
      <c r="R98" s="471" t="s">
        <v>273</v>
      </c>
      <c r="S98" s="2"/>
      <c r="T98" s="2"/>
      <c r="U98" s="2"/>
      <c r="V98" s="2"/>
      <c r="W98" s="2"/>
      <c r="X98" s="2"/>
      <c r="Y98" s="2"/>
      <c r="Z98" s="2"/>
      <c r="AA98" s="2"/>
      <c r="AB98" s="2"/>
      <c r="AC98" s="236">
        <f>12866668+20000000</f>
        <v>32866668</v>
      </c>
      <c r="AD98" s="2"/>
      <c r="AE98" s="2"/>
      <c r="AF98" s="106">
        <f>+S98+T98+U98+V98+W98+X98+Y98+Z98+AA98+AB98+AC98+AD98+AE98</f>
        <v>32866668</v>
      </c>
      <c r="AH98" s="310"/>
    </row>
    <row r="99" spans="1:35" ht="137.25" customHeight="1" x14ac:dyDescent="0.2">
      <c r="A99" s="281"/>
      <c r="B99" s="434"/>
      <c r="C99" s="423"/>
      <c r="D99" s="250"/>
      <c r="E99" s="253">
        <v>3205</v>
      </c>
      <c r="F99" s="422" t="s">
        <v>1329</v>
      </c>
      <c r="G99" s="253" t="s">
        <v>329</v>
      </c>
      <c r="H99" s="253">
        <v>3205021</v>
      </c>
      <c r="I99" s="422" t="s">
        <v>209</v>
      </c>
      <c r="J99" s="253" t="s">
        <v>208</v>
      </c>
      <c r="K99" s="422" t="s">
        <v>210</v>
      </c>
      <c r="L99" s="253" t="s">
        <v>141</v>
      </c>
      <c r="M99" s="253">
        <v>4</v>
      </c>
      <c r="N99" s="253">
        <v>1</v>
      </c>
      <c r="O99" s="253">
        <v>0</v>
      </c>
      <c r="P99" s="486"/>
      <c r="Q99" s="470"/>
      <c r="R99" s="471"/>
      <c r="S99" s="2"/>
      <c r="T99" s="2"/>
      <c r="U99" s="2"/>
      <c r="V99" s="2"/>
      <c r="W99" s="2"/>
      <c r="X99" s="2"/>
      <c r="Y99" s="2"/>
      <c r="Z99" s="2"/>
      <c r="AA99" s="2"/>
      <c r="AB99" s="2"/>
      <c r="AC99" s="236">
        <v>4835998</v>
      </c>
      <c r="AD99" s="2"/>
      <c r="AE99" s="2"/>
      <c r="AF99" s="106">
        <f>+S99+T99+U99+V99+W99+X99+Y99+Z99+AA99+AB99+AC99+AD99+AE99</f>
        <v>4835998</v>
      </c>
      <c r="AH99" s="310"/>
    </row>
    <row r="100" spans="1:35" ht="15.75" x14ac:dyDescent="0.2">
      <c r="A100" s="281"/>
      <c r="B100" s="434"/>
      <c r="C100" s="126">
        <v>43</v>
      </c>
      <c r="D100" s="101">
        <v>4503</v>
      </c>
      <c r="E100" s="424" t="s">
        <v>330</v>
      </c>
      <c r="F100" s="100"/>
      <c r="G100" s="101"/>
      <c r="H100" s="102"/>
      <c r="I100" s="100"/>
      <c r="J100" s="101"/>
      <c r="K100" s="100"/>
      <c r="L100" s="102"/>
      <c r="M100" s="102"/>
      <c r="N100" s="101"/>
      <c r="O100" s="101"/>
      <c r="P100" s="274"/>
      <c r="Q100" s="101"/>
      <c r="R100" s="100"/>
      <c r="S100" s="248">
        <f t="shared" ref="S100:AF100" si="40">SUM(S101:S103)</f>
        <v>0</v>
      </c>
      <c r="T100" s="248">
        <f t="shared" si="40"/>
        <v>0</v>
      </c>
      <c r="U100" s="248">
        <f t="shared" si="40"/>
        <v>0</v>
      </c>
      <c r="V100" s="248">
        <f t="shared" si="40"/>
        <v>0</v>
      </c>
      <c r="W100" s="248">
        <f t="shared" si="40"/>
        <v>0</v>
      </c>
      <c r="X100" s="248">
        <f t="shared" si="40"/>
        <v>0</v>
      </c>
      <c r="Y100" s="248">
        <f t="shared" si="40"/>
        <v>0</v>
      </c>
      <c r="Z100" s="248">
        <f t="shared" si="40"/>
        <v>0</v>
      </c>
      <c r="AA100" s="248">
        <f t="shared" si="40"/>
        <v>0</v>
      </c>
      <c r="AB100" s="248">
        <f t="shared" si="40"/>
        <v>0</v>
      </c>
      <c r="AC100" s="248">
        <f t="shared" si="40"/>
        <v>398809208.30000001</v>
      </c>
      <c r="AD100" s="248">
        <f t="shared" si="40"/>
        <v>0</v>
      </c>
      <c r="AE100" s="248">
        <f t="shared" si="40"/>
        <v>0</v>
      </c>
      <c r="AF100" s="248">
        <f t="shared" si="40"/>
        <v>398809208.30000001</v>
      </c>
      <c r="AH100" s="310"/>
    </row>
    <row r="101" spans="1:35" ht="108" customHeight="1" x14ac:dyDescent="0.2">
      <c r="A101" s="281"/>
      <c r="B101" s="434"/>
      <c r="C101" s="423"/>
      <c r="D101" s="421"/>
      <c r="E101" s="227">
        <v>4503</v>
      </c>
      <c r="F101" s="422" t="s">
        <v>1330</v>
      </c>
      <c r="G101" s="253" t="s">
        <v>331</v>
      </c>
      <c r="H101" s="253">
        <v>4503002</v>
      </c>
      <c r="I101" s="422" t="s">
        <v>332</v>
      </c>
      <c r="J101" s="253" t="s">
        <v>333</v>
      </c>
      <c r="K101" s="422" t="s">
        <v>334</v>
      </c>
      <c r="L101" s="253" t="s">
        <v>141</v>
      </c>
      <c r="M101" s="253">
        <v>15000</v>
      </c>
      <c r="N101" s="253">
        <v>1000</v>
      </c>
      <c r="O101" s="253">
        <v>1000</v>
      </c>
      <c r="P101" s="494" t="s">
        <v>328</v>
      </c>
      <c r="Q101" s="470" t="s">
        <v>272</v>
      </c>
      <c r="R101" s="471" t="s">
        <v>1311</v>
      </c>
      <c r="S101" s="2"/>
      <c r="T101" s="2"/>
      <c r="U101" s="2"/>
      <c r="V101" s="2"/>
      <c r="W101" s="2"/>
      <c r="X101" s="2"/>
      <c r="Y101" s="2"/>
      <c r="Z101" s="2"/>
      <c r="AA101" s="2"/>
      <c r="AB101" s="2"/>
      <c r="AC101" s="8">
        <f>3733333+4390667+33000000</f>
        <v>41124000</v>
      </c>
      <c r="AD101" s="2"/>
      <c r="AE101" s="2"/>
      <c r="AF101" s="106">
        <f>+S101+T101+U101+V101+W101+X101+Y101+Z101+AA101+AB101+AC101+AD101+AE101</f>
        <v>41124000</v>
      </c>
      <c r="AH101" s="310"/>
    </row>
    <row r="102" spans="1:35" ht="93.75" customHeight="1" x14ac:dyDescent="0.2">
      <c r="A102" s="281"/>
      <c r="B102" s="434"/>
      <c r="C102" s="423"/>
      <c r="D102" s="421"/>
      <c r="E102" s="227">
        <v>4503</v>
      </c>
      <c r="F102" s="422" t="s">
        <v>335</v>
      </c>
      <c r="G102" s="253" t="s">
        <v>336</v>
      </c>
      <c r="H102" s="253">
        <v>4503003</v>
      </c>
      <c r="I102" s="422" t="s">
        <v>319</v>
      </c>
      <c r="J102" s="253" t="s">
        <v>337</v>
      </c>
      <c r="K102" s="422" t="s">
        <v>338</v>
      </c>
      <c r="L102" s="253" t="s">
        <v>51</v>
      </c>
      <c r="M102" s="253">
        <v>12</v>
      </c>
      <c r="N102" s="253">
        <v>12</v>
      </c>
      <c r="O102" s="253">
        <v>12</v>
      </c>
      <c r="P102" s="494"/>
      <c r="Q102" s="470"/>
      <c r="R102" s="471"/>
      <c r="S102" s="2"/>
      <c r="T102" s="2"/>
      <c r="U102" s="2"/>
      <c r="V102" s="2"/>
      <c r="W102" s="2"/>
      <c r="X102" s="2"/>
      <c r="Y102" s="2"/>
      <c r="Z102" s="2"/>
      <c r="AA102" s="2"/>
      <c r="AB102" s="2"/>
      <c r="AC102" s="8">
        <f>84753736+22122264+177579598</f>
        <v>284455598</v>
      </c>
      <c r="AD102" s="2"/>
      <c r="AE102" s="2"/>
      <c r="AF102" s="106">
        <f>+S102+T102+U102+V102+W102+X102+Y102+Z102+AA102+AB102+AC102+AD102+AE102</f>
        <v>284455598</v>
      </c>
      <c r="AH102" s="310"/>
    </row>
    <row r="103" spans="1:35" ht="87.75" customHeight="1" x14ac:dyDescent="0.2">
      <c r="A103" s="281"/>
      <c r="B103" s="441"/>
      <c r="C103" s="423"/>
      <c r="D103" s="421"/>
      <c r="E103" s="227">
        <v>4503</v>
      </c>
      <c r="F103" s="422" t="s">
        <v>335</v>
      </c>
      <c r="G103" s="253" t="s">
        <v>339</v>
      </c>
      <c r="H103" s="253">
        <v>4503004</v>
      </c>
      <c r="I103" s="422" t="s">
        <v>340</v>
      </c>
      <c r="J103" s="253" t="s">
        <v>341</v>
      </c>
      <c r="K103" s="422" t="s">
        <v>342</v>
      </c>
      <c r="L103" s="253" t="s">
        <v>51</v>
      </c>
      <c r="M103" s="253">
        <v>1</v>
      </c>
      <c r="N103" s="253">
        <v>1</v>
      </c>
      <c r="O103" s="253">
        <v>1</v>
      </c>
      <c r="P103" s="414" t="s">
        <v>328</v>
      </c>
      <c r="Q103" s="412" t="s">
        <v>343</v>
      </c>
      <c r="R103" s="410" t="s">
        <v>344</v>
      </c>
      <c r="S103" s="2"/>
      <c r="T103" s="2"/>
      <c r="U103" s="2"/>
      <c r="V103" s="2"/>
      <c r="W103" s="2"/>
      <c r="X103" s="2"/>
      <c r="Y103" s="2"/>
      <c r="Z103" s="2"/>
      <c r="AA103" s="2"/>
      <c r="AB103" s="2"/>
      <c r="AC103" s="8">
        <f>13229610.3+60000000</f>
        <v>73229610.299999997</v>
      </c>
      <c r="AD103" s="2"/>
      <c r="AE103" s="2"/>
      <c r="AF103" s="106">
        <f>+S103+T103+U103+V103+W103+X103+Y103+Z103+AA103+AB103+AC103+AD103+AE103</f>
        <v>73229610.299999997</v>
      </c>
      <c r="AH103" s="310"/>
    </row>
    <row r="104" spans="1:35" ht="15.75" x14ac:dyDescent="0.2">
      <c r="A104" s="281"/>
      <c r="B104" s="170">
        <v>4</v>
      </c>
      <c r="C104" s="93" t="s">
        <v>70</v>
      </c>
      <c r="D104" s="94"/>
      <c r="E104" s="94"/>
      <c r="F104" s="95"/>
      <c r="G104" s="96"/>
      <c r="H104" s="97"/>
      <c r="I104" s="95"/>
      <c r="J104" s="96"/>
      <c r="K104" s="95"/>
      <c r="L104" s="97"/>
      <c r="M104" s="97"/>
      <c r="N104" s="96"/>
      <c r="O104" s="96"/>
      <c r="P104" s="276"/>
      <c r="Q104" s="96"/>
      <c r="R104" s="95"/>
      <c r="S104" s="99">
        <f t="shared" ref="S104:AF104" si="41">+S105</f>
        <v>0</v>
      </c>
      <c r="T104" s="99">
        <f t="shared" si="41"/>
        <v>0</v>
      </c>
      <c r="U104" s="99">
        <f t="shared" si="41"/>
        <v>0</v>
      </c>
      <c r="V104" s="99">
        <f t="shared" si="41"/>
        <v>0</v>
      </c>
      <c r="W104" s="99">
        <f t="shared" si="41"/>
        <v>0</v>
      </c>
      <c r="X104" s="99">
        <f t="shared" si="41"/>
        <v>0</v>
      </c>
      <c r="Y104" s="99">
        <f t="shared" si="41"/>
        <v>0</v>
      </c>
      <c r="Z104" s="99">
        <f t="shared" si="41"/>
        <v>0</v>
      </c>
      <c r="AA104" s="99">
        <f t="shared" si="41"/>
        <v>0</v>
      </c>
      <c r="AB104" s="99">
        <f t="shared" si="41"/>
        <v>0</v>
      </c>
      <c r="AC104" s="99">
        <f t="shared" si="41"/>
        <v>150170667</v>
      </c>
      <c r="AD104" s="99">
        <f t="shared" si="41"/>
        <v>0</v>
      </c>
      <c r="AE104" s="99">
        <f t="shared" si="41"/>
        <v>0</v>
      </c>
      <c r="AF104" s="99">
        <f t="shared" si="41"/>
        <v>150170667</v>
      </c>
      <c r="AH104" s="310"/>
    </row>
    <row r="105" spans="1:35" ht="15.75" x14ac:dyDescent="0.2">
      <c r="A105" s="281"/>
      <c r="B105" s="289"/>
      <c r="C105" s="126">
        <v>42</v>
      </c>
      <c r="D105" s="101">
        <v>4502</v>
      </c>
      <c r="E105" s="147" t="s">
        <v>61</v>
      </c>
      <c r="F105" s="100"/>
      <c r="G105" s="101"/>
      <c r="H105" s="102"/>
      <c r="I105" s="100"/>
      <c r="J105" s="101"/>
      <c r="K105" s="100"/>
      <c r="L105" s="102"/>
      <c r="M105" s="102"/>
      <c r="N105" s="101"/>
      <c r="O105" s="101"/>
      <c r="P105" s="274"/>
      <c r="Q105" s="101"/>
      <c r="R105" s="100"/>
      <c r="S105" s="105">
        <f t="shared" ref="S105:AF105" si="42">SUM(S106:S110)</f>
        <v>0</v>
      </c>
      <c r="T105" s="105">
        <f t="shared" si="42"/>
        <v>0</v>
      </c>
      <c r="U105" s="105">
        <f t="shared" si="42"/>
        <v>0</v>
      </c>
      <c r="V105" s="105">
        <f t="shared" si="42"/>
        <v>0</v>
      </c>
      <c r="W105" s="105">
        <f t="shared" si="42"/>
        <v>0</v>
      </c>
      <c r="X105" s="105">
        <f t="shared" si="42"/>
        <v>0</v>
      </c>
      <c r="Y105" s="105">
        <f t="shared" si="42"/>
        <v>0</v>
      </c>
      <c r="Z105" s="105">
        <f t="shared" si="42"/>
        <v>0</v>
      </c>
      <c r="AA105" s="105">
        <f t="shared" si="42"/>
        <v>0</v>
      </c>
      <c r="AB105" s="105">
        <f t="shared" si="42"/>
        <v>0</v>
      </c>
      <c r="AC105" s="105">
        <f t="shared" si="42"/>
        <v>150170667</v>
      </c>
      <c r="AD105" s="105">
        <f t="shared" si="42"/>
        <v>0</v>
      </c>
      <c r="AE105" s="105">
        <f t="shared" si="42"/>
        <v>0</v>
      </c>
      <c r="AF105" s="105">
        <f t="shared" si="42"/>
        <v>150170667</v>
      </c>
      <c r="AH105" s="310"/>
    </row>
    <row r="106" spans="1:35" ht="99.75" customHeight="1" x14ac:dyDescent="0.2">
      <c r="A106" s="281"/>
      <c r="B106" s="290"/>
      <c r="C106" s="240"/>
      <c r="D106" s="412"/>
      <c r="E106" s="253">
        <v>4502</v>
      </c>
      <c r="F106" s="422" t="s">
        <v>62</v>
      </c>
      <c r="G106" s="253" t="s">
        <v>345</v>
      </c>
      <c r="H106" s="222">
        <v>4502001</v>
      </c>
      <c r="I106" s="414" t="s">
        <v>346</v>
      </c>
      <c r="J106" s="223" t="s">
        <v>347</v>
      </c>
      <c r="K106" s="414" t="s">
        <v>348</v>
      </c>
      <c r="L106" s="224" t="s">
        <v>51</v>
      </c>
      <c r="M106" s="253">
        <v>3</v>
      </c>
      <c r="N106" s="223">
        <v>3</v>
      </c>
      <c r="O106" s="223">
        <v>2</v>
      </c>
      <c r="P106" s="494" t="s">
        <v>67</v>
      </c>
      <c r="Q106" s="470" t="s">
        <v>322</v>
      </c>
      <c r="R106" s="471" t="s">
        <v>323</v>
      </c>
      <c r="S106" s="2"/>
      <c r="T106" s="2"/>
      <c r="U106" s="2"/>
      <c r="V106" s="2"/>
      <c r="W106" s="2"/>
      <c r="X106" s="2"/>
      <c r="Y106" s="2"/>
      <c r="Z106" s="2"/>
      <c r="AA106" s="2"/>
      <c r="AB106" s="2"/>
      <c r="AC106" s="236">
        <f>207796636-100000000-79525969+35000000</f>
        <v>63270667</v>
      </c>
      <c r="AD106" s="2"/>
      <c r="AE106" s="2"/>
      <c r="AF106" s="106">
        <f>+S106+T106+U106+V106+W106+X106+Y106+Z106+AA106+AB106+AC106+AD106+AE106</f>
        <v>63270667</v>
      </c>
      <c r="AH106" s="310"/>
    </row>
    <row r="107" spans="1:35" ht="54.75" customHeight="1" x14ac:dyDescent="0.2">
      <c r="A107" s="281"/>
      <c r="B107" s="290"/>
      <c r="C107" s="240"/>
      <c r="D107" s="412"/>
      <c r="E107" s="253">
        <v>4502</v>
      </c>
      <c r="F107" s="422" t="s">
        <v>62</v>
      </c>
      <c r="G107" s="225" t="s">
        <v>349</v>
      </c>
      <c r="H107" s="253" t="s">
        <v>45</v>
      </c>
      <c r="I107" s="226" t="s">
        <v>350</v>
      </c>
      <c r="J107" s="225" t="s">
        <v>351</v>
      </c>
      <c r="K107" s="226" t="s">
        <v>352</v>
      </c>
      <c r="L107" s="224" t="s">
        <v>51</v>
      </c>
      <c r="M107" s="253">
        <v>1</v>
      </c>
      <c r="N107" s="225">
        <v>1</v>
      </c>
      <c r="O107" s="225">
        <v>0.8</v>
      </c>
      <c r="P107" s="494"/>
      <c r="Q107" s="470"/>
      <c r="R107" s="471"/>
      <c r="S107" s="2"/>
      <c r="T107" s="2"/>
      <c r="U107" s="2"/>
      <c r="V107" s="2"/>
      <c r="W107" s="2"/>
      <c r="X107" s="2"/>
      <c r="Y107" s="2"/>
      <c r="Z107" s="2"/>
      <c r="AA107" s="2"/>
      <c r="AB107" s="2"/>
      <c r="AC107" s="8">
        <f>70000000-35000000</f>
        <v>35000000</v>
      </c>
      <c r="AD107" s="2"/>
      <c r="AE107" s="2"/>
      <c r="AF107" s="106">
        <f>+S107+T107+U107+V107+W107+X107+Y107+Z107+AA107+AB107+AC107+AD107+AE107</f>
        <v>35000000</v>
      </c>
      <c r="AH107" s="310"/>
    </row>
    <row r="108" spans="1:35" ht="95.25" customHeight="1" x14ac:dyDescent="0.2">
      <c r="A108" s="281"/>
      <c r="B108" s="290"/>
      <c r="C108" s="240"/>
      <c r="D108" s="412"/>
      <c r="E108" s="253">
        <v>4502</v>
      </c>
      <c r="F108" s="422" t="s">
        <v>62</v>
      </c>
      <c r="G108" s="223" t="s">
        <v>353</v>
      </c>
      <c r="H108" s="253" t="s">
        <v>45</v>
      </c>
      <c r="I108" s="414" t="s">
        <v>354</v>
      </c>
      <c r="J108" s="223" t="s">
        <v>355</v>
      </c>
      <c r="K108" s="414" t="s">
        <v>1331</v>
      </c>
      <c r="L108" s="224" t="s">
        <v>51</v>
      </c>
      <c r="M108" s="253">
        <v>12</v>
      </c>
      <c r="N108" s="223">
        <v>12</v>
      </c>
      <c r="O108" s="223">
        <v>12</v>
      </c>
      <c r="P108" s="494" t="s">
        <v>67</v>
      </c>
      <c r="Q108" s="470" t="s">
        <v>356</v>
      </c>
      <c r="R108" s="471" t="s">
        <v>357</v>
      </c>
      <c r="S108" s="2"/>
      <c r="T108" s="2"/>
      <c r="U108" s="2"/>
      <c r="V108" s="2"/>
      <c r="W108" s="2"/>
      <c r="X108" s="2"/>
      <c r="Y108" s="2"/>
      <c r="Z108" s="2"/>
      <c r="AA108" s="2"/>
      <c r="AB108" s="2"/>
      <c r="AC108" s="8">
        <f>40000000-20100000</f>
        <v>19900000</v>
      </c>
      <c r="AD108" s="2"/>
      <c r="AE108" s="2"/>
      <c r="AF108" s="106">
        <f>+S108+T108+U108+V108+W108+X108+Y108+Z108+AA108+AB108+AC108+AD108+AE108</f>
        <v>19900000</v>
      </c>
      <c r="AH108" s="310"/>
    </row>
    <row r="109" spans="1:35" ht="63.75" customHeight="1" x14ac:dyDescent="0.2">
      <c r="A109" s="281"/>
      <c r="B109" s="290"/>
      <c r="C109" s="240"/>
      <c r="D109" s="412"/>
      <c r="E109" s="253">
        <v>4502</v>
      </c>
      <c r="F109" s="422" t="s">
        <v>62</v>
      </c>
      <c r="G109" s="225" t="s">
        <v>358</v>
      </c>
      <c r="H109" s="253" t="s">
        <v>1310</v>
      </c>
      <c r="I109" s="226" t="s">
        <v>359</v>
      </c>
      <c r="J109" s="225" t="s">
        <v>360</v>
      </c>
      <c r="K109" s="226" t="s">
        <v>361</v>
      </c>
      <c r="L109" s="224" t="s">
        <v>141</v>
      </c>
      <c r="M109" s="253">
        <v>1</v>
      </c>
      <c r="N109" s="225">
        <v>0.2</v>
      </c>
      <c r="O109" s="225">
        <v>0.2</v>
      </c>
      <c r="P109" s="494"/>
      <c r="Q109" s="470"/>
      <c r="R109" s="471"/>
      <c r="S109" s="2"/>
      <c r="T109" s="2"/>
      <c r="U109" s="2"/>
      <c r="V109" s="2"/>
      <c r="W109" s="2"/>
      <c r="X109" s="2"/>
      <c r="Y109" s="2"/>
      <c r="Z109" s="2"/>
      <c r="AA109" s="2"/>
      <c r="AB109" s="2"/>
      <c r="AC109" s="8">
        <v>10000000</v>
      </c>
      <c r="AD109" s="2"/>
      <c r="AE109" s="2"/>
      <c r="AF109" s="106">
        <f>+S109+T109+U109+V109+W109+X109+Y109+Z109+AA109+AB109+AC109+AD109+AE109</f>
        <v>10000000</v>
      </c>
      <c r="AH109" s="310"/>
    </row>
    <row r="110" spans="1:35" ht="46.5" customHeight="1" x14ac:dyDescent="0.2">
      <c r="A110" s="282"/>
      <c r="B110" s="288"/>
      <c r="C110" s="240"/>
      <c r="D110" s="412"/>
      <c r="E110" s="253">
        <v>4502</v>
      </c>
      <c r="F110" s="422" t="s">
        <v>62</v>
      </c>
      <c r="G110" s="253" t="s">
        <v>345</v>
      </c>
      <c r="H110" s="220">
        <v>4502001</v>
      </c>
      <c r="I110" s="422" t="s">
        <v>346</v>
      </c>
      <c r="J110" s="253" t="s">
        <v>347</v>
      </c>
      <c r="K110" s="422" t="s">
        <v>348</v>
      </c>
      <c r="L110" s="224" t="s">
        <v>51</v>
      </c>
      <c r="M110" s="253">
        <v>3</v>
      </c>
      <c r="N110" s="253">
        <v>3</v>
      </c>
      <c r="O110" s="253">
        <v>2</v>
      </c>
      <c r="P110" s="414" t="s">
        <v>67</v>
      </c>
      <c r="Q110" s="412" t="s">
        <v>362</v>
      </c>
      <c r="R110" s="410" t="s">
        <v>1332</v>
      </c>
      <c r="S110" s="2"/>
      <c r="T110" s="2"/>
      <c r="U110" s="2"/>
      <c r="V110" s="2"/>
      <c r="W110" s="2"/>
      <c r="X110" s="2"/>
      <c r="Y110" s="2"/>
      <c r="Z110" s="2"/>
      <c r="AA110" s="2"/>
      <c r="AB110" s="2"/>
      <c r="AC110" s="8">
        <f>50000000-28000000</f>
        <v>22000000</v>
      </c>
      <c r="AD110" s="2"/>
      <c r="AE110" s="2"/>
      <c r="AF110" s="106">
        <f>+S110+T110+U110+V110+W110+X110+Y110+Z110+AA110+AB110+AC110+AD110+AE110</f>
        <v>22000000</v>
      </c>
      <c r="AH110" s="310"/>
    </row>
    <row r="111" spans="1:35" ht="20.25" customHeight="1" x14ac:dyDescent="0.2">
      <c r="A111" s="135" t="s">
        <v>364</v>
      </c>
      <c r="B111" s="135"/>
      <c r="C111" s="135"/>
      <c r="D111" s="136"/>
      <c r="E111" s="136"/>
      <c r="F111" s="137"/>
      <c r="G111" s="138"/>
      <c r="H111" s="90"/>
      <c r="I111" s="137"/>
      <c r="J111" s="138"/>
      <c r="K111" s="137"/>
      <c r="L111" s="90"/>
      <c r="M111" s="90"/>
      <c r="N111" s="138"/>
      <c r="O111" s="138"/>
      <c r="P111" s="275"/>
      <c r="Q111" s="138"/>
      <c r="R111" s="137"/>
      <c r="S111" s="119">
        <f t="shared" ref="S111:AF111" si="43">S112</f>
        <v>2235170761.02</v>
      </c>
      <c r="T111" s="119">
        <f t="shared" si="43"/>
        <v>0</v>
      </c>
      <c r="U111" s="119">
        <f t="shared" si="43"/>
        <v>0</v>
      </c>
      <c r="V111" s="119">
        <f t="shared" si="43"/>
        <v>0</v>
      </c>
      <c r="W111" s="119">
        <f t="shared" si="43"/>
        <v>0</v>
      </c>
      <c r="X111" s="119">
        <f t="shared" si="43"/>
        <v>0</v>
      </c>
      <c r="Y111" s="119">
        <f t="shared" si="43"/>
        <v>0</v>
      </c>
      <c r="Z111" s="119">
        <f t="shared" si="43"/>
        <v>0</v>
      </c>
      <c r="AA111" s="119">
        <f t="shared" si="43"/>
        <v>0</v>
      </c>
      <c r="AB111" s="119">
        <f t="shared" si="43"/>
        <v>0</v>
      </c>
      <c r="AC111" s="119">
        <f t="shared" si="43"/>
        <v>457871341</v>
      </c>
      <c r="AD111" s="119">
        <f t="shared" si="43"/>
        <v>342754433.30000001</v>
      </c>
      <c r="AE111" s="119">
        <f t="shared" si="43"/>
        <v>0</v>
      </c>
      <c r="AF111" s="119">
        <f t="shared" si="43"/>
        <v>3035796535.3200002</v>
      </c>
      <c r="AG111" s="310"/>
      <c r="AH111" s="310"/>
      <c r="AI111" s="310"/>
    </row>
    <row r="112" spans="1:35" ht="20.25" customHeight="1" x14ac:dyDescent="0.2">
      <c r="A112" s="283"/>
      <c r="B112" s="170">
        <v>1</v>
      </c>
      <c r="C112" s="93" t="s">
        <v>1</v>
      </c>
      <c r="D112" s="94"/>
      <c r="E112" s="94"/>
      <c r="F112" s="95"/>
      <c r="G112" s="96"/>
      <c r="H112" s="97"/>
      <c r="I112" s="95"/>
      <c r="J112" s="96"/>
      <c r="K112" s="95"/>
      <c r="L112" s="98"/>
      <c r="M112" s="98"/>
      <c r="N112" s="96"/>
      <c r="O112" s="96"/>
      <c r="P112" s="276"/>
      <c r="Q112" s="96"/>
      <c r="R112" s="95"/>
      <c r="S112" s="99">
        <f t="shared" ref="S112:AF112" si="44">S113+S120</f>
        <v>2235170761.02</v>
      </c>
      <c r="T112" s="99">
        <f t="shared" si="44"/>
        <v>0</v>
      </c>
      <c r="U112" s="99">
        <f t="shared" si="44"/>
        <v>0</v>
      </c>
      <c r="V112" s="99">
        <f t="shared" si="44"/>
        <v>0</v>
      </c>
      <c r="W112" s="99">
        <f t="shared" si="44"/>
        <v>0</v>
      </c>
      <c r="X112" s="99">
        <f t="shared" si="44"/>
        <v>0</v>
      </c>
      <c r="Y112" s="99">
        <f t="shared" si="44"/>
        <v>0</v>
      </c>
      <c r="Z112" s="99">
        <f t="shared" si="44"/>
        <v>0</v>
      </c>
      <c r="AA112" s="99">
        <f t="shared" si="44"/>
        <v>0</v>
      </c>
      <c r="AB112" s="99">
        <f t="shared" si="44"/>
        <v>0</v>
      </c>
      <c r="AC112" s="99">
        <f t="shared" si="44"/>
        <v>457871341</v>
      </c>
      <c r="AD112" s="99">
        <f t="shared" si="44"/>
        <v>342754433.30000001</v>
      </c>
      <c r="AE112" s="99">
        <f t="shared" si="44"/>
        <v>0</v>
      </c>
      <c r="AF112" s="99">
        <f t="shared" si="44"/>
        <v>3035796535.3200002</v>
      </c>
      <c r="AH112" s="310"/>
    </row>
    <row r="113" spans="1:35" ht="20.25" customHeight="1" x14ac:dyDescent="0.2">
      <c r="A113" s="281"/>
      <c r="B113" s="433"/>
      <c r="C113" s="126">
        <v>25</v>
      </c>
      <c r="D113" s="101">
        <v>3301</v>
      </c>
      <c r="E113" s="424" t="s">
        <v>163</v>
      </c>
      <c r="F113" s="100"/>
      <c r="G113" s="101"/>
      <c r="H113" s="102"/>
      <c r="I113" s="100"/>
      <c r="J113" s="101"/>
      <c r="K113" s="100"/>
      <c r="L113" s="103"/>
      <c r="M113" s="103"/>
      <c r="N113" s="101"/>
      <c r="O113" s="101"/>
      <c r="P113" s="274"/>
      <c r="Q113" s="101"/>
      <c r="R113" s="100"/>
      <c r="S113" s="105">
        <f>SUM(S114:S119)</f>
        <v>2235170761.02</v>
      </c>
      <c r="T113" s="105">
        <f t="shared" ref="T113:AE113" si="45">SUM(T114:T119)</f>
        <v>0</v>
      </c>
      <c r="U113" s="105">
        <f t="shared" si="45"/>
        <v>0</v>
      </c>
      <c r="V113" s="105">
        <f t="shared" si="45"/>
        <v>0</v>
      </c>
      <c r="W113" s="105">
        <f t="shared" si="45"/>
        <v>0</v>
      </c>
      <c r="X113" s="105">
        <f t="shared" si="45"/>
        <v>0</v>
      </c>
      <c r="Y113" s="105">
        <f t="shared" si="45"/>
        <v>0</v>
      </c>
      <c r="Z113" s="105">
        <f t="shared" si="45"/>
        <v>0</v>
      </c>
      <c r="AA113" s="105">
        <f t="shared" si="45"/>
        <v>0</v>
      </c>
      <c r="AB113" s="105">
        <f t="shared" si="45"/>
        <v>0</v>
      </c>
      <c r="AC113" s="105">
        <f t="shared" si="45"/>
        <v>395431010</v>
      </c>
      <c r="AD113" s="105">
        <f t="shared" si="45"/>
        <v>0</v>
      </c>
      <c r="AE113" s="105">
        <f t="shared" si="45"/>
        <v>0</v>
      </c>
      <c r="AF113" s="105">
        <f>SUM(AF114:AF119)</f>
        <v>2630601771.02</v>
      </c>
      <c r="AH113" s="310"/>
    </row>
    <row r="114" spans="1:35" ht="69.75" customHeight="1" x14ac:dyDescent="0.2">
      <c r="A114" s="281"/>
      <c r="B114" s="434"/>
      <c r="C114" s="423"/>
      <c r="D114" s="421"/>
      <c r="E114" s="235">
        <v>3301</v>
      </c>
      <c r="F114" s="411" t="s">
        <v>1295</v>
      </c>
      <c r="G114" s="223" t="s">
        <v>365</v>
      </c>
      <c r="H114" s="412">
        <v>3301087</v>
      </c>
      <c r="I114" s="410" t="s">
        <v>366</v>
      </c>
      <c r="J114" s="412" t="s">
        <v>367</v>
      </c>
      <c r="K114" s="410" t="s">
        <v>334</v>
      </c>
      <c r="L114" s="412" t="s">
        <v>141</v>
      </c>
      <c r="M114" s="412">
        <v>18785</v>
      </c>
      <c r="N114" s="412">
        <v>1600</v>
      </c>
      <c r="O114" s="253">
        <v>172</v>
      </c>
      <c r="P114" s="471" t="s">
        <v>169</v>
      </c>
      <c r="Q114" s="470" t="s">
        <v>368</v>
      </c>
      <c r="R114" s="471" t="s">
        <v>369</v>
      </c>
      <c r="S114" s="251"/>
      <c r="T114" s="2"/>
      <c r="U114" s="2"/>
      <c r="V114" s="2"/>
      <c r="W114" s="2"/>
      <c r="X114" s="2"/>
      <c r="Y114" s="2"/>
      <c r="Z114" s="2"/>
      <c r="AA114" s="2"/>
      <c r="AB114" s="2"/>
      <c r="AC114" s="372">
        <f>774149741-400000000-210749741-79000000</f>
        <v>84400000</v>
      </c>
      <c r="AD114" s="2"/>
      <c r="AE114" s="2"/>
      <c r="AF114" s="106">
        <f t="shared" ref="AF114:AF119" si="46">+S114+T114+U114+V114+W114+X114+Y114+Z114+AA114+AB114+AC114+AD114+AE114</f>
        <v>84400000</v>
      </c>
      <c r="AH114" s="310"/>
    </row>
    <row r="115" spans="1:35" ht="114" customHeight="1" x14ac:dyDescent="0.2">
      <c r="A115" s="281"/>
      <c r="B115" s="434"/>
      <c r="C115" s="423"/>
      <c r="D115" s="421"/>
      <c r="E115" s="235">
        <v>3301</v>
      </c>
      <c r="F115" s="411" t="s">
        <v>1404</v>
      </c>
      <c r="G115" s="223" t="s">
        <v>370</v>
      </c>
      <c r="H115" s="412">
        <v>3301073</v>
      </c>
      <c r="I115" s="410" t="s">
        <v>371</v>
      </c>
      <c r="J115" s="412" t="s">
        <v>372</v>
      </c>
      <c r="K115" s="410" t="s">
        <v>373</v>
      </c>
      <c r="L115" s="412" t="s">
        <v>141</v>
      </c>
      <c r="M115" s="412">
        <v>1800</v>
      </c>
      <c r="N115" s="412">
        <v>200</v>
      </c>
      <c r="O115" s="253">
        <v>150</v>
      </c>
      <c r="P115" s="471"/>
      <c r="Q115" s="470"/>
      <c r="R115" s="471"/>
      <c r="S115" s="393">
        <f>1308657774.35-151977347.27-151977347</f>
        <v>1004703080.0799999</v>
      </c>
      <c r="T115" s="2"/>
      <c r="U115" s="2"/>
      <c r="V115" s="2"/>
      <c r="W115" s="2"/>
      <c r="X115" s="2"/>
      <c r="Y115" s="2"/>
      <c r="Z115" s="2"/>
      <c r="AA115" s="2"/>
      <c r="AB115" s="2"/>
      <c r="AC115" s="8">
        <f>0+210749741-83749741</f>
        <v>127000000</v>
      </c>
      <c r="AD115" s="2"/>
      <c r="AE115" s="2"/>
      <c r="AF115" s="131">
        <f t="shared" si="46"/>
        <v>1131703080.0799999</v>
      </c>
      <c r="AH115" s="310"/>
    </row>
    <row r="116" spans="1:35" ht="72.75" customHeight="1" x14ac:dyDescent="0.2">
      <c r="A116" s="281"/>
      <c r="B116" s="434"/>
      <c r="C116" s="423"/>
      <c r="D116" s="421"/>
      <c r="E116" s="235">
        <v>3301</v>
      </c>
      <c r="F116" s="411" t="s">
        <v>1405</v>
      </c>
      <c r="G116" s="223" t="s">
        <v>374</v>
      </c>
      <c r="H116" s="412">
        <v>3301085</v>
      </c>
      <c r="I116" s="410" t="s">
        <v>375</v>
      </c>
      <c r="J116" s="412" t="s">
        <v>376</v>
      </c>
      <c r="K116" s="410" t="s">
        <v>377</v>
      </c>
      <c r="L116" s="412" t="s">
        <v>141</v>
      </c>
      <c r="M116" s="412">
        <v>270958</v>
      </c>
      <c r="N116" s="412">
        <v>958</v>
      </c>
      <c r="O116" s="253">
        <v>596</v>
      </c>
      <c r="P116" s="471" t="s">
        <v>169</v>
      </c>
      <c r="Q116" s="470" t="s">
        <v>378</v>
      </c>
      <c r="R116" s="471" t="s">
        <v>1333</v>
      </c>
      <c r="S116" s="393">
        <v>110000000</v>
      </c>
      <c r="T116" s="2"/>
      <c r="U116" s="2"/>
      <c r="V116" s="2"/>
      <c r="W116" s="2"/>
      <c r="X116" s="2"/>
      <c r="Y116" s="2"/>
      <c r="Z116" s="2"/>
      <c r="AA116" s="2"/>
      <c r="AB116" s="2"/>
      <c r="AC116" s="8"/>
      <c r="AD116" s="2"/>
      <c r="AE116" s="2"/>
      <c r="AF116" s="106">
        <f t="shared" si="46"/>
        <v>110000000</v>
      </c>
      <c r="AH116" s="310"/>
    </row>
    <row r="117" spans="1:35" ht="101.25" customHeight="1" x14ac:dyDescent="0.2">
      <c r="A117" s="281"/>
      <c r="B117" s="434"/>
      <c r="C117" s="423"/>
      <c r="D117" s="421"/>
      <c r="E117" s="235">
        <v>3301</v>
      </c>
      <c r="F117" s="411" t="s">
        <v>1296</v>
      </c>
      <c r="G117" s="223" t="s">
        <v>380</v>
      </c>
      <c r="H117" s="412">
        <v>3301100</v>
      </c>
      <c r="I117" s="410" t="s">
        <v>381</v>
      </c>
      <c r="J117" s="195" t="s">
        <v>382</v>
      </c>
      <c r="K117" s="200" t="s">
        <v>383</v>
      </c>
      <c r="L117" s="412" t="s">
        <v>141</v>
      </c>
      <c r="M117" s="412">
        <v>40</v>
      </c>
      <c r="N117" s="412">
        <v>5</v>
      </c>
      <c r="O117" s="412">
        <v>0</v>
      </c>
      <c r="P117" s="471"/>
      <c r="Q117" s="470"/>
      <c r="R117" s="471"/>
      <c r="S117" s="373">
        <f>94814219-0.26</f>
        <v>94814218.739999995</v>
      </c>
      <c r="T117" s="2"/>
      <c r="U117" s="2"/>
      <c r="V117" s="2"/>
      <c r="W117" s="2"/>
      <c r="X117" s="2"/>
      <c r="Y117" s="2"/>
      <c r="Z117" s="2"/>
      <c r="AA117" s="2"/>
      <c r="AB117" s="2"/>
      <c r="AC117" s="2"/>
      <c r="AD117" s="2"/>
      <c r="AE117" s="2"/>
      <c r="AF117" s="106">
        <f t="shared" si="46"/>
        <v>94814218.739999995</v>
      </c>
      <c r="AH117" s="310"/>
    </row>
    <row r="118" spans="1:35" ht="99.75" customHeight="1" x14ac:dyDescent="0.2">
      <c r="A118" s="281"/>
      <c r="B118" s="434"/>
      <c r="C118" s="423"/>
      <c r="D118" s="421"/>
      <c r="E118" s="235">
        <v>3301</v>
      </c>
      <c r="F118" s="410" t="s">
        <v>1404</v>
      </c>
      <c r="G118" s="253" t="s">
        <v>384</v>
      </c>
      <c r="H118" s="412">
        <v>3301099</v>
      </c>
      <c r="I118" s="410" t="s">
        <v>385</v>
      </c>
      <c r="J118" s="195" t="s">
        <v>386</v>
      </c>
      <c r="K118" s="200" t="s">
        <v>387</v>
      </c>
      <c r="L118" s="195" t="s">
        <v>51</v>
      </c>
      <c r="M118" s="195">
        <v>1</v>
      </c>
      <c r="N118" s="412">
        <v>1</v>
      </c>
      <c r="O118" s="427">
        <v>1</v>
      </c>
      <c r="P118" s="410" t="s">
        <v>169</v>
      </c>
      <c r="Q118" s="412" t="s">
        <v>388</v>
      </c>
      <c r="R118" s="410" t="s">
        <v>1334</v>
      </c>
      <c r="S118" s="394"/>
      <c r="T118" s="2"/>
      <c r="U118" s="2"/>
      <c r="V118" s="2"/>
      <c r="W118" s="2"/>
      <c r="X118" s="2"/>
      <c r="Y118" s="2"/>
      <c r="Z118" s="2"/>
      <c r="AA118" s="2"/>
      <c r="AB118" s="2"/>
      <c r="AC118" s="8">
        <f>80000000-62000000</f>
        <v>18000000</v>
      </c>
      <c r="AD118" s="2"/>
      <c r="AE118" s="2"/>
      <c r="AF118" s="106">
        <f t="shared" si="46"/>
        <v>18000000</v>
      </c>
      <c r="AH118" s="310"/>
    </row>
    <row r="119" spans="1:35" ht="141" customHeight="1" x14ac:dyDescent="0.2">
      <c r="A119" s="281"/>
      <c r="B119" s="434"/>
      <c r="C119" s="423"/>
      <c r="D119" s="421"/>
      <c r="E119" s="235">
        <v>3301</v>
      </c>
      <c r="F119" s="411" t="s">
        <v>1294</v>
      </c>
      <c r="G119" s="223" t="s">
        <v>390</v>
      </c>
      <c r="H119" s="412">
        <v>3301095</v>
      </c>
      <c r="I119" s="410" t="s">
        <v>391</v>
      </c>
      <c r="J119" s="412" t="s">
        <v>392</v>
      </c>
      <c r="K119" s="410" t="s">
        <v>393</v>
      </c>
      <c r="L119" s="195" t="s">
        <v>141</v>
      </c>
      <c r="M119" s="195">
        <v>480</v>
      </c>
      <c r="N119" s="195">
        <v>30</v>
      </c>
      <c r="O119" s="195">
        <v>0</v>
      </c>
      <c r="P119" s="410" t="s">
        <v>169</v>
      </c>
      <c r="Q119" s="412" t="s">
        <v>394</v>
      </c>
      <c r="R119" s="410" t="s">
        <v>395</v>
      </c>
      <c r="S119" s="395">
        <f>1063903990.74-38250528.54</f>
        <v>1025653462.2</v>
      </c>
      <c r="T119" s="2"/>
      <c r="U119" s="2"/>
      <c r="V119" s="2"/>
      <c r="W119" s="2"/>
      <c r="X119" s="2"/>
      <c r="Y119" s="2"/>
      <c r="Z119" s="2"/>
      <c r="AA119" s="2"/>
      <c r="AB119" s="2"/>
      <c r="AC119" s="372">
        <f>3281269+162749741</f>
        <v>166031010</v>
      </c>
      <c r="AD119" s="2"/>
      <c r="AE119" s="2"/>
      <c r="AF119" s="106">
        <f t="shared" si="46"/>
        <v>1191684472.2</v>
      </c>
      <c r="AH119" s="310"/>
    </row>
    <row r="120" spans="1:35" ht="25.5" customHeight="1" x14ac:dyDescent="0.2">
      <c r="A120" s="281"/>
      <c r="B120" s="434"/>
      <c r="C120" s="126">
        <v>26</v>
      </c>
      <c r="D120" s="101">
        <v>3302</v>
      </c>
      <c r="E120" s="147" t="s">
        <v>396</v>
      </c>
      <c r="F120" s="100"/>
      <c r="G120" s="101"/>
      <c r="H120" s="102"/>
      <c r="I120" s="100"/>
      <c r="J120" s="101"/>
      <c r="K120" s="100"/>
      <c r="L120" s="103"/>
      <c r="M120" s="103"/>
      <c r="N120" s="101"/>
      <c r="O120" s="101"/>
      <c r="P120" s="274"/>
      <c r="Q120" s="101"/>
      <c r="R120" s="100"/>
      <c r="S120" s="105">
        <f t="shared" ref="S120:AF120" si="47">SUM(S121:S122)</f>
        <v>0</v>
      </c>
      <c r="T120" s="105">
        <f t="shared" si="47"/>
        <v>0</v>
      </c>
      <c r="U120" s="105">
        <f t="shared" si="47"/>
        <v>0</v>
      </c>
      <c r="V120" s="105">
        <f t="shared" si="47"/>
        <v>0</v>
      </c>
      <c r="W120" s="105">
        <f t="shared" si="47"/>
        <v>0</v>
      </c>
      <c r="X120" s="105">
        <f t="shared" si="47"/>
        <v>0</v>
      </c>
      <c r="Y120" s="105">
        <f t="shared" si="47"/>
        <v>0</v>
      </c>
      <c r="Z120" s="105">
        <f t="shared" si="47"/>
        <v>0</v>
      </c>
      <c r="AA120" s="105">
        <f t="shared" si="47"/>
        <v>0</v>
      </c>
      <c r="AB120" s="105">
        <f t="shared" si="47"/>
        <v>0</v>
      </c>
      <c r="AC120" s="105">
        <f t="shared" si="47"/>
        <v>62440331</v>
      </c>
      <c r="AD120" s="105">
        <f t="shared" si="47"/>
        <v>342754433.30000001</v>
      </c>
      <c r="AE120" s="105">
        <f t="shared" si="47"/>
        <v>0</v>
      </c>
      <c r="AF120" s="105">
        <f t="shared" si="47"/>
        <v>405194764.30000001</v>
      </c>
      <c r="AH120" s="310"/>
    </row>
    <row r="121" spans="1:35" ht="99" customHeight="1" x14ac:dyDescent="0.2">
      <c r="A121" s="281"/>
      <c r="B121" s="434"/>
      <c r="C121" s="423"/>
      <c r="D121" s="421"/>
      <c r="E121" s="235">
        <v>3302</v>
      </c>
      <c r="F121" s="411" t="s">
        <v>1406</v>
      </c>
      <c r="G121" s="253" t="s">
        <v>397</v>
      </c>
      <c r="H121" s="7">
        <v>3302042</v>
      </c>
      <c r="I121" s="410" t="s">
        <v>398</v>
      </c>
      <c r="J121" s="412" t="s">
        <v>399</v>
      </c>
      <c r="K121" s="410" t="s">
        <v>400</v>
      </c>
      <c r="L121" s="412" t="s">
        <v>141</v>
      </c>
      <c r="M121" s="412">
        <v>48</v>
      </c>
      <c r="N121" s="412">
        <v>12</v>
      </c>
      <c r="O121" s="412">
        <v>12</v>
      </c>
      <c r="P121" s="471" t="s">
        <v>169</v>
      </c>
      <c r="Q121" s="470" t="s">
        <v>401</v>
      </c>
      <c r="R121" s="471" t="s">
        <v>402</v>
      </c>
      <c r="S121" s="2"/>
      <c r="T121" s="2"/>
      <c r="U121" s="2"/>
      <c r="V121" s="2"/>
      <c r="W121" s="2"/>
      <c r="X121" s="2"/>
      <c r="Y121" s="2"/>
      <c r="Z121" s="2"/>
      <c r="AA121" s="2"/>
      <c r="AB121" s="2"/>
      <c r="AC121" s="8">
        <f>80000000-46200000</f>
        <v>33800000</v>
      </c>
      <c r="AD121" s="2"/>
      <c r="AE121" s="249"/>
      <c r="AF121" s="106">
        <f>+S121+T121+U121+V121+W121+X121+Y121+Z121+AA121+AB121+AC121+AD121+AE121</f>
        <v>33800000</v>
      </c>
      <c r="AH121" s="310"/>
    </row>
    <row r="122" spans="1:35" ht="100.5" customHeight="1" x14ac:dyDescent="0.2">
      <c r="A122" s="282"/>
      <c r="B122" s="441"/>
      <c r="C122" s="423"/>
      <c r="D122" s="421"/>
      <c r="E122" s="235">
        <v>3302</v>
      </c>
      <c r="F122" s="411" t="s">
        <v>1407</v>
      </c>
      <c r="G122" s="326" t="s">
        <v>403</v>
      </c>
      <c r="H122" s="7">
        <v>3302070</v>
      </c>
      <c r="I122" s="410" t="s">
        <v>404</v>
      </c>
      <c r="J122" s="195" t="s">
        <v>405</v>
      </c>
      <c r="K122" s="200" t="s">
        <v>383</v>
      </c>
      <c r="L122" s="412" t="s">
        <v>51</v>
      </c>
      <c r="M122" s="412">
        <v>4</v>
      </c>
      <c r="N122" s="412">
        <v>4</v>
      </c>
      <c r="O122" s="412">
        <v>4</v>
      </c>
      <c r="P122" s="471"/>
      <c r="Q122" s="470"/>
      <c r="R122" s="471"/>
      <c r="S122" s="2"/>
      <c r="T122" s="2"/>
      <c r="U122" s="2"/>
      <c r="V122" s="2"/>
      <c r="W122" s="2"/>
      <c r="X122" s="2"/>
      <c r="Y122" s="2"/>
      <c r="Z122" s="2"/>
      <c r="AA122" s="2"/>
      <c r="AB122" s="2"/>
      <c r="AC122" s="8">
        <f>0+28640331</f>
        <v>28640331</v>
      </c>
      <c r="AD122" s="396">
        <f>287355981.3+55398452</f>
        <v>342754433.30000001</v>
      </c>
      <c r="AE122" s="397"/>
      <c r="AF122" s="106">
        <f>+S122+T122+U122+V122+W122+X122+Y122+Z122+AA122+AB122+AC122+AD122+AE122</f>
        <v>371394764.30000001</v>
      </c>
      <c r="AH122" s="310"/>
    </row>
    <row r="123" spans="1:35" ht="15.75" x14ac:dyDescent="0.2">
      <c r="A123" s="135" t="s">
        <v>406</v>
      </c>
      <c r="B123" s="135"/>
      <c r="C123" s="135"/>
      <c r="D123" s="136"/>
      <c r="E123" s="136"/>
      <c r="F123" s="137"/>
      <c r="G123" s="138"/>
      <c r="H123" s="90"/>
      <c r="I123" s="137"/>
      <c r="J123" s="138"/>
      <c r="K123" s="137"/>
      <c r="L123" s="90"/>
      <c r="M123" s="90"/>
      <c r="N123" s="138"/>
      <c r="O123" s="138"/>
      <c r="P123" s="275"/>
      <c r="Q123" s="138"/>
      <c r="R123" s="137"/>
      <c r="S123" s="119">
        <f t="shared" ref="S123:AF123" si="48">S124</f>
        <v>0</v>
      </c>
      <c r="T123" s="119">
        <f t="shared" si="48"/>
        <v>0</v>
      </c>
      <c r="U123" s="119">
        <f t="shared" si="48"/>
        <v>0</v>
      </c>
      <c r="V123" s="119">
        <f t="shared" si="48"/>
        <v>0</v>
      </c>
      <c r="W123" s="119">
        <f t="shared" si="48"/>
        <v>0</v>
      </c>
      <c r="X123" s="119">
        <f t="shared" si="48"/>
        <v>0</v>
      </c>
      <c r="Y123" s="119">
        <f t="shared" si="48"/>
        <v>0</v>
      </c>
      <c r="Z123" s="119">
        <f t="shared" si="48"/>
        <v>0</v>
      </c>
      <c r="AA123" s="119">
        <f t="shared" si="48"/>
        <v>0</v>
      </c>
      <c r="AB123" s="119">
        <f t="shared" si="48"/>
        <v>0</v>
      </c>
      <c r="AC123" s="119">
        <f t="shared" si="48"/>
        <v>2262011167</v>
      </c>
      <c r="AD123" s="119">
        <f t="shared" si="48"/>
        <v>516877904.85000002</v>
      </c>
      <c r="AE123" s="119">
        <f t="shared" si="48"/>
        <v>0</v>
      </c>
      <c r="AF123" s="119">
        <f t="shared" si="48"/>
        <v>2778889071.8499999</v>
      </c>
      <c r="AG123" s="310"/>
      <c r="AH123" s="310"/>
      <c r="AI123" s="310"/>
    </row>
    <row r="124" spans="1:35" ht="15.75" x14ac:dyDescent="0.2">
      <c r="A124" s="283"/>
      <c r="B124" s="93">
        <v>2</v>
      </c>
      <c r="C124" s="93" t="s">
        <v>2</v>
      </c>
      <c r="D124" s="94"/>
      <c r="E124" s="252"/>
      <c r="F124" s="95"/>
      <c r="G124" s="96"/>
      <c r="H124" s="97"/>
      <c r="I124" s="95"/>
      <c r="J124" s="96"/>
      <c r="K124" s="95"/>
      <c r="L124" s="98"/>
      <c r="M124" s="98"/>
      <c r="N124" s="96"/>
      <c r="O124" s="96"/>
      <c r="P124" s="276"/>
      <c r="Q124" s="96"/>
      <c r="R124" s="95"/>
      <c r="S124" s="99">
        <f t="shared" ref="S124:AF124" si="49">S125+S134</f>
        <v>0</v>
      </c>
      <c r="T124" s="99">
        <f t="shared" si="49"/>
        <v>0</v>
      </c>
      <c r="U124" s="99">
        <f t="shared" si="49"/>
        <v>0</v>
      </c>
      <c r="V124" s="99">
        <f t="shared" si="49"/>
        <v>0</v>
      </c>
      <c r="W124" s="99">
        <f t="shared" si="49"/>
        <v>0</v>
      </c>
      <c r="X124" s="99">
        <f t="shared" si="49"/>
        <v>0</v>
      </c>
      <c r="Y124" s="99">
        <f t="shared" si="49"/>
        <v>0</v>
      </c>
      <c r="Z124" s="99">
        <f t="shared" si="49"/>
        <v>0</v>
      </c>
      <c r="AA124" s="99">
        <f t="shared" si="49"/>
        <v>0</v>
      </c>
      <c r="AB124" s="99">
        <f t="shared" si="49"/>
        <v>0</v>
      </c>
      <c r="AC124" s="99">
        <f t="shared" si="49"/>
        <v>2262011167</v>
      </c>
      <c r="AD124" s="99">
        <f t="shared" si="49"/>
        <v>516877904.85000002</v>
      </c>
      <c r="AE124" s="99">
        <f t="shared" si="49"/>
        <v>0</v>
      </c>
      <c r="AF124" s="99">
        <f t="shared" si="49"/>
        <v>2778889071.8499999</v>
      </c>
      <c r="AH124" s="310"/>
    </row>
    <row r="125" spans="1:35" ht="21" customHeight="1" x14ac:dyDescent="0.2">
      <c r="A125" s="281"/>
      <c r="B125" s="492"/>
      <c r="C125" s="424">
        <v>27</v>
      </c>
      <c r="D125" s="104">
        <v>3502</v>
      </c>
      <c r="E125" s="424" t="s">
        <v>189</v>
      </c>
      <c r="F125" s="100"/>
      <c r="G125" s="101"/>
      <c r="H125" s="102"/>
      <c r="I125" s="100"/>
      <c r="J125" s="101"/>
      <c r="K125" s="100"/>
      <c r="L125" s="103"/>
      <c r="M125" s="103"/>
      <c r="N125" s="101"/>
      <c r="O125" s="101"/>
      <c r="P125" s="274"/>
      <c r="Q125" s="101"/>
      <c r="R125" s="100"/>
      <c r="S125" s="105">
        <f t="shared" ref="S125:AF125" si="50">SUM(S126:S133)</f>
        <v>0</v>
      </c>
      <c r="T125" s="105">
        <f t="shared" si="50"/>
        <v>0</v>
      </c>
      <c r="U125" s="105">
        <f t="shared" si="50"/>
        <v>0</v>
      </c>
      <c r="V125" s="105">
        <f t="shared" si="50"/>
        <v>0</v>
      </c>
      <c r="W125" s="105">
        <f t="shared" si="50"/>
        <v>0</v>
      </c>
      <c r="X125" s="105">
        <f t="shared" si="50"/>
        <v>0</v>
      </c>
      <c r="Y125" s="105">
        <f t="shared" si="50"/>
        <v>0</v>
      </c>
      <c r="Z125" s="105">
        <f t="shared" si="50"/>
        <v>0</v>
      </c>
      <c r="AA125" s="105">
        <f t="shared" si="50"/>
        <v>0</v>
      </c>
      <c r="AB125" s="105">
        <f t="shared" si="50"/>
        <v>0</v>
      </c>
      <c r="AC125" s="105">
        <f t="shared" si="50"/>
        <v>1026326167</v>
      </c>
      <c r="AD125" s="105">
        <f t="shared" si="50"/>
        <v>516877904.85000002</v>
      </c>
      <c r="AE125" s="105">
        <f t="shared" si="50"/>
        <v>0</v>
      </c>
      <c r="AF125" s="105">
        <f t="shared" si="50"/>
        <v>1543204071.8499999</v>
      </c>
      <c r="AH125" s="310"/>
    </row>
    <row r="126" spans="1:35" ht="56.25" customHeight="1" x14ac:dyDescent="0.2">
      <c r="A126" s="281"/>
      <c r="B126" s="492"/>
      <c r="C126" s="423"/>
      <c r="D126" s="421"/>
      <c r="E126" s="227">
        <v>3502</v>
      </c>
      <c r="F126" s="422" t="s">
        <v>1297</v>
      </c>
      <c r="G126" s="253" t="s">
        <v>407</v>
      </c>
      <c r="H126" s="227">
        <v>3502006</v>
      </c>
      <c r="I126" s="422" t="s">
        <v>408</v>
      </c>
      <c r="J126" s="253" t="s">
        <v>409</v>
      </c>
      <c r="K126" s="422" t="s">
        <v>410</v>
      </c>
      <c r="L126" s="224" t="s">
        <v>141</v>
      </c>
      <c r="M126" s="253">
        <v>4</v>
      </c>
      <c r="N126" s="253">
        <v>1</v>
      </c>
      <c r="O126" s="253">
        <v>1</v>
      </c>
      <c r="P126" s="494" t="s">
        <v>186</v>
      </c>
      <c r="Q126" s="470" t="s">
        <v>411</v>
      </c>
      <c r="R126" s="471" t="s">
        <v>412</v>
      </c>
      <c r="S126" s="2"/>
      <c r="T126" s="2"/>
      <c r="U126" s="2"/>
      <c r="V126" s="2"/>
      <c r="W126" s="2"/>
      <c r="X126" s="2"/>
      <c r="Y126" s="2"/>
      <c r="Z126" s="2"/>
      <c r="AA126" s="2"/>
      <c r="AB126" s="2"/>
      <c r="AC126" s="236">
        <f>20000000+10000000</f>
        <v>30000000</v>
      </c>
      <c r="AD126" s="2"/>
      <c r="AE126" s="2"/>
      <c r="AF126" s="106">
        <f t="shared" ref="AF126:AF133" si="51">+S126+T126+U126+V126+W126+X126+Y126+Z126+AA126+AB126+AC126+AD126+AE126</f>
        <v>30000000</v>
      </c>
      <c r="AH126" s="310"/>
    </row>
    <row r="127" spans="1:35" ht="47.25" customHeight="1" x14ac:dyDescent="0.2">
      <c r="A127" s="281"/>
      <c r="B127" s="492"/>
      <c r="C127" s="423"/>
      <c r="D127" s="421"/>
      <c r="E127" s="227">
        <v>3502</v>
      </c>
      <c r="F127" s="422" t="s">
        <v>1297</v>
      </c>
      <c r="G127" s="253" t="s">
        <v>413</v>
      </c>
      <c r="H127" s="227">
        <v>3502007</v>
      </c>
      <c r="I127" s="422" t="s">
        <v>1335</v>
      </c>
      <c r="J127" s="253" t="s">
        <v>414</v>
      </c>
      <c r="K127" s="422" t="s">
        <v>415</v>
      </c>
      <c r="L127" s="224" t="s">
        <v>51</v>
      </c>
      <c r="M127" s="253">
        <v>7</v>
      </c>
      <c r="N127" s="253">
        <v>7</v>
      </c>
      <c r="O127" s="253">
        <v>7</v>
      </c>
      <c r="P127" s="494"/>
      <c r="Q127" s="470"/>
      <c r="R127" s="471"/>
      <c r="S127" s="2"/>
      <c r="T127" s="2"/>
      <c r="U127" s="2"/>
      <c r="V127" s="2"/>
      <c r="W127" s="2"/>
      <c r="X127" s="2"/>
      <c r="Y127" s="2"/>
      <c r="Z127" s="2"/>
      <c r="AA127" s="2"/>
      <c r="AB127" s="2"/>
      <c r="AC127" s="236">
        <f>30000000+15000000</f>
        <v>45000000</v>
      </c>
      <c r="AD127" s="2"/>
      <c r="AE127" s="2"/>
      <c r="AF127" s="106">
        <f t="shared" si="51"/>
        <v>45000000</v>
      </c>
      <c r="AH127" s="310"/>
    </row>
    <row r="128" spans="1:35" ht="43.5" customHeight="1" x14ac:dyDescent="0.2">
      <c r="A128" s="281"/>
      <c r="B128" s="492"/>
      <c r="C128" s="476"/>
      <c r="D128" s="421"/>
      <c r="E128" s="253">
        <v>3502</v>
      </c>
      <c r="F128" s="422" t="s">
        <v>1297</v>
      </c>
      <c r="G128" s="253" t="s">
        <v>416</v>
      </c>
      <c r="H128" s="220">
        <v>3502022</v>
      </c>
      <c r="I128" s="422" t="s">
        <v>417</v>
      </c>
      <c r="J128" s="326" t="s">
        <v>418</v>
      </c>
      <c r="K128" s="229" t="s">
        <v>419</v>
      </c>
      <c r="L128" s="326" t="s">
        <v>51</v>
      </c>
      <c r="M128" s="326">
        <v>14</v>
      </c>
      <c r="N128" s="326">
        <v>14</v>
      </c>
      <c r="O128" s="326">
        <v>15</v>
      </c>
      <c r="P128" s="494" t="s">
        <v>186</v>
      </c>
      <c r="Q128" s="470" t="s">
        <v>420</v>
      </c>
      <c r="R128" s="471" t="s">
        <v>421</v>
      </c>
      <c r="S128" s="2"/>
      <c r="T128" s="2"/>
      <c r="U128" s="2"/>
      <c r="V128" s="2"/>
      <c r="W128" s="2"/>
      <c r="X128" s="2"/>
      <c r="Y128" s="2"/>
      <c r="Z128" s="2"/>
      <c r="AA128" s="2"/>
      <c r="AB128" s="2"/>
      <c r="AC128" s="236">
        <f>100000000+89600000-23586667-18000000</f>
        <v>148013333</v>
      </c>
      <c r="AD128" s="2"/>
      <c r="AE128" s="2"/>
      <c r="AF128" s="106">
        <f t="shared" si="51"/>
        <v>148013333</v>
      </c>
      <c r="AH128" s="310"/>
    </row>
    <row r="129" spans="1:35" ht="39.75" customHeight="1" x14ac:dyDescent="0.2">
      <c r="A129" s="281"/>
      <c r="B129" s="492"/>
      <c r="C129" s="476"/>
      <c r="D129" s="421"/>
      <c r="E129" s="227">
        <v>3502</v>
      </c>
      <c r="F129" s="422" t="s">
        <v>1297</v>
      </c>
      <c r="G129" s="253" t="s">
        <v>422</v>
      </c>
      <c r="H129" s="220">
        <v>3502047</v>
      </c>
      <c r="I129" s="422" t="s">
        <v>423</v>
      </c>
      <c r="J129" s="326" t="s">
        <v>424</v>
      </c>
      <c r="K129" s="229" t="s">
        <v>425</v>
      </c>
      <c r="L129" s="253" t="s">
        <v>141</v>
      </c>
      <c r="M129" s="253">
        <v>1</v>
      </c>
      <c r="N129" s="253">
        <v>0.3</v>
      </c>
      <c r="O129" s="253">
        <v>0.3</v>
      </c>
      <c r="P129" s="494"/>
      <c r="Q129" s="470"/>
      <c r="R129" s="471"/>
      <c r="S129" s="2"/>
      <c r="T129" s="2"/>
      <c r="U129" s="2"/>
      <c r="V129" s="2"/>
      <c r="W129" s="2"/>
      <c r="X129" s="2"/>
      <c r="Y129" s="2"/>
      <c r="Z129" s="2"/>
      <c r="AA129" s="2"/>
      <c r="AB129" s="2"/>
      <c r="AC129" s="236">
        <f>20000000+23586667</f>
        <v>43586667</v>
      </c>
      <c r="AD129" s="2"/>
      <c r="AE129" s="2"/>
      <c r="AF129" s="106">
        <f t="shared" si="51"/>
        <v>43586667</v>
      </c>
      <c r="AH129" s="310"/>
    </row>
    <row r="130" spans="1:35" ht="62.25" customHeight="1" x14ac:dyDescent="0.2">
      <c r="A130" s="281"/>
      <c r="B130" s="492"/>
      <c r="C130" s="476"/>
      <c r="D130" s="421"/>
      <c r="E130" s="227">
        <v>3502</v>
      </c>
      <c r="F130" s="422" t="s">
        <v>1336</v>
      </c>
      <c r="G130" s="253" t="s">
        <v>426</v>
      </c>
      <c r="H130" s="220">
        <v>3502039</v>
      </c>
      <c r="I130" s="422" t="s">
        <v>427</v>
      </c>
      <c r="J130" s="253" t="s">
        <v>428</v>
      </c>
      <c r="K130" s="422" t="s">
        <v>252</v>
      </c>
      <c r="L130" s="253" t="s">
        <v>51</v>
      </c>
      <c r="M130" s="253">
        <v>12</v>
      </c>
      <c r="N130" s="253">
        <v>12</v>
      </c>
      <c r="O130" s="253">
        <v>12</v>
      </c>
      <c r="P130" s="494" t="s">
        <v>186</v>
      </c>
      <c r="Q130" s="470" t="s">
        <v>429</v>
      </c>
      <c r="R130" s="471" t="s">
        <v>1312</v>
      </c>
      <c r="S130" s="2"/>
      <c r="T130" s="2"/>
      <c r="U130" s="2"/>
      <c r="V130" s="2"/>
      <c r="W130" s="2"/>
      <c r="X130" s="2"/>
      <c r="Y130" s="2"/>
      <c r="Z130" s="2"/>
      <c r="AA130" s="2"/>
      <c r="AB130" s="2"/>
      <c r="AC130" s="8">
        <f>434485000-14600000-236245001-43639999+93839999</f>
        <v>233839999</v>
      </c>
      <c r="AD130" s="2"/>
      <c r="AE130" s="2"/>
      <c r="AF130" s="106">
        <f t="shared" si="51"/>
        <v>233839999</v>
      </c>
      <c r="AH130" s="310"/>
    </row>
    <row r="131" spans="1:35" ht="62.25" customHeight="1" x14ac:dyDescent="0.2">
      <c r="A131" s="281"/>
      <c r="B131" s="492"/>
      <c r="C131" s="476"/>
      <c r="D131" s="421"/>
      <c r="E131" s="253">
        <v>3502</v>
      </c>
      <c r="F131" s="422" t="s">
        <v>1336</v>
      </c>
      <c r="G131" s="253" t="s">
        <v>426</v>
      </c>
      <c r="H131" s="220">
        <v>3502039</v>
      </c>
      <c r="I131" s="422" t="s">
        <v>427</v>
      </c>
      <c r="J131" s="326" t="s">
        <v>431</v>
      </c>
      <c r="K131" s="229" t="s">
        <v>432</v>
      </c>
      <c r="L131" s="253" t="s">
        <v>141</v>
      </c>
      <c r="M131" s="253">
        <v>6</v>
      </c>
      <c r="N131" s="253">
        <v>1</v>
      </c>
      <c r="O131" s="253">
        <v>2</v>
      </c>
      <c r="P131" s="494"/>
      <c r="Q131" s="470"/>
      <c r="R131" s="471"/>
      <c r="S131" s="2"/>
      <c r="T131" s="2"/>
      <c r="U131" s="2"/>
      <c r="V131" s="2"/>
      <c r="W131" s="2"/>
      <c r="X131" s="2"/>
      <c r="Y131" s="2"/>
      <c r="Z131" s="2"/>
      <c r="AA131" s="2"/>
      <c r="AB131" s="2"/>
      <c r="AC131" s="8">
        <f>236245001-87757502-61320062+18000000</f>
        <v>105167437</v>
      </c>
      <c r="AD131" s="2"/>
      <c r="AE131" s="2"/>
      <c r="AF131" s="106">
        <f t="shared" si="51"/>
        <v>105167437</v>
      </c>
      <c r="AH131" s="310"/>
    </row>
    <row r="132" spans="1:35" ht="56.25" customHeight="1" x14ac:dyDescent="0.2">
      <c r="A132" s="281"/>
      <c r="B132" s="492"/>
      <c r="C132" s="476"/>
      <c r="D132" s="421"/>
      <c r="E132" s="253">
        <v>3502</v>
      </c>
      <c r="F132" s="422" t="s">
        <v>1297</v>
      </c>
      <c r="G132" s="253" t="s">
        <v>422</v>
      </c>
      <c r="H132" s="220">
        <v>3502047</v>
      </c>
      <c r="I132" s="422" t="s">
        <v>423</v>
      </c>
      <c r="J132" s="253" t="s">
        <v>424</v>
      </c>
      <c r="K132" s="422" t="s">
        <v>425</v>
      </c>
      <c r="L132" s="253" t="s">
        <v>141</v>
      </c>
      <c r="M132" s="253">
        <v>1</v>
      </c>
      <c r="N132" s="253">
        <v>0.3</v>
      </c>
      <c r="O132" s="253">
        <v>0.3</v>
      </c>
      <c r="P132" s="494"/>
      <c r="Q132" s="470"/>
      <c r="R132" s="471"/>
      <c r="S132" s="2"/>
      <c r="T132" s="2"/>
      <c r="U132" s="2"/>
      <c r="V132" s="2"/>
      <c r="W132" s="2"/>
      <c r="X132" s="2"/>
      <c r="Y132" s="2"/>
      <c r="Z132" s="2"/>
      <c r="AA132" s="2"/>
      <c r="AB132" s="2"/>
      <c r="AC132" s="8">
        <f>36519937-32519937</f>
        <v>4000000</v>
      </c>
      <c r="AD132" s="2"/>
      <c r="AE132" s="2"/>
      <c r="AF132" s="106">
        <f t="shared" si="51"/>
        <v>4000000</v>
      </c>
      <c r="AH132" s="310"/>
    </row>
    <row r="133" spans="1:35" s="134" customFormat="1" ht="90.75" customHeight="1" x14ac:dyDescent="0.25">
      <c r="A133" s="291"/>
      <c r="B133" s="492"/>
      <c r="C133" s="476"/>
      <c r="D133" s="421"/>
      <c r="E133" s="253">
        <v>3502</v>
      </c>
      <c r="F133" s="414" t="s">
        <v>1336</v>
      </c>
      <c r="G133" s="223" t="s">
        <v>433</v>
      </c>
      <c r="H133" s="220">
        <v>3502046</v>
      </c>
      <c r="I133" s="422" t="s">
        <v>434</v>
      </c>
      <c r="J133" s="253" t="s">
        <v>435</v>
      </c>
      <c r="K133" s="422" t="s">
        <v>436</v>
      </c>
      <c r="L133" s="253" t="s">
        <v>141</v>
      </c>
      <c r="M133" s="253">
        <v>4</v>
      </c>
      <c r="N133" s="253">
        <v>1</v>
      </c>
      <c r="O133" s="253">
        <v>1</v>
      </c>
      <c r="P133" s="414" t="s">
        <v>186</v>
      </c>
      <c r="Q133" s="412" t="s">
        <v>437</v>
      </c>
      <c r="R133" s="410" t="s">
        <v>1337</v>
      </c>
      <c r="S133" s="2"/>
      <c r="T133" s="2"/>
      <c r="U133" s="2"/>
      <c r="V133" s="2"/>
      <c r="W133" s="2"/>
      <c r="X133" s="2"/>
      <c r="Y133" s="2"/>
      <c r="Z133" s="2"/>
      <c r="AA133" s="2"/>
      <c r="AB133" s="2"/>
      <c r="AC133" s="8">
        <v>416718731</v>
      </c>
      <c r="AD133" s="20">
        <f>291845334+22109904.85+232026666-29104000</f>
        <v>516877904.85000002</v>
      </c>
      <c r="AE133" s="20"/>
      <c r="AF133" s="106">
        <f t="shared" si="51"/>
        <v>933596635.85000002</v>
      </c>
      <c r="AH133" s="310"/>
    </row>
    <row r="134" spans="1:35" ht="18.75" customHeight="1" x14ac:dyDescent="0.2">
      <c r="A134" s="281"/>
      <c r="B134" s="492"/>
      <c r="C134" s="424">
        <v>28</v>
      </c>
      <c r="D134" s="104">
        <v>3602</v>
      </c>
      <c r="E134" s="424" t="s">
        <v>439</v>
      </c>
      <c r="F134" s="100"/>
      <c r="G134" s="101"/>
      <c r="H134" s="102"/>
      <c r="I134" s="100"/>
      <c r="J134" s="101"/>
      <c r="K134" s="100"/>
      <c r="L134" s="103"/>
      <c r="M134" s="103"/>
      <c r="N134" s="101"/>
      <c r="O134" s="101"/>
      <c r="P134" s="274"/>
      <c r="Q134" s="101"/>
      <c r="R134" s="100"/>
      <c r="S134" s="105">
        <f t="shared" ref="S134:AE134" si="52">SUM(S135:S138)</f>
        <v>0</v>
      </c>
      <c r="T134" s="105">
        <f t="shared" si="52"/>
        <v>0</v>
      </c>
      <c r="U134" s="105">
        <f t="shared" si="52"/>
        <v>0</v>
      </c>
      <c r="V134" s="105">
        <f t="shared" si="52"/>
        <v>0</v>
      </c>
      <c r="W134" s="105">
        <f t="shared" si="52"/>
        <v>0</v>
      </c>
      <c r="X134" s="105">
        <f t="shared" si="52"/>
        <v>0</v>
      </c>
      <c r="Y134" s="105">
        <f t="shared" si="52"/>
        <v>0</v>
      </c>
      <c r="Z134" s="105">
        <f t="shared" si="52"/>
        <v>0</v>
      </c>
      <c r="AA134" s="105">
        <f t="shared" si="52"/>
        <v>0</v>
      </c>
      <c r="AB134" s="105">
        <f t="shared" si="52"/>
        <v>0</v>
      </c>
      <c r="AC134" s="105">
        <f t="shared" si="52"/>
        <v>1235685000</v>
      </c>
      <c r="AD134" s="105">
        <f t="shared" si="52"/>
        <v>0</v>
      </c>
      <c r="AE134" s="105">
        <f t="shared" si="52"/>
        <v>0</v>
      </c>
      <c r="AF134" s="105">
        <f>SUM(AF135:AF138)</f>
        <v>1235685000</v>
      </c>
      <c r="AH134" s="310"/>
    </row>
    <row r="135" spans="1:35" ht="99" customHeight="1" x14ac:dyDescent="0.2">
      <c r="A135" s="281"/>
      <c r="B135" s="492"/>
      <c r="C135" s="492"/>
      <c r="D135" s="421"/>
      <c r="E135" s="253">
        <v>3602</v>
      </c>
      <c r="F135" s="422" t="s">
        <v>1297</v>
      </c>
      <c r="G135" s="326" t="s">
        <v>440</v>
      </c>
      <c r="H135" s="253">
        <v>3602018</v>
      </c>
      <c r="I135" s="422" t="s">
        <v>441</v>
      </c>
      <c r="J135" s="326" t="s">
        <v>442</v>
      </c>
      <c r="K135" s="229" t="s">
        <v>443</v>
      </c>
      <c r="L135" s="326" t="s">
        <v>141</v>
      </c>
      <c r="M135" s="326">
        <v>14</v>
      </c>
      <c r="N135" s="326">
        <v>3</v>
      </c>
      <c r="O135" s="326">
        <v>3</v>
      </c>
      <c r="P135" s="493" t="s">
        <v>186</v>
      </c>
      <c r="Q135" s="470" t="s">
        <v>444</v>
      </c>
      <c r="R135" s="471" t="s">
        <v>445</v>
      </c>
      <c r="S135" s="2"/>
      <c r="T135" s="2"/>
      <c r="U135" s="2"/>
      <c r="V135" s="2"/>
      <c r="W135" s="2"/>
      <c r="X135" s="2"/>
      <c r="Y135" s="2"/>
      <c r="Z135" s="2"/>
      <c r="AA135" s="2"/>
      <c r="AB135" s="2"/>
      <c r="AC135" s="8">
        <f>160285000+950000000</f>
        <v>1110285000</v>
      </c>
      <c r="AD135" s="2"/>
      <c r="AE135" s="2"/>
      <c r="AF135" s="106">
        <f>+S135+T135+U135+V135+W135+X135+Y135+Z135+AA135+AB135+AC135+AD135+AE135</f>
        <v>1110285000</v>
      </c>
      <c r="AH135" s="310"/>
    </row>
    <row r="136" spans="1:35" ht="51" customHeight="1" x14ac:dyDescent="0.2">
      <c r="A136" s="281"/>
      <c r="B136" s="492"/>
      <c r="C136" s="492"/>
      <c r="D136" s="421"/>
      <c r="E136" s="253">
        <v>3602</v>
      </c>
      <c r="F136" s="422" t="s">
        <v>1297</v>
      </c>
      <c r="G136" s="326" t="s">
        <v>446</v>
      </c>
      <c r="H136" s="227">
        <v>3602032</v>
      </c>
      <c r="I136" s="422" t="s">
        <v>447</v>
      </c>
      <c r="J136" s="326" t="s">
        <v>448</v>
      </c>
      <c r="K136" s="229" t="s">
        <v>449</v>
      </c>
      <c r="L136" s="326" t="s">
        <v>51</v>
      </c>
      <c r="M136" s="326">
        <v>14</v>
      </c>
      <c r="N136" s="326">
        <v>14</v>
      </c>
      <c r="O136" s="326">
        <v>14</v>
      </c>
      <c r="P136" s="493"/>
      <c r="Q136" s="470"/>
      <c r="R136" s="471"/>
      <c r="S136" s="2"/>
      <c r="T136" s="2"/>
      <c r="U136" s="2"/>
      <c r="V136" s="2"/>
      <c r="W136" s="2"/>
      <c r="X136" s="2"/>
      <c r="Y136" s="2"/>
      <c r="Z136" s="2"/>
      <c r="AA136" s="2"/>
      <c r="AB136" s="2"/>
      <c r="AC136" s="8">
        <v>72000000</v>
      </c>
      <c r="AD136" s="2"/>
      <c r="AE136" s="2"/>
      <c r="AF136" s="106">
        <f>+S136+T136+U136+V136+W136+X136+Y136+Z136+AA136+AB136+AC136+AD136+AE136</f>
        <v>72000000</v>
      </c>
      <c r="AH136" s="310"/>
    </row>
    <row r="137" spans="1:35" ht="51" customHeight="1" x14ac:dyDescent="0.2">
      <c r="A137" s="281"/>
      <c r="B137" s="492"/>
      <c r="C137" s="492"/>
      <c r="D137" s="421"/>
      <c r="E137" s="253">
        <v>3602</v>
      </c>
      <c r="F137" s="422" t="s">
        <v>1297</v>
      </c>
      <c r="G137" s="326" t="s">
        <v>450</v>
      </c>
      <c r="H137" s="227">
        <v>3602029</v>
      </c>
      <c r="I137" s="422" t="s">
        <v>1338</v>
      </c>
      <c r="J137" s="326" t="s">
        <v>451</v>
      </c>
      <c r="K137" s="229" t="s">
        <v>452</v>
      </c>
      <c r="L137" s="326" t="s">
        <v>141</v>
      </c>
      <c r="M137" s="326">
        <v>42</v>
      </c>
      <c r="N137" s="326">
        <v>5</v>
      </c>
      <c r="O137" s="326">
        <v>5</v>
      </c>
      <c r="P137" s="493"/>
      <c r="Q137" s="470"/>
      <c r="R137" s="471"/>
      <c r="S137" s="2"/>
      <c r="T137" s="2"/>
      <c r="U137" s="2"/>
      <c r="V137" s="2"/>
      <c r="W137" s="2"/>
      <c r="X137" s="2"/>
      <c r="Y137" s="2"/>
      <c r="Z137" s="2"/>
      <c r="AA137" s="2"/>
      <c r="AB137" s="2"/>
      <c r="AC137" s="8">
        <v>34400000</v>
      </c>
      <c r="AD137" s="2"/>
      <c r="AE137" s="2"/>
      <c r="AF137" s="106">
        <f>+S137+T137+U137+V137+W137+X137+Y137+Z137+AA137+AB137+AC137+AD137+AE137</f>
        <v>34400000</v>
      </c>
      <c r="AH137" s="310"/>
    </row>
    <row r="138" spans="1:35" ht="51" customHeight="1" x14ac:dyDescent="0.2">
      <c r="A138" s="282"/>
      <c r="B138" s="492"/>
      <c r="C138" s="492"/>
      <c r="D138" s="421"/>
      <c r="E138" s="253">
        <v>3602</v>
      </c>
      <c r="F138" s="422" t="s">
        <v>1297</v>
      </c>
      <c r="G138" s="326" t="s">
        <v>453</v>
      </c>
      <c r="H138" s="227">
        <v>3602030</v>
      </c>
      <c r="I138" s="422" t="s">
        <v>454</v>
      </c>
      <c r="J138" s="326" t="s">
        <v>455</v>
      </c>
      <c r="K138" s="229" t="s">
        <v>456</v>
      </c>
      <c r="L138" s="224" t="s">
        <v>141</v>
      </c>
      <c r="M138" s="253">
        <v>12</v>
      </c>
      <c r="N138" s="253">
        <v>1</v>
      </c>
      <c r="O138" s="253">
        <v>1</v>
      </c>
      <c r="P138" s="493"/>
      <c r="Q138" s="470"/>
      <c r="R138" s="471"/>
      <c r="S138" s="2"/>
      <c r="T138" s="2"/>
      <c r="U138" s="2"/>
      <c r="V138" s="2"/>
      <c r="W138" s="2"/>
      <c r="X138" s="2"/>
      <c r="Y138" s="2"/>
      <c r="Z138" s="2"/>
      <c r="AA138" s="2"/>
      <c r="AB138" s="2"/>
      <c r="AC138" s="8">
        <v>19000000</v>
      </c>
      <c r="AD138" s="2"/>
      <c r="AE138" s="2"/>
      <c r="AF138" s="106">
        <f>+S138+T138+U138+V138+W138+X138+Y138+Z138+AA138+AB138+AC138+AD138+AE138</f>
        <v>19000000</v>
      </c>
      <c r="AH138" s="310"/>
    </row>
    <row r="139" spans="1:35" ht="17.25" customHeight="1" x14ac:dyDescent="0.2">
      <c r="A139" s="135" t="s">
        <v>457</v>
      </c>
      <c r="B139" s="135"/>
      <c r="C139" s="135"/>
      <c r="D139" s="136"/>
      <c r="E139" s="136"/>
      <c r="F139" s="137"/>
      <c r="G139" s="138"/>
      <c r="H139" s="90"/>
      <c r="I139" s="137"/>
      <c r="J139" s="138"/>
      <c r="K139" s="137"/>
      <c r="L139" s="90"/>
      <c r="M139" s="90"/>
      <c r="N139" s="138"/>
      <c r="O139" s="138"/>
      <c r="P139" s="275"/>
      <c r="Q139" s="138"/>
      <c r="R139" s="137"/>
      <c r="S139" s="119">
        <f t="shared" ref="S139:AB139" si="53">S140+S171</f>
        <v>0</v>
      </c>
      <c r="T139" s="119">
        <f t="shared" si="53"/>
        <v>0</v>
      </c>
      <c r="U139" s="119">
        <f t="shared" si="53"/>
        <v>0</v>
      </c>
      <c r="V139" s="119">
        <f t="shared" si="53"/>
        <v>0</v>
      </c>
      <c r="W139" s="119">
        <f t="shared" si="53"/>
        <v>0</v>
      </c>
      <c r="X139" s="119">
        <f t="shared" si="53"/>
        <v>0</v>
      </c>
      <c r="Y139" s="119">
        <f t="shared" si="53"/>
        <v>0</v>
      </c>
      <c r="Z139" s="119">
        <f t="shared" si="53"/>
        <v>0</v>
      </c>
      <c r="AA139" s="119">
        <f t="shared" si="53"/>
        <v>0</v>
      </c>
      <c r="AB139" s="119">
        <f t="shared" si="53"/>
        <v>0</v>
      </c>
      <c r="AC139" s="119">
        <f t="shared" ref="AC139:AF139" si="54">AC140+AC171</f>
        <v>1704396659.97</v>
      </c>
      <c r="AD139" s="119">
        <f t="shared" si="54"/>
        <v>0</v>
      </c>
      <c r="AE139" s="119">
        <f t="shared" si="54"/>
        <v>0</v>
      </c>
      <c r="AF139" s="119">
        <f t="shared" si="54"/>
        <v>1704396659.97</v>
      </c>
      <c r="AG139" s="310"/>
      <c r="AH139" s="310"/>
      <c r="AI139" s="310"/>
    </row>
    <row r="140" spans="1:35" ht="17.25" customHeight="1" x14ac:dyDescent="0.2">
      <c r="A140" s="283"/>
      <c r="B140" s="170">
        <v>2</v>
      </c>
      <c r="C140" s="93" t="s">
        <v>2</v>
      </c>
      <c r="D140" s="94"/>
      <c r="E140" s="94"/>
      <c r="F140" s="95"/>
      <c r="G140" s="96"/>
      <c r="H140" s="97"/>
      <c r="I140" s="95"/>
      <c r="J140" s="96"/>
      <c r="K140" s="95"/>
      <c r="L140" s="98"/>
      <c r="M140" s="98"/>
      <c r="N140" s="96"/>
      <c r="O140" s="96"/>
      <c r="P140" s="276"/>
      <c r="Q140" s="96"/>
      <c r="R140" s="95"/>
      <c r="S140" s="99">
        <f t="shared" ref="S140:AB140" si="55">+S141+S153+S155+S158+S160+S162+S165+S168</f>
        <v>0</v>
      </c>
      <c r="T140" s="99">
        <f t="shared" si="55"/>
        <v>0</v>
      </c>
      <c r="U140" s="99">
        <f t="shared" si="55"/>
        <v>0</v>
      </c>
      <c r="V140" s="99">
        <f t="shared" si="55"/>
        <v>0</v>
      </c>
      <c r="W140" s="99">
        <f t="shared" si="55"/>
        <v>0</v>
      </c>
      <c r="X140" s="99">
        <f t="shared" si="55"/>
        <v>0</v>
      </c>
      <c r="Y140" s="99">
        <f t="shared" si="55"/>
        <v>0</v>
      </c>
      <c r="Z140" s="99">
        <f t="shared" si="55"/>
        <v>0</v>
      </c>
      <c r="AA140" s="99">
        <f t="shared" si="55"/>
        <v>0</v>
      </c>
      <c r="AB140" s="99">
        <f t="shared" si="55"/>
        <v>0</v>
      </c>
      <c r="AC140" s="99">
        <f t="shared" ref="AC140:AF140" si="56">+AC141+AC153+AC155+AC158+AC160+AC162+AC165+AC168</f>
        <v>968346792.97000003</v>
      </c>
      <c r="AD140" s="99">
        <f t="shared" si="56"/>
        <v>0</v>
      </c>
      <c r="AE140" s="99">
        <f t="shared" si="56"/>
        <v>0</v>
      </c>
      <c r="AF140" s="99">
        <f t="shared" si="56"/>
        <v>968346792.97000003</v>
      </c>
      <c r="AH140" s="310"/>
    </row>
    <row r="141" spans="1:35" ht="17.25" customHeight="1" x14ac:dyDescent="0.2">
      <c r="A141" s="281"/>
      <c r="B141" s="433"/>
      <c r="C141" s="126">
        <v>4</v>
      </c>
      <c r="D141" s="101">
        <v>1702</v>
      </c>
      <c r="E141" s="424" t="s">
        <v>458</v>
      </c>
      <c r="F141" s="100"/>
      <c r="G141" s="101"/>
      <c r="H141" s="102"/>
      <c r="I141" s="100"/>
      <c r="J141" s="101"/>
      <c r="K141" s="100"/>
      <c r="L141" s="103"/>
      <c r="M141" s="103"/>
      <c r="N141" s="101"/>
      <c r="O141" s="101"/>
      <c r="P141" s="274"/>
      <c r="Q141" s="101"/>
      <c r="R141" s="100"/>
      <c r="S141" s="105">
        <f t="shared" ref="S141:AB141" si="57">SUM(S142:S152)</f>
        <v>0</v>
      </c>
      <c r="T141" s="105">
        <f t="shared" si="57"/>
        <v>0</v>
      </c>
      <c r="U141" s="105">
        <f t="shared" si="57"/>
        <v>0</v>
      </c>
      <c r="V141" s="105">
        <f t="shared" si="57"/>
        <v>0</v>
      </c>
      <c r="W141" s="105">
        <f t="shared" si="57"/>
        <v>0</v>
      </c>
      <c r="X141" s="105">
        <f t="shared" si="57"/>
        <v>0</v>
      </c>
      <c r="Y141" s="105">
        <f t="shared" si="57"/>
        <v>0</v>
      </c>
      <c r="Z141" s="105">
        <f t="shared" si="57"/>
        <v>0</v>
      </c>
      <c r="AA141" s="105">
        <f t="shared" si="57"/>
        <v>0</v>
      </c>
      <c r="AB141" s="105">
        <f t="shared" si="57"/>
        <v>0</v>
      </c>
      <c r="AC141" s="105">
        <f t="shared" ref="AC141:AF141" si="58">SUM(AC142:AC152)</f>
        <v>680027523.97000003</v>
      </c>
      <c r="AD141" s="105">
        <f t="shared" si="58"/>
        <v>0</v>
      </c>
      <c r="AE141" s="105">
        <f t="shared" si="58"/>
        <v>0</v>
      </c>
      <c r="AF141" s="105">
        <f t="shared" si="58"/>
        <v>680027523.97000003</v>
      </c>
      <c r="AH141" s="310"/>
    </row>
    <row r="142" spans="1:35" ht="66" customHeight="1" x14ac:dyDescent="0.2">
      <c r="A142" s="281"/>
      <c r="B142" s="434"/>
      <c r="C142" s="423"/>
      <c r="D142" s="421"/>
      <c r="E142" s="412">
        <v>1702</v>
      </c>
      <c r="F142" s="410" t="s">
        <v>182</v>
      </c>
      <c r="G142" s="412" t="s">
        <v>459</v>
      </c>
      <c r="H142" s="129">
        <v>1702011</v>
      </c>
      <c r="I142" s="410" t="s">
        <v>460</v>
      </c>
      <c r="J142" s="412" t="s">
        <v>461</v>
      </c>
      <c r="K142" s="410" t="s">
        <v>462</v>
      </c>
      <c r="L142" s="412" t="s">
        <v>51</v>
      </c>
      <c r="M142" s="412">
        <v>30</v>
      </c>
      <c r="N142" s="129">
        <v>30</v>
      </c>
      <c r="O142" s="220">
        <v>25</v>
      </c>
      <c r="P142" s="471" t="s">
        <v>186</v>
      </c>
      <c r="Q142" s="470" t="s">
        <v>463</v>
      </c>
      <c r="R142" s="471" t="s">
        <v>464</v>
      </c>
      <c r="S142" s="2"/>
      <c r="T142" s="2"/>
      <c r="U142" s="2"/>
      <c r="V142" s="2"/>
      <c r="W142" s="2"/>
      <c r="X142" s="2"/>
      <c r="Y142" s="2"/>
      <c r="Z142" s="2"/>
      <c r="AA142" s="2"/>
      <c r="AB142" s="2"/>
      <c r="AC142" s="373">
        <f>195850000+64199999</f>
        <v>260049999</v>
      </c>
      <c r="AD142" s="139"/>
      <c r="AE142" s="139"/>
      <c r="AF142" s="106">
        <f t="shared" ref="AF142:AF152" si="59">+S142+T142+U142+V142+W142+X142+Y142+Z142+AA142+AB142+AC142+AD142+AE142</f>
        <v>260049999</v>
      </c>
      <c r="AH142" s="310"/>
    </row>
    <row r="143" spans="1:35" ht="54.75" customHeight="1" x14ac:dyDescent="0.2">
      <c r="A143" s="281"/>
      <c r="B143" s="434"/>
      <c r="C143" s="423"/>
      <c r="D143" s="421"/>
      <c r="E143" s="412">
        <v>1702</v>
      </c>
      <c r="F143" s="410" t="s">
        <v>182</v>
      </c>
      <c r="G143" s="195" t="s">
        <v>465</v>
      </c>
      <c r="H143" s="129">
        <v>1702007</v>
      </c>
      <c r="I143" s="410" t="s">
        <v>466</v>
      </c>
      <c r="J143" s="195" t="s">
        <v>467</v>
      </c>
      <c r="K143" s="200" t="s">
        <v>468</v>
      </c>
      <c r="L143" s="235" t="s">
        <v>141</v>
      </c>
      <c r="M143" s="235">
        <v>16</v>
      </c>
      <c r="N143" s="129">
        <v>5</v>
      </c>
      <c r="O143" s="220">
        <v>0</v>
      </c>
      <c r="P143" s="471"/>
      <c r="Q143" s="470"/>
      <c r="R143" s="471"/>
      <c r="S143" s="141"/>
      <c r="T143" s="141"/>
      <c r="U143" s="141"/>
      <c r="V143" s="141"/>
      <c r="W143" s="141"/>
      <c r="X143" s="141"/>
      <c r="Y143" s="141"/>
      <c r="Z143" s="141"/>
      <c r="AA143" s="141"/>
      <c r="AB143" s="141"/>
      <c r="AC143" s="373">
        <f>130000000-86255969+85833493.97</f>
        <v>129577524.97</v>
      </c>
      <c r="AD143" s="139"/>
      <c r="AE143" s="139"/>
      <c r="AF143" s="106">
        <f t="shared" si="59"/>
        <v>129577524.97</v>
      </c>
      <c r="AH143" s="310"/>
    </row>
    <row r="144" spans="1:35" ht="104.25" customHeight="1" x14ac:dyDescent="0.2">
      <c r="A144" s="281"/>
      <c r="B144" s="434"/>
      <c r="C144" s="423"/>
      <c r="D144" s="421"/>
      <c r="E144" s="412">
        <v>1702</v>
      </c>
      <c r="F144" s="410" t="s">
        <v>182</v>
      </c>
      <c r="G144" s="195" t="s">
        <v>469</v>
      </c>
      <c r="H144" s="12">
        <v>1702017</v>
      </c>
      <c r="I144" s="410" t="s">
        <v>470</v>
      </c>
      <c r="J144" s="435" t="s">
        <v>471</v>
      </c>
      <c r="K144" s="200" t="s">
        <v>472</v>
      </c>
      <c r="L144" s="235" t="s">
        <v>141</v>
      </c>
      <c r="M144" s="235">
        <v>2500</v>
      </c>
      <c r="N144" s="412">
        <v>250</v>
      </c>
      <c r="O144" s="253">
        <v>240</v>
      </c>
      <c r="P144" s="278" t="s">
        <v>473</v>
      </c>
      <c r="Q144" s="412" t="s">
        <v>474</v>
      </c>
      <c r="R144" s="410" t="s">
        <v>475</v>
      </c>
      <c r="S144" s="141"/>
      <c r="T144" s="141"/>
      <c r="U144" s="141"/>
      <c r="V144" s="141"/>
      <c r="W144" s="141"/>
      <c r="X144" s="141"/>
      <c r="Y144" s="141"/>
      <c r="Z144" s="141"/>
      <c r="AA144" s="141"/>
      <c r="AB144" s="141"/>
      <c r="AC144" s="373">
        <v>110000000</v>
      </c>
      <c r="AD144" s="139"/>
      <c r="AE144" s="139"/>
      <c r="AF144" s="106">
        <f t="shared" si="59"/>
        <v>110000000</v>
      </c>
      <c r="AH144" s="310"/>
    </row>
    <row r="145" spans="1:34" ht="56.25" customHeight="1" x14ac:dyDescent="0.2">
      <c r="A145" s="281"/>
      <c r="B145" s="434"/>
      <c r="C145" s="423"/>
      <c r="D145" s="421"/>
      <c r="E145" s="412">
        <v>1702</v>
      </c>
      <c r="F145" s="410" t="s">
        <v>182</v>
      </c>
      <c r="G145" s="412" t="s">
        <v>476</v>
      </c>
      <c r="H145" s="129">
        <v>1702038</v>
      </c>
      <c r="I145" s="410" t="s">
        <v>477</v>
      </c>
      <c r="J145" s="412" t="s">
        <v>478</v>
      </c>
      <c r="K145" s="410" t="s">
        <v>479</v>
      </c>
      <c r="L145" s="195" t="s">
        <v>51</v>
      </c>
      <c r="M145" s="195">
        <v>30</v>
      </c>
      <c r="N145" s="195">
        <v>30</v>
      </c>
      <c r="O145" s="326">
        <v>21</v>
      </c>
      <c r="P145" s="471" t="s">
        <v>186</v>
      </c>
      <c r="Q145" s="470" t="s">
        <v>480</v>
      </c>
      <c r="R145" s="471" t="s">
        <v>481</v>
      </c>
      <c r="S145" s="141"/>
      <c r="T145" s="141"/>
      <c r="U145" s="141"/>
      <c r="V145" s="141"/>
      <c r="W145" s="141"/>
      <c r="X145" s="141"/>
      <c r="Y145" s="141"/>
      <c r="Z145" s="141"/>
      <c r="AA145" s="141"/>
      <c r="AB145" s="141"/>
      <c r="AC145" s="373">
        <f>71204155-49804155</f>
        <v>21400000</v>
      </c>
      <c r="AD145" s="139"/>
      <c r="AE145" s="139"/>
      <c r="AF145" s="106">
        <f t="shared" si="59"/>
        <v>21400000</v>
      </c>
      <c r="AH145" s="310"/>
    </row>
    <row r="146" spans="1:34" ht="63.75" customHeight="1" x14ac:dyDescent="0.2">
      <c r="A146" s="281"/>
      <c r="B146" s="434"/>
      <c r="C146" s="423"/>
      <c r="D146" s="421"/>
      <c r="E146" s="412">
        <v>1702</v>
      </c>
      <c r="F146" s="410" t="s">
        <v>182</v>
      </c>
      <c r="G146" s="412" t="s">
        <v>476</v>
      </c>
      <c r="H146" s="129">
        <v>1702038</v>
      </c>
      <c r="I146" s="410" t="s">
        <v>477</v>
      </c>
      <c r="J146" s="412" t="s">
        <v>482</v>
      </c>
      <c r="K146" s="410" t="s">
        <v>483</v>
      </c>
      <c r="L146" s="195" t="s">
        <v>141</v>
      </c>
      <c r="M146" s="195">
        <v>300</v>
      </c>
      <c r="N146" s="195">
        <v>60</v>
      </c>
      <c r="O146" s="326">
        <v>50</v>
      </c>
      <c r="P146" s="471"/>
      <c r="Q146" s="470"/>
      <c r="R146" s="471"/>
      <c r="S146" s="141"/>
      <c r="T146" s="141"/>
      <c r="U146" s="141"/>
      <c r="V146" s="141"/>
      <c r="W146" s="141"/>
      <c r="X146" s="141"/>
      <c r="Y146" s="141"/>
      <c r="Z146" s="141"/>
      <c r="AA146" s="141"/>
      <c r="AB146" s="141"/>
      <c r="AC146" s="373">
        <v>40000000</v>
      </c>
      <c r="AD146" s="139"/>
      <c r="AE146" s="139"/>
      <c r="AF146" s="106">
        <f t="shared" si="59"/>
        <v>40000000</v>
      </c>
      <c r="AH146" s="310"/>
    </row>
    <row r="147" spans="1:34" ht="74.25" customHeight="1" x14ac:dyDescent="0.2">
      <c r="A147" s="281"/>
      <c r="B147" s="434"/>
      <c r="C147" s="423"/>
      <c r="D147" s="421"/>
      <c r="E147" s="412">
        <v>1702</v>
      </c>
      <c r="F147" s="410" t="s">
        <v>182</v>
      </c>
      <c r="G147" s="412" t="s">
        <v>484</v>
      </c>
      <c r="H147" s="129">
        <v>1702023</v>
      </c>
      <c r="I147" s="410" t="s">
        <v>423</v>
      </c>
      <c r="J147" s="412" t="s">
        <v>485</v>
      </c>
      <c r="K147" s="410" t="s">
        <v>486</v>
      </c>
      <c r="L147" s="235" t="s">
        <v>51</v>
      </c>
      <c r="M147" s="235">
        <v>1</v>
      </c>
      <c r="N147" s="195">
        <v>1</v>
      </c>
      <c r="O147" s="326">
        <v>1</v>
      </c>
      <c r="P147" s="471" t="s">
        <v>473</v>
      </c>
      <c r="Q147" s="470" t="s">
        <v>1304</v>
      </c>
      <c r="R147" s="486" t="s">
        <v>487</v>
      </c>
      <c r="S147" s="141"/>
      <c r="T147" s="141"/>
      <c r="U147" s="141"/>
      <c r="V147" s="141"/>
      <c r="W147" s="141"/>
      <c r="X147" s="141"/>
      <c r="Y147" s="141"/>
      <c r="Z147" s="141"/>
      <c r="AA147" s="141"/>
      <c r="AB147" s="141"/>
      <c r="AC147" s="373">
        <f>50000000-35000000</f>
        <v>15000000</v>
      </c>
      <c r="AD147" s="139"/>
      <c r="AE147" s="139"/>
      <c r="AF147" s="106">
        <f t="shared" si="59"/>
        <v>15000000</v>
      </c>
      <c r="AH147" s="310"/>
    </row>
    <row r="148" spans="1:34" ht="83.25" customHeight="1" x14ac:dyDescent="0.2">
      <c r="A148" s="281"/>
      <c r="B148" s="434"/>
      <c r="C148" s="423"/>
      <c r="D148" s="421"/>
      <c r="E148" s="412">
        <v>1702</v>
      </c>
      <c r="F148" s="410" t="s">
        <v>182</v>
      </c>
      <c r="G148" s="195" t="s">
        <v>488</v>
      </c>
      <c r="H148" s="129">
        <v>1702024</v>
      </c>
      <c r="I148" s="410" t="s">
        <v>489</v>
      </c>
      <c r="J148" s="195" t="s">
        <v>490</v>
      </c>
      <c r="K148" s="200" t="s">
        <v>491</v>
      </c>
      <c r="L148" s="235" t="s">
        <v>51</v>
      </c>
      <c r="M148" s="235">
        <v>12</v>
      </c>
      <c r="N148" s="195">
        <v>12</v>
      </c>
      <c r="O148" s="326">
        <v>12</v>
      </c>
      <c r="P148" s="471"/>
      <c r="Q148" s="470"/>
      <c r="R148" s="486"/>
      <c r="S148" s="141"/>
      <c r="T148" s="141"/>
      <c r="U148" s="141"/>
      <c r="V148" s="141"/>
      <c r="W148" s="141"/>
      <c r="X148" s="141"/>
      <c r="Y148" s="141"/>
      <c r="Z148" s="141"/>
      <c r="AA148" s="141"/>
      <c r="AB148" s="141"/>
      <c r="AC148" s="373">
        <f>50000000-15000000</f>
        <v>35000000</v>
      </c>
      <c r="AD148" s="139"/>
      <c r="AE148" s="139"/>
      <c r="AF148" s="106">
        <f t="shared" si="59"/>
        <v>35000000</v>
      </c>
      <c r="AH148" s="310"/>
    </row>
    <row r="149" spans="1:34" ht="52.5" customHeight="1" x14ac:dyDescent="0.2">
      <c r="A149" s="281"/>
      <c r="B149" s="434"/>
      <c r="C149" s="423"/>
      <c r="D149" s="421"/>
      <c r="E149" s="412">
        <v>1702</v>
      </c>
      <c r="F149" s="410" t="s">
        <v>182</v>
      </c>
      <c r="G149" s="195" t="s">
        <v>492</v>
      </c>
      <c r="H149" s="129">
        <v>1702014</v>
      </c>
      <c r="I149" s="410" t="s">
        <v>493</v>
      </c>
      <c r="J149" s="195" t="s">
        <v>494</v>
      </c>
      <c r="K149" s="200" t="s">
        <v>495</v>
      </c>
      <c r="L149" s="195" t="s">
        <v>141</v>
      </c>
      <c r="M149" s="195">
        <v>100</v>
      </c>
      <c r="N149" s="195">
        <v>25</v>
      </c>
      <c r="O149" s="435">
        <v>0</v>
      </c>
      <c r="P149" s="471" t="s">
        <v>473</v>
      </c>
      <c r="Q149" s="470" t="s">
        <v>496</v>
      </c>
      <c r="R149" s="486" t="s">
        <v>497</v>
      </c>
      <c r="S149" s="141"/>
      <c r="T149" s="141"/>
      <c r="U149" s="141"/>
      <c r="V149" s="141"/>
      <c r="W149" s="141"/>
      <c r="X149" s="141"/>
      <c r="Y149" s="141"/>
      <c r="Z149" s="141"/>
      <c r="AA149" s="141"/>
      <c r="AB149" s="141"/>
      <c r="AC149" s="373">
        <f>50000000-40000000</f>
        <v>10000000</v>
      </c>
      <c r="AD149" s="139"/>
      <c r="AE149" s="139"/>
      <c r="AF149" s="106">
        <f t="shared" si="59"/>
        <v>10000000</v>
      </c>
      <c r="AH149" s="310"/>
    </row>
    <row r="150" spans="1:34" ht="74.25" customHeight="1" x14ac:dyDescent="0.2">
      <c r="A150" s="281"/>
      <c r="B150" s="434"/>
      <c r="C150" s="423"/>
      <c r="D150" s="421"/>
      <c r="E150" s="412">
        <v>1702</v>
      </c>
      <c r="F150" s="410" t="s">
        <v>182</v>
      </c>
      <c r="G150" s="195" t="s">
        <v>469</v>
      </c>
      <c r="H150" s="129">
        <v>1702017</v>
      </c>
      <c r="I150" s="410" t="s">
        <v>498</v>
      </c>
      <c r="J150" s="435" t="s">
        <v>471</v>
      </c>
      <c r="K150" s="200" t="s">
        <v>472</v>
      </c>
      <c r="L150" s="235" t="s">
        <v>141</v>
      </c>
      <c r="M150" s="235">
        <v>2500</v>
      </c>
      <c r="N150" s="412">
        <v>250</v>
      </c>
      <c r="O150" s="427">
        <v>0</v>
      </c>
      <c r="P150" s="471"/>
      <c r="Q150" s="470"/>
      <c r="R150" s="486"/>
      <c r="S150" s="141"/>
      <c r="T150" s="141"/>
      <c r="U150" s="141"/>
      <c r="V150" s="141"/>
      <c r="W150" s="141"/>
      <c r="X150" s="141"/>
      <c r="Y150" s="141"/>
      <c r="Z150" s="141"/>
      <c r="AA150" s="141"/>
      <c r="AB150" s="141"/>
      <c r="AC150" s="373">
        <v>19000000</v>
      </c>
      <c r="AD150" s="139"/>
      <c r="AE150" s="139"/>
      <c r="AF150" s="106">
        <f t="shared" si="59"/>
        <v>19000000</v>
      </c>
      <c r="AH150" s="310"/>
    </row>
    <row r="151" spans="1:34" ht="61.5" customHeight="1" x14ac:dyDescent="0.2">
      <c r="A151" s="281"/>
      <c r="B151" s="434"/>
      <c r="C151" s="423"/>
      <c r="D151" s="421"/>
      <c r="E151" s="412">
        <v>1702</v>
      </c>
      <c r="F151" s="410" t="s">
        <v>182</v>
      </c>
      <c r="G151" s="195" t="s">
        <v>499</v>
      </c>
      <c r="H151" s="129">
        <v>1702021</v>
      </c>
      <c r="I151" s="410" t="s">
        <v>500</v>
      </c>
      <c r="J151" s="195" t="s">
        <v>501</v>
      </c>
      <c r="K151" s="200" t="s">
        <v>502</v>
      </c>
      <c r="L151" s="195" t="s">
        <v>141</v>
      </c>
      <c r="M151" s="195">
        <v>500</v>
      </c>
      <c r="N151" s="195">
        <v>50</v>
      </c>
      <c r="O151" s="435">
        <v>0</v>
      </c>
      <c r="P151" s="471"/>
      <c r="Q151" s="470"/>
      <c r="R151" s="486"/>
      <c r="S151" s="141"/>
      <c r="T151" s="141"/>
      <c r="U151" s="141"/>
      <c r="V151" s="141"/>
      <c r="W151" s="141"/>
      <c r="X151" s="141"/>
      <c r="Y151" s="141"/>
      <c r="Z151" s="141"/>
      <c r="AA151" s="141"/>
      <c r="AB151" s="141"/>
      <c r="AC151" s="373">
        <v>10000000</v>
      </c>
      <c r="AD151" s="139"/>
      <c r="AE151" s="139"/>
      <c r="AF151" s="106">
        <f t="shared" si="59"/>
        <v>10000000</v>
      </c>
      <c r="AH151" s="310"/>
    </row>
    <row r="152" spans="1:34" ht="67.5" customHeight="1" x14ac:dyDescent="0.2">
      <c r="A152" s="281"/>
      <c r="B152" s="434"/>
      <c r="C152" s="423"/>
      <c r="D152" s="421"/>
      <c r="E152" s="412">
        <v>1702</v>
      </c>
      <c r="F152" s="410" t="s">
        <v>182</v>
      </c>
      <c r="G152" s="195" t="s">
        <v>503</v>
      </c>
      <c r="H152" s="129">
        <v>1702025</v>
      </c>
      <c r="I152" s="410" t="s">
        <v>504</v>
      </c>
      <c r="J152" s="195" t="s">
        <v>505</v>
      </c>
      <c r="K152" s="200" t="s">
        <v>506</v>
      </c>
      <c r="L152" s="235" t="s">
        <v>141</v>
      </c>
      <c r="M152" s="235">
        <v>100</v>
      </c>
      <c r="N152" s="195">
        <v>25</v>
      </c>
      <c r="O152" s="326">
        <v>25</v>
      </c>
      <c r="P152" s="410" t="s">
        <v>186</v>
      </c>
      <c r="Q152" s="412" t="s">
        <v>507</v>
      </c>
      <c r="R152" s="411" t="s">
        <v>508</v>
      </c>
      <c r="S152" s="141"/>
      <c r="T152" s="141"/>
      <c r="U152" s="141"/>
      <c r="V152" s="141"/>
      <c r="W152" s="141"/>
      <c r="X152" s="141"/>
      <c r="Y152" s="141"/>
      <c r="Z152" s="141"/>
      <c r="AA152" s="141"/>
      <c r="AB152" s="141"/>
      <c r="AC152" s="373">
        <v>30000000</v>
      </c>
      <c r="AD152" s="139"/>
      <c r="AE152" s="139"/>
      <c r="AF152" s="106">
        <f t="shared" si="59"/>
        <v>30000000</v>
      </c>
      <c r="AH152" s="310"/>
    </row>
    <row r="153" spans="1:34" ht="23.25" customHeight="1" x14ac:dyDescent="0.2">
      <c r="A153" s="281"/>
      <c r="B153" s="434"/>
      <c r="C153" s="126">
        <v>5</v>
      </c>
      <c r="D153" s="101">
        <v>1703</v>
      </c>
      <c r="E153" s="424" t="s">
        <v>509</v>
      </c>
      <c r="F153" s="100"/>
      <c r="G153" s="101"/>
      <c r="H153" s="102"/>
      <c r="I153" s="100"/>
      <c r="J153" s="101"/>
      <c r="K153" s="100"/>
      <c r="L153" s="103"/>
      <c r="M153" s="103"/>
      <c r="N153" s="101"/>
      <c r="O153" s="101"/>
      <c r="P153" s="274"/>
      <c r="Q153" s="101"/>
      <c r="R153" s="100"/>
      <c r="S153" s="105">
        <f t="shared" ref="S153:AF153" si="60">SUM(S154)</f>
        <v>0</v>
      </c>
      <c r="T153" s="105">
        <f t="shared" si="60"/>
        <v>0</v>
      </c>
      <c r="U153" s="105">
        <f t="shared" si="60"/>
        <v>0</v>
      </c>
      <c r="V153" s="105">
        <f t="shared" si="60"/>
        <v>0</v>
      </c>
      <c r="W153" s="105">
        <f t="shared" si="60"/>
        <v>0</v>
      </c>
      <c r="X153" s="105">
        <f t="shared" si="60"/>
        <v>0</v>
      </c>
      <c r="Y153" s="105">
        <f t="shared" si="60"/>
        <v>0</v>
      </c>
      <c r="Z153" s="105">
        <f t="shared" si="60"/>
        <v>0</v>
      </c>
      <c r="AA153" s="105">
        <f t="shared" si="60"/>
        <v>0</v>
      </c>
      <c r="AB153" s="105">
        <f t="shared" si="60"/>
        <v>0</v>
      </c>
      <c r="AC153" s="105">
        <f t="shared" si="60"/>
        <v>40000000</v>
      </c>
      <c r="AD153" s="105">
        <f t="shared" si="60"/>
        <v>0</v>
      </c>
      <c r="AE153" s="105">
        <f t="shared" si="60"/>
        <v>0</v>
      </c>
      <c r="AF153" s="105">
        <f t="shared" si="60"/>
        <v>40000000</v>
      </c>
      <c r="AH153" s="310"/>
    </row>
    <row r="154" spans="1:34" ht="126.75" customHeight="1" x14ac:dyDescent="0.2">
      <c r="A154" s="281"/>
      <c r="B154" s="434"/>
      <c r="C154" s="423"/>
      <c r="D154" s="421"/>
      <c r="E154" s="412">
        <v>1703</v>
      </c>
      <c r="F154" s="410" t="s">
        <v>182</v>
      </c>
      <c r="G154" s="195" t="s">
        <v>510</v>
      </c>
      <c r="H154" s="129">
        <v>1703013</v>
      </c>
      <c r="I154" s="410" t="s">
        <v>511</v>
      </c>
      <c r="J154" s="195" t="s">
        <v>512</v>
      </c>
      <c r="K154" s="200" t="s">
        <v>513</v>
      </c>
      <c r="L154" s="235" t="s">
        <v>141</v>
      </c>
      <c r="M154" s="151">
        <v>300</v>
      </c>
      <c r="N154" s="435">
        <v>75</v>
      </c>
      <c r="O154" s="326">
        <v>75</v>
      </c>
      <c r="P154" s="410" t="s">
        <v>473</v>
      </c>
      <c r="Q154" s="412" t="s">
        <v>496</v>
      </c>
      <c r="R154" s="411" t="s">
        <v>4</v>
      </c>
      <c r="S154" s="141"/>
      <c r="T154" s="141"/>
      <c r="U154" s="141"/>
      <c r="V154" s="141"/>
      <c r="W154" s="141"/>
      <c r="X154" s="141"/>
      <c r="Y154" s="141"/>
      <c r="Z154" s="141"/>
      <c r="AA154" s="141"/>
      <c r="AB154" s="141"/>
      <c r="AC154" s="373">
        <f>90000000-50000000</f>
        <v>40000000</v>
      </c>
      <c r="AD154" s="139"/>
      <c r="AE154" s="139"/>
      <c r="AF154" s="106">
        <f>+S154+T154+U154+V154+W154+X154+Y154+Z154+AA154+AB154+AC154+AD154+AE154</f>
        <v>40000000</v>
      </c>
      <c r="AH154" s="310"/>
    </row>
    <row r="155" spans="1:34" ht="23.25" customHeight="1" x14ac:dyDescent="0.2">
      <c r="A155" s="281"/>
      <c r="B155" s="434"/>
      <c r="C155" s="126">
        <v>6</v>
      </c>
      <c r="D155" s="101">
        <v>1704</v>
      </c>
      <c r="E155" s="424" t="s">
        <v>514</v>
      </c>
      <c r="F155" s="142"/>
      <c r="G155" s="142"/>
      <c r="H155" s="142"/>
      <c r="I155" s="142"/>
      <c r="J155" s="142"/>
      <c r="K155" s="142"/>
      <c r="L155" s="142"/>
      <c r="M155" s="142"/>
      <c r="N155" s="142"/>
      <c r="O155" s="142"/>
      <c r="P155" s="100"/>
      <c r="Q155" s="143"/>
      <c r="R155" s="144"/>
      <c r="S155" s="13">
        <f t="shared" ref="S155:AF155" si="61">SUM(S156:S157)</f>
        <v>0</v>
      </c>
      <c r="T155" s="13">
        <f t="shared" si="61"/>
        <v>0</v>
      </c>
      <c r="U155" s="13">
        <f t="shared" si="61"/>
        <v>0</v>
      </c>
      <c r="V155" s="13">
        <f t="shared" si="61"/>
        <v>0</v>
      </c>
      <c r="W155" s="13">
        <f t="shared" si="61"/>
        <v>0</v>
      </c>
      <c r="X155" s="13">
        <f t="shared" si="61"/>
        <v>0</v>
      </c>
      <c r="Y155" s="13">
        <f t="shared" si="61"/>
        <v>0</v>
      </c>
      <c r="Z155" s="13">
        <f t="shared" si="61"/>
        <v>0</v>
      </c>
      <c r="AA155" s="13">
        <f t="shared" si="61"/>
        <v>0</v>
      </c>
      <c r="AB155" s="13">
        <f t="shared" si="61"/>
        <v>0</v>
      </c>
      <c r="AC155" s="14">
        <f t="shared" si="61"/>
        <v>40000000</v>
      </c>
      <c r="AD155" s="14">
        <f t="shared" si="61"/>
        <v>0</v>
      </c>
      <c r="AE155" s="14">
        <f t="shared" si="61"/>
        <v>0</v>
      </c>
      <c r="AF155" s="14">
        <f t="shared" si="61"/>
        <v>40000000</v>
      </c>
      <c r="AH155" s="310"/>
    </row>
    <row r="156" spans="1:34" ht="80.25" customHeight="1" x14ac:dyDescent="0.2">
      <c r="A156" s="281"/>
      <c r="B156" s="295"/>
      <c r="C156" s="246"/>
      <c r="D156" s="235"/>
      <c r="E156" s="235">
        <v>1704</v>
      </c>
      <c r="F156" s="410" t="s">
        <v>182</v>
      </c>
      <c r="G156" s="412" t="s">
        <v>515</v>
      </c>
      <c r="H156" s="129">
        <v>1704002</v>
      </c>
      <c r="I156" s="410" t="s">
        <v>516</v>
      </c>
      <c r="J156" s="412" t="s">
        <v>517</v>
      </c>
      <c r="K156" s="410" t="s">
        <v>518</v>
      </c>
      <c r="L156" s="195" t="s">
        <v>51</v>
      </c>
      <c r="M156" s="195">
        <v>1</v>
      </c>
      <c r="N156" s="435">
        <v>1</v>
      </c>
      <c r="O156" s="326">
        <v>1</v>
      </c>
      <c r="P156" s="471" t="s">
        <v>186</v>
      </c>
      <c r="Q156" s="470" t="s">
        <v>519</v>
      </c>
      <c r="R156" s="471" t="s">
        <v>520</v>
      </c>
      <c r="S156" s="112"/>
      <c r="T156" s="112"/>
      <c r="U156" s="112"/>
      <c r="V156" s="112"/>
      <c r="W156" s="112"/>
      <c r="X156" s="112"/>
      <c r="Y156" s="112"/>
      <c r="Z156" s="112"/>
      <c r="AA156" s="112"/>
      <c r="AB156" s="112"/>
      <c r="AC156" s="367">
        <f>50000000-40364849</f>
        <v>9635151</v>
      </c>
      <c r="AD156" s="139"/>
      <c r="AE156" s="139"/>
      <c r="AF156" s="106">
        <f>+S156+T156+U156+V156+W156+X156+Y156+Z156+AA156+AB156+AC156+AD156+AE156</f>
        <v>9635151</v>
      </c>
      <c r="AH156" s="310"/>
    </row>
    <row r="157" spans="1:34" ht="57.75" customHeight="1" x14ac:dyDescent="0.2">
      <c r="A157" s="281"/>
      <c r="B157" s="295"/>
      <c r="C157" s="246"/>
      <c r="D157" s="235"/>
      <c r="E157" s="235">
        <v>17041</v>
      </c>
      <c r="F157" s="410" t="s">
        <v>182</v>
      </c>
      <c r="G157" s="412" t="s">
        <v>521</v>
      </c>
      <c r="H157" s="129">
        <v>1704017</v>
      </c>
      <c r="I157" s="410" t="s">
        <v>522</v>
      </c>
      <c r="J157" s="412" t="s">
        <v>523</v>
      </c>
      <c r="K157" s="410" t="s">
        <v>524</v>
      </c>
      <c r="L157" s="195" t="s">
        <v>141</v>
      </c>
      <c r="M157" s="195">
        <v>500</v>
      </c>
      <c r="N157" s="195">
        <v>50</v>
      </c>
      <c r="O157" s="326">
        <v>50</v>
      </c>
      <c r="P157" s="471"/>
      <c r="Q157" s="470"/>
      <c r="R157" s="471"/>
      <c r="S157" s="112"/>
      <c r="T157" s="112"/>
      <c r="U157" s="112"/>
      <c r="V157" s="112"/>
      <c r="W157" s="112"/>
      <c r="X157" s="112"/>
      <c r="Y157" s="112"/>
      <c r="Z157" s="112"/>
      <c r="AA157" s="112"/>
      <c r="AB157" s="112"/>
      <c r="AC157" s="367">
        <v>30364849</v>
      </c>
      <c r="AD157" s="139"/>
      <c r="AE157" s="139"/>
      <c r="AF157" s="106">
        <f>+S157+T157+U157+V157+W157+X157+Y157+Z157+AA157+AB157+AC157+AD157+AE157</f>
        <v>30364849</v>
      </c>
      <c r="AH157" s="310"/>
    </row>
    <row r="158" spans="1:34" ht="24" customHeight="1" x14ac:dyDescent="0.2">
      <c r="A158" s="281"/>
      <c r="B158" s="434"/>
      <c r="C158" s="126">
        <v>7</v>
      </c>
      <c r="D158" s="101">
        <v>1706</v>
      </c>
      <c r="E158" s="424" t="s">
        <v>525</v>
      </c>
      <c r="F158" s="100"/>
      <c r="G158" s="101"/>
      <c r="H158" s="102"/>
      <c r="I158" s="100"/>
      <c r="J158" s="101"/>
      <c r="K158" s="100"/>
      <c r="L158" s="103"/>
      <c r="M158" s="103"/>
      <c r="N158" s="101"/>
      <c r="O158" s="101"/>
      <c r="P158" s="274"/>
      <c r="Q158" s="101"/>
      <c r="R158" s="100"/>
      <c r="S158" s="105">
        <f t="shared" ref="S158:AF158" si="62">SUM(S159)</f>
        <v>0</v>
      </c>
      <c r="T158" s="105">
        <f t="shared" si="62"/>
        <v>0</v>
      </c>
      <c r="U158" s="105">
        <f t="shared" si="62"/>
        <v>0</v>
      </c>
      <c r="V158" s="105">
        <f t="shared" si="62"/>
        <v>0</v>
      </c>
      <c r="W158" s="105">
        <f t="shared" si="62"/>
        <v>0</v>
      </c>
      <c r="X158" s="105">
        <f t="shared" si="62"/>
        <v>0</v>
      </c>
      <c r="Y158" s="105">
        <f t="shared" si="62"/>
        <v>0</v>
      </c>
      <c r="Z158" s="105">
        <f t="shared" si="62"/>
        <v>0</v>
      </c>
      <c r="AA158" s="105">
        <f t="shared" si="62"/>
        <v>0</v>
      </c>
      <c r="AB158" s="105">
        <f t="shared" si="62"/>
        <v>0</v>
      </c>
      <c r="AC158" s="105">
        <f t="shared" si="62"/>
        <v>12800000</v>
      </c>
      <c r="AD158" s="105">
        <f t="shared" si="62"/>
        <v>0</v>
      </c>
      <c r="AE158" s="105">
        <f t="shared" si="62"/>
        <v>0</v>
      </c>
      <c r="AF158" s="105">
        <f t="shared" si="62"/>
        <v>12800000</v>
      </c>
      <c r="AH158" s="310"/>
    </row>
    <row r="159" spans="1:34" ht="72.75" customHeight="1" x14ac:dyDescent="0.2">
      <c r="A159" s="281"/>
      <c r="B159" s="434"/>
      <c r="C159" s="423"/>
      <c r="D159" s="421"/>
      <c r="E159" s="235">
        <v>1706</v>
      </c>
      <c r="F159" s="410" t="s">
        <v>182</v>
      </c>
      <c r="G159" s="412" t="s">
        <v>526</v>
      </c>
      <c r="H159" s="129">
        <v>1706004</v>
      </c>
      <c r="I159" s="410" t="s">
        <v>527</v>
      </c>
      <c r="J159" s="412" t="s">
        <v>528</v>
      </c>
      <c r="K159" s="410" t="s">
        <v>529</v>
      </c>
      <c r="L159" s="195" t="s">
        <v>51</v>
      </c>
      <c r="M159" s="195">
        <v>10</v>
      </c>
      <c r="N159" s="195">
        <v>10</v>
      </c>
      <c r="O159" s="326">
        <v>4</v>
      </c>
      <c r="P159" s="410" t="s">
        <v>186</v>
      </c>
      <c r="Q159" s="412" t="s">
        <v>480</v>
      </c>
      <c r="R159" s="410" t="s">
        <v>481</v>
      </c>
      <c r="S159" s="2"/>
      <c r="T159" s="2"/>
      <c r="U159" s="2"/>
      <c r="V159" s="2"/>
      <c r="W159" s="2"/>
      <c r="X159" s="2"/>
      <c r="Y159" s="2"/>
      <c r="Z159" s="2"/>
      <c r="AA159" s="2"/>
      <c r="AB159" s="2"/>
      <c r="AC159" s="367">
        <f>12800000</f>
        <v>12800000</v>
      </c>
      <c r="AD159" s="139"/>
      <c r="AE159" s="139"/>
      <c r="AF159" s="106">
        <f>+S159+T159+U159+V159+W159+X159+Y159+Z159+AA159+AB159+AC159+AD159+AE159</f>
        <v>12800000</v>
      </c>
      <c r="AH159" s="310"/>
    </row>
    <row r="160" spans="1:34" ht="25.5" customHeight="1" x14ac:dyDescent="0.2">
      <c r="A160" s="281"/>
      <c r="B160" s="434"/>
      <c r="C160" s="126">
        <v>8</v>
      </c>
      <c r="D160" s="101">
        <v>1707</v>
      </c>
      <c r="E160" s="424" t="s">
        <v>530</v>
      </c>
      <c r="F160" s="100"/>
      <c r="G160" s="101"/>
      <c r="H160" s="102"/>
      <c r="I160" s="100"/>
      <c r="J160" s="101"/>
      <c r="K160" s="100"/>
      <c r="L160" s="103"/>
      <c r="M160" s="103"/>
      <c r="N160" s="101"/>
      <c r="O160" s="101"/>
      <c r="P160" s="274"/>
      <c r="Q160" s="101"/>
      <c r="R160" s="100"/>
      <c r="S160" s="105">
        <f t="shared" ref="S160:AF160" si="63">SUM(S161)</f>
        <v>0</v>
      </c>
      <c r="T160" s="105">
        <f t="shared" si="63"/>
        <v>0</v>
      </c>
      <c r="U160" s="105">
        <f t="shared" si="63"/>
        <v>0</v>
      </c>
      <c r="V160" s="105">
        <f t="shared" si="63"/>
        <v>0</v>
      </c>
      <c r="W160" s="105">
        <f t="shared" si="63"/>
        <v>0</v>
      </c>
      <c r="X160" s="105">
        <f t="shared" si="63"/>
        <v>0</v>
      </c>
      <c r="Y160" s="105">
        <f t="shared" si="63"/>
        <v>0</v>
      </c>
      <c r="Z160" s="105">
        <f t="shared" si="63"/>
        <v>0</v>
      </c>
      <c r="AA160" s="105">
        <f t="shared" si="63"/>
        <v>0</v>
      </c>
      <c r="AB160" s="105">
        <f t="shared" si="63"/>
        <v>0</v>
      </c>
      <c r="AC160" s="105">
        <f t="shared" si="63"/>
        <v>50000000</v>
      </c>
      <c r="AD160" s="105">
        <f t="shared" si="63"/>
        <v>0</v>
      </c>
      <c r="AE160" s="105">
        <f t="shared" si="63"/>
        <v>0</v>
      </c>
      <c r="AF160" s="105">
        <f t="shared" si="63"/>
        <v>50000000</v>
      </c>
      <c r="AH160" s="310"/>
    </row>
    <row r="161" spans="1:34" ht="97.5" customHeight="1" x14ac:dyDescent="0.2">
      <c r="A161" s="281"/>
      <c r="B161" s="434"/>
      <c r="C161" s="423"/>
      <c r="D161" s="421"/>
      <c r="E161" s="412">
        <v>1707</v>
      </c>
      <c r="F161" s="410" t="s">
        <v>182</v>
      </c>
      <c r="G161" s="412" t="s">
        <v>531</v>
      </c>
      <c r="H161" s="129">
        <v>1707069</v>
      </c>
      <c r="I161" s="410" t="s">
        <v>532</v>
      </c>
      <c r="J161" s="412" t="s">
        <v>533</v>
      </c>
      <c r="K161" s="410" t="s">
        <v>534</v>
      </c>
      <c r="L161" s="195" t="s">
        <v>141</v>
      </c>
      <c r="M161" s="195">
        <v>20</v>
      </c>
      <c r="N161" s="195">
        <v>5</v>
      </c>
      <c r="O161" s="326">
        <v>5</v>
      </c>
      <c r="P161" s="410" t="s">
        <v>473</v>
      </c>
      <c r="Q161" s="412" t="s">
        <v>1304</v>
      </c>
      <c r="R161" s="411" t="s">
        <v>5</v>
      </c>
      <c r="S161" s="141"/>
      <c r="T161" s="141"/>
      <c r="U161" s="141"/>
      <c r="V161" s="141"/>
      <c r="W161" s="141"/>
      <c r="X161" s="141"/>
      <c r="Y161" s="141"/>
      <c r="Z161" s="141"/>
      <c r="AA161" s="141"/>
      <c r="AB161" s="141"/>
      <c r="AC161" s="373">
        <v>50000000</v>
      </c>
      <c r="AD161" s="139"/>
      <c r="AE161" s="139"/>
      <c r="AF161" s="106">
        <f>+S161+T161+U161+V161+W161+X161+Y161+Z161+AA161+AB161+AC161+AD161+AE161</f>
        <v>50000000</v>
      </c>
      <c r="AH161" s="310"/>
    </row>
    <row r="162" spans="1:34" ht="24" customHeight="1" x14ac:dyDescent="0.2">
      <c r="A162" s="281"/>
      <c r="B162" s="434"/>
      <c r="C162" s="126">
        <v>9</v>
      </c>
      <c r="D162" s="101">
        <v>1708</v>
      </c>
      <c r="E162" s="424" t="s">
        <v>535</v>
      </c>
      <c r="F162" s="100"/>
      <c r="G162" s="101"/>
      <c r="H162" s="102"/>
      <c r="I162" s="100"/>
      <c r="J162" s="101"/>
      <c r="K162" s="100"/>
      <c r="L162" s="103"/>
      <c r="M162" s="103"/>
      <c r="N162" s="101"/>
      <c r="O162" s="101"/>
      <c r="P162" s="274"/>
      <c r="Q162" s="101"/>
      <c r="R162" s="100"/>
      <c r="S162" s="105">
        <f t="shared" ref="S162:AB162" si="64">SUM(S163:S163)</f>
        <v>0</v>
      </c>
      <c r="T162" s="105">
        <f t="shared" si="64"/>
        <v>0</v>
      </c>
      <c r="U162" s="105">
        <f t="shared" si="64"/>
        <v>0</v>
      </c>
      <c r="V162" s="105">
        <f t="shared" si="64"/>
        <v>0</v>
      </c>
      <c r="W162" s="105">
        <f t="shared" si="64"/>
        <v>0</v>
      </c>
      <c r="X162" s="105">
        <f t="shared" si="64"/>
        <v>0</v>
      </c>
      <c r="Y162" s="105">
        <f t="shared" si="64"/>
        <v>0</v>
      </c>
      <c r="Z162" s="105">
        <f t="shared" si="64"/>
        <v>0</v>
      </c>
      <c r="AA162" s="105">
        <f t="shared" si="64"/>
        <v>0</v>
      </c>
      <c r="AB162" s="105">
        <f t="shared" si="64"/>
        <v>0</v>
      </c>
      <c r="AC162" s="105">
        <f>SUM(AC163:AC164)</f>
        <v>30519269</v>
      </c>
      <c r="AD162" s="105">
        <f>SUM(AD163:AD163)</f>
        <v>0</v>
      </c>
      <c r="AE162" s="105">
        <f>SUM(AE163:AE163)</f>
        <v>0</v>
      </c>
      <c r="AF162" s="105">
        <f>SUM(AF163:AF164)</f>
        <v>30519269</v>
      </c>
      <c r="AH162" s="310"/>
    </row>
    <row r="163" spans="1:34" s="87" customFormat="1" ht="72.75" customHeight="1" x14ac:dyDescent="0.2">
      <c r="A163" s="292"/>
      <c r="B163" s="294"/>
      <c r="C163" s="254"/>
      <c r="D163" s="250"/>
      <c r="E163" s="227">
        <v>1708</v>
      </c>
      <c r="F163" s="422" t="s">
        <v>182</v>
      </c>
      <c r="G163" s="326" t="s">
        <v>536</v>
      </c>
      <c r="H163" s="220">
        <v>1708016</v>
      </c>
      <c r="I163" s="422" t="s">
        <v>516</v>
      </c>
      <c r="J163" s="326" t="s">
        <v>537</v>
      </c>
      <c r="K163" s="229" t="s">
        <v>538</v>
      </c>
      <c r="L163" s="326" t="s">
        <v>51</v>
      </c>
      <c r="M163" s="326">
        <v>2</v>
      </c>
      <c r="N163" s="326">
        <v>2</v>
      </c>
      <c r="O163" s="326">
        <v>2</v>
      </c>
      <c r="P163" s="422" t="s">
        <v>186</v>
      </c>
      <c r="Q163" s="253" t="s">
        <v>539</v>
      </c>
      <c r="R163" s="422" t="s">
        <v>540</v>
      </c>
      <c r="S163" s="231"/>
      <c r="T163" s="231"/>
      <c r="U163" s="231"/>
      <c r="V163" s="231"/>
      <c r="W163" s="231"/>
      <c r="X163" s="231"/>
      <c r="Y163" s="231"/>
      <c r="Z163" s="231"/>
      <c r="AA163" s="231"/>
      <c r="AB163" s="231"/>
      <c r="AC163" s="374">
        <f>50000000-34480731+15000000-15000000</f>
        <v>15519269</v>
      </c>
      <c r="AD163" s="194"/>
      <c r="AE163" s="194"/>
      <c r="AF163" s="193">
        <f>+S163+T163+U163+V163+W163+X163+Y163+Z163+AA163+AB163+AC163+AD163+AE163</f>
        <v>15519269</v>
      </c>
      <c r="AH163" s="310"/>
    </row>
    <row r="164" spans="1:34" s="87" customFormat="1" ht="72.75" customHeight="1" x14ac:dyDescent="0.2">
      <c r="A164" s="292"/>
      <c r="B164" s="294"/>
      <c r="C164" s="254"/>
      <c r="D164" s="250"/>
      <c r="E164" s="227">
        <v>1708</v>
      </c>
      <c r="F164" s="422" t="s">
        <v>182</v>
      </c>
      <c r="G164" s="326" t="s">
        <v>1313</v>
      </c>
      <c r="H164" s="220">
        <v>1708051</v>
      </c>
      <c r="I164" s="422" t="s">
        <v>1314</v>
      </c>
      <c r="J164" s="326" t="s">
        <v>1315</v>
      </c>
      <c r="K164" s="229" t="s">
        <v>1316</v>
      </c>
      <c r="L164" s="326" t="s">
        <v>51</v>
      </c>
      <c r="M164" s="326">
        <v>1</v>
      </c>
      <c r="N164" s="326">
        <v>1</v>
      </c>
      <c r="O164" s="326">
        <v>1</v>
      </c>
      <c r="P164" s="422" t="s">
        <v>186</v>
      </c>
      <c r="Q164" s="253" t="s">
        <v>539</v>
      </c>
      <c r="R164" s="422" t="s">
        <v>540</v>
      </c>
      <c r="S164" s="231"/>
      <c r="T164" s="231"/>
      <c r="U164" s="231"/>
      <c r="V164" s="231"/>
      <c r="W164" s="231"/>
      <c r="X164" s="231"/>
      <c r="Y164" s="231"/>
      <c r="Z164" s="231"/>
      <c r="AA164" s="231"/>
      <c r="AB164" s="231"/>
      <c r="AC164" s="374">
        <v>15000000</v>
      </c>
      <c r="AD164" s="194"/>
      <c r="AE164" s="194"/>
      <c r="AF164" s="193">
        <f>+S164+T164+U164+V164+W164+X164+Y164+Z164+AA164+AB164+AC164+AD164+AE164</f>
        <v>15000000</v>
      </c>
      <c r="AH164" s="310"/>
    </row>
    <row r="165" spans="1:34" ht="27.75" customHeight="1" x14ac:dyDescent="0.2">
      <c r="A165" s="281"/>
      <c r="B165" s="434"/>
      <c r="C165" s="126">
        <v>10</v>
      </c>
      <c r="D165" s="101">
        <v>1709</v>
      </c>
      <c r="E165" s="424" t="s">
        <v>181</v>
      </c>
      <c r="F165" s="142"/>
      <c r="G165" s="142"/>
      <c r="H165" s="142"/>
      <c r="I165" s="142"/>
      <c r="J165" s="142"/>
      <c r="K165" s="142"/>
      <c r="L165" s="142"/>
      <c r="M165" s="142"/>
      <c r="N165" s="142"/>
      <c r="O165" s="142"/>
      <c r="P165" s="100"/>
      <c r="Q165" s="142"/>
      <c r="R165" s="144"/>
      <c r="S165" s="13">
        <f t="shared" ref="S165:AF165" si="65">SUM(S166:S167)</f>
        <v>0</v>
      </c>
      <c r="T165" s="13">
        <f t="shared" si="65"/>
        <v>0</v>
      </c>
      <c r="U165" s="13">
        <f t="shared" si="65"/>
        <v>0</v>
      </c>
      <c r="V165" s="13">
        <f t="shared" si="65"/>
        <v>0</v>
      </c>
      <c r="W165" s="13">
        <f t="shared" si="65"/>
        <v>0</v>
      </c>
      <c r="X165" s="13">
        <f t="shared" si="65"/>
        <v>0</v>
      </c>
      <c r="Y165" s="13">
        <f t="shared" si="65"/>
        <v>0</v>
      </c>
      <c r="Z165" s="13">
        <f t="shared" si="65"/>
        <v>0</v>
      </c>
      <c r="AA165" s="13">
        <f t="shared" si="65"/>
        <v>0</v>
      </c>
      <c r="AB165" s="13">
        <f t="shared" si="65"/>
        <v>0</v>
      </c>
      <c r="AC165" s="14">
        <f t="shared" si="65"/>
        <v>75000000</v>
      </c>
      <c r="AD165" s="14">
        <f t="shared" si="65"/>
        <v>0</v>
      </c>
      <c r="AE165" s="14">
        <f t="shared" si="65"/>
        <v>0</v>
      </c>
      <c r="AF165" s="14">
        <f t="shared" si="65"/>
        <v>75000000</v>
      </c>
      <c r="AH165" s="310"/>
    </row>
    <row r="166" spans="1:34" s="132" customFormat="1" ht="94.5" customHeight="1" x14ac:dyDescent="0.2">
      <c r="A166" s="287"/>
      <c r="B166" s="296"/>
      <c r="C166" s="255"/>
      <c r="D166" s="151"/>
      <c r="E166" s="151">
        <v>1709</v>
      </c>
      <c r="F166" s="426" t="s">
        <v>182</v>
      </c>
      <c r="G166" s="435" t="s">
        <v>541</v>
      </c>
      <c r="H166" s="129">
        <v>1709019</v>
      </c>
      <c r="I166" s="426" t="s">
        <v>542</v>
      </c>
      <c r="J166" s="435" t="s">
        <v>543</v>
      </c>
      <c r="K166" s="203" t="s">
        <v>542</v>
      </c>
      <c r="L166" s="435" t="s">
        <v>141</v>
      </c>
      <c r="M166" s="435">
        <v>15</v>
      </c>
      <c r="N166" s="435">
        <v>2</v>
      </c>
      <c r="O166" s="435">
        <v>0</v>
      </c>
      <c r="P166" s="471" t="s">
        <v>186</v>
      </c>
      <c r="Q166" s="470" t="s">
        <v>507</v>
      </c>
      <c r="R166" s="486" t="s">
        <v>544</v>
      </c>
      <c r="S166" s="145"/>
      <c r="T166" s="145"/>
      <c r="U166" s="145"/>
      <c r="V166" s="145"/>
      <c r="W166" s="145"/>
      <c r="X166" s="145"/>
      <c r="Y166" s="145"/>
      <c r="Z166" s="145"/>
      <c r="AA166" s="145"/>
      <c r="AB166" s="145"/>
      <c r="AC166" s="367">
        <f>50000000-25000000+25000000</f>
        <v>50000000</v>
      </c>
      <c r="AD166" s="139"/>
      <c r="AE166" s="139"/>
      <c r="AF166" s="106">
        <f>+S166+T166+U166+V166+W166+X166+Y166+Z166+AA166+AB166+AC166+AD166+AE166</f>
        <v>50000000</v>
      </c>
      <c r="AH166" s="310"/>
    </row>
    <row r="167" spans="1:34" ht="48.75" customHeight="1" x14ac:dyDescent="0.2">
      <c r="A167" s="281"/>
      <c r="B167" s="295"/>
      <c r="C167" s="246"/>
      <c r="D167" s="235"/>
      <c r="E167" s="235">
        <v>1709</v>
      </c>
      <c r="F167" s="410" t="s">
        <v>182</v>
      </c>
      <c r="G167" s="195" t="s">
        <v>545</v>
      </c>
      <c r="H167" s="129">
        <v>1709034</v>
      </c>
      <c r="I167" s="410" t="s">
        <v>546</v>
      </c>
      <c r="J167" s="195" t="s">
        <v>547</v>
      </c>
      <c r="K167" s="200" t="s">
        <v>546</v>
      </c>
      <c r="L167" s="195" t="s">
        <v>141</v>
      </c>
      <c r="M167" s="195">
        <v>10</v>
      </c>
      <c r="N167" s="195">
        <v>1</v>
      </c>
      <c r="O167" s="326">
        <v>1</v>
      </c>
      <c r="P167" s="471"/>
      <c r="Q167" s="470"/>
      <c r="R167" s="486"/>
      <c r="S167" s="112"/>
      <c r="T167" s="112"/>
      <c r="U167" s="112"/>
      <c r="V167" s="112"/>
      <c r="W167" s="112"/>
      <c r="X167" s="112"/>
      <c r="Y167" s="112"/>
      <c r="Z167" s="112"/>
      <c r="AA167" s="112"/>
      <c r="AB167" s="112"/>
      <c r="AC167" s="367">
        <f>50000000-25000000</f>
        <v>25000000</v>
      </c>
      <c r="AD167" s="139"/>
      <c r="AE167" s="139"/>
      <c r="AF167" s="106">
        <f>+S167+T167+U167+V167+W167+X167+Y167+Z167+AA167+AB167+AC167+AD167+AE167</f>
        <v>25000000</v>
      </c>
      <c r="AH167" s="310"/>
    </row>
    <row r="168" spans="1:34" ht="23.25" customHeight="1" x14ac:dyDescent="0.2">
      <c r="A168" s="281"/>
      <c r="B168" s="434"/>
      <c r="C168" s="126">
        <v>27</v>
      </c>
      <c r="D168" s="101">
        <v>3502</v>
      </c>
      <c r="E168" s="424" t="s">
        <v>189</v>
      </c>
      <c r="F168" s="100"/>
      <c r="G168" s="101"/>
      <c r="H168" s="102"/>
      <c r="I168" s="100"/>
      <c r="J168" s="101"/>
      <c r="K168" s="100"/>
      <c r="L168" s="103"/>
      <c r="M168" s="103"/>
      <c r="N168" s="101"/>
      <c r="O168" s="101"/>
      <c r="P168" s="274"/>
      <c r="Q168" s="101"/>
      <c r="R168" s="100"/>
      <c r="S168" s="105">
        <f t="shared" ref="S168:AF168" si="66">SUM(S169:S170)</f>
        <v>0</v>
      </c>
      <c r="T168" s="105">
        <f t="shared" si="66"/>
        <v>0</v>
      </c>
      <c r="U168" s="105">
        <f t="shared" si="66"/>
        <v>0</v>
      </c>
      <c r="V168" s="105">
        <f t="shared" si="66"/>
        <v>0</v>
      </c>
      <c r="W168" s="105">
        <f t="shared" si="66"/>
        <v>0</v>
      </c>
      <c r="X168" s="105">
        <f t="shared" si="66"/>
        <v>0</v>
      </c>
      <c r="Y168" s="105">
        <f t="shared" si="66"/>
        <v>0</v>
      </c>
      <c r="Z168" s="105">
        <f t="shared" si="66"/>
        <v>0</v>
      </c>
      <c r="AA168" s="105">
        <f t="shared" si="66"/>
        <v>0</v>
      </c>
      <c r="AB168" s="105">
        <f t="shared" si="66"/>
        <v>0</v>
      </c>
      <c r="AC168" s="105">
        <f t="shared" si="66"/>
        <v>40000000</v>
      </c>
      <c r="AD168" s="105">
        <f t="shared" si="66"/>
        <v>0</v>
      </c>
      <c r="AE168" s="105">
        <f t="shared" si="66"/>
        <v>0</v>
      </c>
      <c r="AF168" s="105">
        <f t="shared" si="66"/>
        <v>40000000</v>
      </c>
      <c r="AH168" s="310"/>
    </row>
    <row r="169" spans="1:34" ht="81" customHeight="1" x14ac:dyDescent="0.2">
      <c r="A169" s="281"/>
      <c r="B169" s="434"/>
      <c r="C169" s="240"/>
      <c r="D169" s="412"/>
      <c r="E169" s="412">
        <v>3502</v>
      </c>
      <c r="F169" s="410" t="s">
        <v>548</v>
      </c>
      <c r="G169" s="195" t="s">
        <v>549</v>
      </c>
      <c r="H169" s="129">
        <v>3502017</v>
      </c>
      <c r="I169" s="410" t="s">
        <v>550</v>
      </c>
      <c r="J169" s="195" t="s">
        <v>551</v>
      </c>
      <c r="K169" s="200" t="s">
        <v>552</v>
      </c>
      <c r="L169" s="195" t="s">
        <v>51</v>
      </c>
      <c r="M169" s="195">
        <v>6</v>
      </c>
      <c r="N169" s="195">
        <v>6</v>
      </c>
      <c r="O169" s="326">
        <v>2</v>
      </c>
      <c r="P169" s="471" t="s">
        <v>186</v>
      </c>
      <c r="Q169" s="470" t="s">
        <v>480</v>
      </c>
      <c r="R169" s="471" t="s">
        <v>481</v>
      </c>
      <c r="S169" s="2"/>
      <c r="T169" s="2"/>
      <c r="U169" s="2"/>
      <c r="V169" s="2"/>
      <c r="W169" s="2"/>
      <c r="X169" s="2"/>
      <c r="Y169" s="2"/>
      <c r="Z169" s="2"/>
      <c r="AA169" s="2"/>
      <c r="AB169" s="2"/>
      <c r="AC169" s="367">
        <v>22138800</v>
      </c>
      <c r="AD169" s="139"/>
      <c r="AE169" s="139"/>
      <c r="AF169" s="106">
        <f>+S169+T169+U169+V169+W169+X169+Y169+Z169+AA169+AB169+AC169+AD169+AE169</f>
        <v>22138800</v>
      </c>
      <c r="AH169" s="310"/>
    </row>
    <row r="170" spans="1:34" s="92" customFormat="1" ht="54" customHeight="1" x14ac:dyDescent="0.25">
      <c r="A170" s="293"/>
      <c r="B170" s="288"/>
      <c r="C170" s="240"/>
      <c r="D170" s="412"/>
      <c r="E170" s="412">
        <v>3502</v>
      </c>
      <c r="F170" s="410" t="s">
        <v>548</v>
      </c>
      <c r="G170" s="412" t="s">
        <v>413</v>
      </c>
      <c r="H170" s="129">
        <v>3502007</v>
      </c>
      <c r="I170" s="410" t="s">
        <v>553</v>
      </c>
      <c r="J170" s="412" t="s">
        <v>414</v>
      </c>
      <c r="K170" s="410" t="s">
        <v>415</v>
      </c>
      <c r="L170" s="412" t="s">
        <v>51</v>
      </c>
      <c r="M170" s="412">
        <v>5</v>
      </c>
      <c r="N170" s="412">
        <v>5</v>
      </c>
      <c r="O170" s="253">
        <v>3</v>
      </c>
      <c r="P170" s="471"/>
      <c r="Q170" s="470"/>
      <c r="R170" s="471"/>
      <c r="S170" s="2"/>
      <c r="T170" s="2"/>
      <c r="U170" s="2"/>
      <c r="V170" s="2"/>
      <c r="W170" s="2"/>
      <c r="X170" s="2"/>
      <c r="Y170" s="2"/>
      <c r="Z170" s="2"/>
      <c r="AA170" s="2"/>
      <c r="AB170" s="2"/>
      <c r="AC170" s="367">
        <f>17861200</f>
        <v>17861200</v>
      </c>
      <c r="AD170" s="139"/>
      <c r="AE170" s="139"/>
      <c r="AF170" s="106">
        <f>+S170+T170+U170+V170+W170+X170+Y170+Z170+AA170+AB170+AC170+AD170+AE170</f>
        <v>17861200</v>
      </c>
      <c r="AH170" s="310"/>
    </row>
    <row r="171" spans="1:34" ht="24.75" customHeight="1" x14ac:dyDescent="0.2">
      <c r="A171" s="281"/>
      <c r="B171" s="170">
        <v>3</v>
      </c>
      <c r="C171" s="93" t="s">
        <v>3</v>
      </c>
      <c r="D171" s="94"/>
      <c r="E171" s="94"/>
      <c r="F171" s="95"/>
      <c r="G171" s="96"/>
      <c r="H171" s="97"/>
      <c r="I171" s="95"/>
      <c r="J171" s="96"/>
      <c r="K171" s="95"/>
      <c r="L171" s="98"/>
      <c r="M171" s="98"/>
      <c r="N171" s="96"/>
      <c r="O171" s="96"/>
      <c r="P171" s="276"/>
      <c r="Q171" s="96"/>
      <c r="R171" s="95"/>
      <c r="S171" s="99">
        <f t="shared" ref="S171:AF171" si="67">+S172+S174+S180+S182+S184</f>
        <v>0</v>
      </c>
      <c r="T171" s="99">
        <f t="shared" si="67"/>
        <v>0</v>
      </c>
      <c r="U171" s="99">
        <f t="shared" si="67"/>
        <v>0</v>
      </c>
      <c r="V171" s="99">
        <f t="shared" si="67"/>
        <v>0</v>
      </c>
      <c r="W171" s="99">
        <f t="shared" si="67"/>
        <v>0</v>
      </c>
      <c r="X171" s="99">
        <f t="shared" si="67"/>
        <v>0</v>
      </c>
      <c r="Y171" s="99">
        <f t="shared" si="67"/>
        <v>0</v>
      </c>
      <c r="Z171" s="99">
        <f t="shared" si="67"/>
        <v>0</v>
      </c>
      <c r="AA171" s="99">
        <f t="shared" si="67"/>
        <v>0</v>
      </c>
      <c r="AB171" s="99">
        <f t="shared" si="67"/>
        <v>0</v>
      </c>
      <c r="AC171" s="99">
        <f t="shared" si="67"/>
        <v>736049867</v>
      </c>
      <c r="AD171" s="99">
        <f t="shared" si="67"/>
        <v>0</v>
      </c>
      <c r="AE171" s="99">
        <f t="shared" si="67"/>
        <v>0</v>
      </c>
      <c r="AF171" s="99">
        <f t="shared" si="67"/>
        <v>736049867</v>
      </c>
      <c r="AH171" s="310"/>
    </row>
    <row r="172" spans="1:34" ht="19.5" customHeight="1" x14ac:dyDescent="0.2">
      <c r="A172" s="281"/>
      <c r="B172" s="433"/>
      <c r="C172" s="126">
        <v>20</v>
      </c>
      <c r="D172" s="101" t="s">
        <v>554</v>
      </c>
      <c r="E172" s="424" t="s">
        <v>555</v>
      </c>
      <c r="F172" s="100"/>
      <c r="G172" s="101"/>
      <c r="H172" s="102"/>
      <c r="I172" s="100"/>
      <c r="J172" s="101"/>
      <c r="K172" s="100"/>
      <c r="L172" s="103"/>
      <c r="M172" s="103"/>
      <c r="N172" s="101"/>
      <c r="O172" s="101"/>
      <c r="P172" s="274"/>
      <c r="Q172" s="101"/>
      <c r="R172" s="100"/>
      <c r="S172" s="105">
        <f t="shared" ref="S172:AF172" si="68">SUM(S173:S173)</f>
        <v>0</v>
      </c>
      <c r="T172" s="105">
        <f t="shared" si="68"/>
        <v>0</v>
      </c>
      <c r="U172" s="105">
        <f t="shared" si="68"/>
        <v>0</v>
      </c>
      <c r="V172" s="105">
        <f t="shared" si="68"/>
        <v>0</v>
      </c>
      <c r="W172" s="105">
        <f t="shared" si="68"/>
        <v>0</v>
      </c>
      <c r="X172" s="105">
        <f t="shared" si="68"/>
        <v>0</v>
      </c>
      <c r="Y172" s="105">
        <f t="shared" si="68"/>
        <v>0</v>
      </c>
      <c r="Z172" s="105">
        <f t="shared" si="68"/>
        <v>0</v>
      </c>
      <c r="AA172" s="105">
        <f t="shared" si="68"/>
        <v>0</v>
      </c>
      <c r="AB172" s="105">
        <f t="shared" si="68"/>
        <v>0</v>
      </c>
      <c r="AC172" s="105">
        <f t="shared" si="68"/>
        <v>40000000</v>
      </c>
      <c r="AD172" s="105">
        <f t="shared" si="68"/>
        <v>0</v>
      </c>
      <c r="AE172" s="105">
        <f t="shared" si="68"/>
        <v>0</v>
      </c>
      <c r="AF172" s="105">
        <f t="shared" si="68"/>
        <v>40000000</v>
      </c>
      <c r="AH172" s="310"/>
    </row>
    <row r="173" spans="1:34" ht="86.25" customHeight="1" x14ac:dyDescent="0.2">
      <c r="A173" s="281"/>
      <c r="B173" s="434"/>
      <c r="C173" s="88"/>
      <c r="D173" s="256"/>
      <c r="E173" s="235">
        <v>3201</v>
      </c>
      <c r="F173" s="410" t="s">
        <v>203</v>
      </c>
      <c r="G173" s="195" t="s">
        <v>556</v>
      </c>
      <c r="H173" s="129">
        <v>3201013</v>
      </c>
      <c r="I173" s="410" t="s">
        <v>557</v>
      </c>
      <c r="J173" s="195" t="s">
        <v>558</v>
      </c>
      <c r="K173" s="200" t="s">
        <v>1317</v>
      </c>
      <c r="L173" s="195" t="s">
        <v>141</v>
      </c>
      <c r="M173" s="195">
        <v>4</v>
      </c>
      <c r="N173" s="195">
        <v>1</v>
      </c>
      <c r="O173" s="326">
        <v>1</v>
      </c>
      <c r="P173" s="410" t="s">
        <v>559</v>
      </c>
      <c r="Q173" s="140" t="s">
        <v>560</v>
      </c>
      <c r="R173" s="410" t="s">
        <v>561</v>
      </c>
      <c r="S173" s="109"/>
      <c r="T173" s="109"/>
      <c r="U173" s="109"/>
      <c r="V173" s="109"/>
      <c r="W173" s="109"/>
      <c r="X173" s="109"/>
      <c r="Y173" s="109"/>
      <c r="Z173" s="109"/>
      <c r="AA173" s="109"/>
      <c r="AB173" s="109"/>
      <c r="AC173" s="367">
        <v>40000000</v>
      </c>
      <c r="AD173" s="139"/>
      <c r="AE173" s="139"/>
      <c r="AF173" s="106">
        <f>+S173+T173+U173+V173+W173+X173+Y173+Z173+AA173+AB173+AC173+AD173+AE173</f>
        <v>40000000</v>
      </c>
      <c r="AH173" s="310"/>
    </row>
    <row r="174" spans="1:34" ht="21.75" customHeight="1" x14ac:dyDescent="0.2">
      <c r="A174" s="281"/>
      <c r="B174" s="434"/>
      <c r="C174" s="126">
        <v>21</v>
      </c>
      <c r="D174" s="101" t="s">
        <v>201</v>
      </c>
      <c r="E174" s="424" t="s">
        <v>202</v>
      </c>
      <c r="F174" s="100"/>
      <c r="G174" s="101"/>
      <c r="H174" s="102"/>
      <c r="I174" s="100"/>
      <c r="J174" s="101"/>
      <c r="K174" s="100"/>
      <c r="L174" s="103"/>
      <c r="M174" s="103"/>
      <c r="N174" s="101"/>
      <c r="O174" s="101"/>
      <c r="P174" s="274"/>
      <c r="Q174" s="101"/>
      <c r="R174" s="100"/>
      <c r="S174" s="105">
        <f t="shared" ref="S174:AF174" si="69">SUM(S175:S179)</f>
        <v>0</v>
      </c>
      <c r="T174" s="105">
        <f t="shared" si="69"/>
        <v>0</v>
      </c>
      <c r="U174" s="105">
        <f t="shared" si="69"/>
        <v>0</v>
      </c>
      <c r="V174" s="105">
        <f t="shared" si="69"/>
        <v>0</v>
      </c>
      <c r="W174" s="105">
        <f t="shared" si="69"/>
        <v>0</v>
      </c>
      <c r="X174" s="105">
        <f t="shared" si="69"/>
        <v>0</v>
      </c>
      <c r="Y174" s="105">
        <f t="shared" si="69"/>
        <v>0</v>
      </c>
      <c r="Z174" s="105">
        <f t="shared" si="69"/>
        <v>0</v>
      </c>
      <c r="AA174" s="105">
        <f t="shared" si="69"/>
        <v>0</v>
      </c>
      <c r="AB174" s="105">
        <f t="shared" si="69"/>
        <v>0</v>
      </c>
      <c r="AC174" s="105">
        <f t="shared" si="69"/>
        <v>600049867</v>
      </c>
      <c r="AD174" s="105">
        <f t="shared" si="69"/>
        <v>0</v>
      </c>
      <c r="AE174" s="105">
        <f t="shared" si="69"/>
        <v>0</v>
      </c>
      <c r="AF174" s="105">
        <f t="shared" si="69"/>
        <v>600049867</v>
      </c>
      <c r="AH174" s="310"/>
    </row>
    <row r="175" spans="1:34" ht="98.25" customHeight="1" x14ac:dyDescent="0.2">
      <c r="A175" s="281"/>
      <c r="B175" s="434"/>
      <c r="C175" s="423"/>
      <c r="D175" s="421"/>
      <c r="E175" s="412">
        <v>3202</v>
      </c>
      <c r="F175" s="410" t="s">
        <v>203</v>
      </c>
      <c r="G175" s="195" t="s">
        <v>562</v>
      </c>
      <c r="H175" s="129">
        <v>3202017</v>
      </c>
      <c r="I175" s="410" t="s">
        <v>563</v>
      </c>
      <c r="J175" s="195" t="s">
        <v>564</v>
      </c>
      <c r="K175" s="200" t="s">
        <v>1298</v>
      </c>
      <c r="L175" s="195" t="s">
        <v>51</v>
      </c>
      <c r="M175" s="204">
        <v>1</v>
      </c>
      <c r="N175" s="204">
        <v>1</v>
      </c>
      <c r="O175" s="221">
        <v>1</v>
      </c>
      <c r="P175" s="277" t="s">
        <v>559</v>
      </c>
      <c r="Q175" s="412" t="s">
        <v>565</v>
      </c>
      <c r="R175" s="410" t="s">
        <v>1318</v>
      </c>
      <c r="S175" s="2"/>
      <c r="T175" s="2"/>
      <c r="U175" s="2"/>
      <c r="V175" s="2"/>
      <c r="W175" s="2"/>
      <c r="X175" s="2"/>
      <c r="Y175" s="2"/>
      <c r="Z175" s="2"/>
      <c r="AA175" s="2"/>
      <c r="AB175" s="2"/>
      <c r="AC175" s="367">
        <v>80000000</v>
      </c>
      <c r="AD175" s="139"/>
      <c r="AE175" s="139"/>
      <c r="AF175" s="106">
        <f>+S175+T175+U175+V175+W175+X175+Y175+Z175+AA175+AB175+AC175+AD175+AE175</f>
        <v>80000000</v>
      </c>
      <c r="AH175" s="310"/>
    </row>
    <row r="176" spans="1:34" ht="66" customHeight="1" x14ac:dyDescent="0.2">
      <c r="A176" s="281"/>
      <c r="B176" s="434"/>
      <c r="C176" s="423"/>
      <c r="D176" s="421"/>
      <c r="E176" s="412">
        <v>3202</v>
      </c>
      <c r="F176" s="410" t="s">
        <v>203</v>
      </c>
      <c r="G176" s="195" t="s">
        <v>567</v>
      </c>
      <c r="H176" s="129">
        <v>3202037</v>
      </c>
      <c r="I176" s="410" t="s">
        <v>568</v>
      </c>
      <c r="J176" s="195" t="s">
        <v>569</v>
      </c>
      <c r="K176" s="200" t="s">
        <v>570</v>
      </c>
      <c r="L176" s="195" t="s">
        <v>141</v>
      </c>
      <c r="M176" s="204">
        <v>200</v>
      </c>
      <c r="N176" s="195">
        <v>30</v>
      </c>
      <c r="O176" s="326">
        <v>21</v>
      </c>
      <c r="P176" s="471" t="s">
        <v>559</v>
      </c>
      <c r="Q176" s="470" t="s">
        <v>571</v>
      </c>
      <c r="R176" s="471" t="s">
        <v>572</v>
      </c>
      <c r="S176" s="2"/>
      <c r="T176" s="2"/>
      <c r="U176" s="2"/>
      <c r="V176" s="2"/>
      <c r="W176" s="2"/>
      <c r="X176" s="2"/>
      <c r="Y176" s="2"/>
      <c r="Z176" s="2"/>
      <c r="AA176" s="2"/>
      <c r="AB176" s="2"/>
      <c r="AC176" s="367">
        <f>128662000-27195334</f>
        <v>101466666</v>
      </c>
      <c r="AD176" s="139"/>
      <c r="AE176" s="139"/>
      <c r="AF176" s="106">
        <f>+S176+T176+U176+V176+W176+X176+Y176+Z176+AA176+AB176+AC176+AD176+AE176</f>
        <v>101466666</v>
      </c>
      <c r="AH176" s="310"/>
    </row>
    <row r="177" spans="1:35" ht="86.25" customHeight="1" x14ac:dyDescent="0.2">
      <c r="A177" s="281"/>
      <c r="B177" s="434"/>
      <c r="C177" s="423"/>
      <c r="D177" s="421"/>
      <c r="E177" s="412">
        <v>3202</v>
      </c>
      <c r="F177" s="410" t="s">
        <v>203</v>
      </c>
      <c r="G177" s="195" t="s">
        <v>573</v>
      </c>
      <c r="H177" s="235" t="s">
        <v>45</v>
      </c>
      <c r="I177" s="410" t="s">
        <v>1339</v>
      </c>
      <c r="J177" s="195" t="s">
        <v>574</v>
      </c>
      <c r="K177" s="200" t="s">
        <v>575</v>
      </c>
      <c r="L177" s="195" t="s">
        <v>141</v>
      </c>
      <c r="M177" s="197">
        <v>200</v>
      </c>
      <c r="N177" s="195">
        <v>20</v>
      </c>
      <c r="O177" s="326">
        <v>20</v>
      </c>
      <c r="P177" s="471"/>
      <c r="Q177" s="470"/>
      <c r="R177" s="471"/>
      <c r="S177" s="2"/>
      <c r="T177" s="2"/>
      <c r="U177" s="2"/>
      <c r="V177" s="2"/>
      <c r="W177" s="2"/>
      <c r="X177" s="2"/>
      <c r="Y177" s="2"/>
      <c r="Z177" s="2"/>
      <c r="AA177" s="2"/>
      <c r="AB177" s="2"/>
      <c r="AC177" s="367">
        <f>1114208927.55-0.3-87936734.91-677688991.34</f>
        <v>348583201</v>
      </c>
      <c r="AD177" s="139"/>
      <c r="AE177" s="139"/>
      <c r="AF177" s="106">
        <f>+S177+T177+U177+V177+W177+X177+Y177+Z177+AA177+AB177+AC177+AD177+AE177</f>
        <v>348583201</v>
      </c>
      <c r="AH177" s="310"/>
    </row>
    <row r="178" spans="1:35" ht="86.25" customHeight="1" x14ac:dyDescent="0.2">
      <c r="A178" s="281"/>
      <c r="B178" s="434"/>
      <c r="C178" s="423"/>
      <c r="D178" s="421"/>
      <c r="E178" s="412">
        <v>3202</v>
      </c>
      <c r="F178" s="410" t="s">
        <v>203</v>
      </c>
      <c r="G178" s="195" t="s">
        <v>576</v>
      </c>
      <c r="H178" s="412" t="s">
        <v>45</v>
      </c>
      <c r="I178" s="410" t="s">
        <v>577</v>
      </c>
      <c r="J178" s="195" t="s">
        <v>578</v>
      </c>
      <c r="K178" s="200" t="s">
        <v>579</v>
      </c>
      <c r="L178" s="195" t="s">
        <v>51</v>
      </c>
      <c r="M178" s="197">
        <v>1</v>
      </c>
      <c r="N178" s="197">
        <v>1</v>
      </c>
      <c r="O178" s="219">
        <v>1</v>
      </c>
      <c r="P178" s="277" t="s">
        <v>559</v>
      </c>
      <c r="Q178" s="412" t="s">
        <v>580</v>
      </c>
      <c r="R178" s="410" t="s">
        <v>581</v>
      </c>
      <c r="S178" s="2"/>
      <c r="T178" s="2"/>
      <c r="U178" s="2"/>
      <c r="V178" s="2"/>
      <c r="W178" s="2"/>
      <c r="X178" s="2"/>
      <c r="Y178" s="2"/>
      <c r="Z178" s="2"/>
      <c r="AA178" s="2"/>
      <c r="AB178" s="2"/>
      <c r="AC178" s="367">
        <v>30000000</v>
      </c>
      <c r="AD178" s="139"/>
      <c r="AE178" s="139"/>
      <c r="AF178" s="106">
        <f>+S178+T178+U178+V178+W178+X178+Y178+Z178+AA178+AB178+AC178+AD178+AE178</f>
        <v>30000000</v>
      </c>
      <c r="AH178" s="310"/>
    </row>
    <row r="179" spans="1:35" ht="86.25" customHeight="1" x14ac:dyDescent="0.2">
      <c r="A179" s="281"/>
      <c r="B179" s="434"/>
      <c r="C179" s="423"/>
      <c r="D179" s="421"/>
      <c r="E179" s="412">
        <v>3202</v>
      </c>
      <c r="F179" s="410" t="s">
        <v>203</v>
      </c>
      <c r="G179" s="195" t="s">
        <v>582</v>
      </c>
      <c r="H179" s="412" t="s">
        <v>45</v>
      </c>
      <c r="I179" s="410" t="s">
        <v>583</v>
      </c>
      <c r="J179" s="195" t="s">
        <v>584</v>
      </c>
      <c r="K179" s="200" t="s">
        <v>585</v>
      </c>
      <c r="L179" s="195" t="s">
        <v>141</v>
      </c>
      <c r="M179" s="197">
        <v>4</v>
      </c>
      <c r="N179" s="197">
        <v>1</v>
      </c>
      <c r="O179" s="327">
        <v>1</v>
      </c>
      <c r="P179" s="277" t="s">
        <v>559</v>
      </c>
      <c r="Q179" s="412" t="s">
        <v>586</v>
      </c>
      <c r="R179" s="410" t="s">
        <v>1340</v>
      </c>
      <c r="S179" s="2"/>
      <c r="T179" s="2"/>
      <c r="U179" s="2"/>
      <c r="V179" s="2"/>
      <c r="W179" s="2"/>
      <c r="X179" s="2"/>
      <c r="Y179" s="2"/>
      <c r="Z179" s="2"/>
      <c r="AA179" s="2"/>
      <c r="AB179" s="2"/>
      <c r="AC179" s="367">
        <v>40000000</v>
      </c>
      <c r="AD179" s="139"/>
      <c r="AE179" s="139"/>
      <c r="AF179" s="106">
        <f>+S179+T179+U179+V179+W179+X179+Y179+Z179+AA179+AB179+AC179+AD179+AE179</f>
        <v>40000000</v>
      </c>
      <c r="AH179" s="310"/>
    </row>
    <row r="180" spans="1:35" ht="21" customHeight="1" x14ac:dyDescent="0.2">
      <c r="A180" s="281"/>
      <c r="B180" s="434"/>
      <c r="C180" s="126">
        <v>22</v>
      </c>
      <c r="D180" s="101" t="s">
        <v>588</v>
      </c>
      <c r="E180" s="424" t="s">
        <v>589</v>
      </c>
      <c r="F180" s="100"/>
      <c r="G180" s="101"/>
      <c r="H180" s="102"/>
      <c r="I180" s="100"/>
      <c r="J180" s="101"/>
      <c r="K180" s="100"/>
      <c r="L180" s="103"/>
      <c r="M180" s="103"/>
      <c r="N180" s="101"/>
      <c r="O180" s="101"/>
      <c r="P180" s="274"/>
      <c r="Q180" s="101"/>
      <c r="R180" s="100"/>
      <c r="S180" s="105">
        <f t="shared" ref="S180:AF180" si="70">SUM(S181:S181)</f>
        <v>0</v>
      </c>
      <c r="T180" s="105">
        <f t="shared" si="70"/>
        <v>0</v>
      </c>
      <c r="U180" s="105">
        <f t="shared" si="70"/>
        <v>0</v>
      </c>
      <c r="V180" s="105">
        <f t="shared" si="70"/>
        <v>0</v>
      </c>
      <c r="W180" s="105">
        <f t="shared" si="70"/>
        <v>0</v>
      </c>
      <c r="X180" s="105">
        <f t="shared" si="70"/>
        <v>0</v>
      </c>
      <c r="Y180" s="105">
        <f t="shared" si="70"/>
        <v>0</v>
      </c>
      <c r="Z180" s="105">
        <f t="shared" si="70"/>
        <v>0</v>
      </c>
      <c r="AA180" s="105">
        <f t="shared" si="70"/>
        <v>0</v>
      </c>
      <c r="AB180" s="105">
        <f t="shared" si="70"/>
        <v>0</v>
      </c>
      <c r="AC180" s="369">
        <f t="shared" si="70"/>
        <v>26000000</v>
      </c>
      <c r="AD180" s="105">
        <f t="shared" si="70"/>
        <v>0</v>
      </c>
      <c r="AE180" s="105">
        <f t="shared" si="70"/>
        <v>0</v>
      </c>
      <c r="AF180" s="105">
        <f t="shared" si="70"/>
        <v>26000000</v>
      </c>
      <c r="AH180" s="310"/>
    </row>
    <row r="181" spans="1:35" ht="62.25" customHeight="1" x14ac:dyDescent="0.2">
      <c r="A181" s="281"/>
      <c r="B181" s="434"/>
      <c r="C181" s="423"/>
      <c r="D181" s="421"/>
      <c r="E181" s="412">
        <v>3204</v>
      </c>
      <c r="F181" s="410" t="s">
        <v>203</v>
      </c>
      <c r="G181" s="195" t="s">
        <v>590</v>
      </c>
      <c r="H181" s="129">
        <v>3204012</v>
      </c>
      <c r="I181" s="410" t="s">
        <v>591</v>
      </c>
      <c r="J181" s="326" t="s">
        <v>592</v>
      </c>
      <c r="K181" s="229" t="s">
        <v>593</v>
      </c>
      <c r="L181" s="326" t="s">
        <v>141</v>
      </c>
      <c r="M181" s="221">
        <v>12</v>
      </c>
      <c r="N181" s="326">
        <v>1</v>
      </c>
      <c r="O181" s="435">
        <v>1</v>
      </c>
      <c r="P181" s="410" t="s">
        <v>559</v>
      </c>
      <c r="Q181" s="412" t="s">
        <v>594</v>
      </c>
      <c r="R181" s="410" t="s">
        <v>595</v>
      </c>
      <c r="S181" s="2"/>
      <c r="T181" s="2"/>
      <c r="U181" s="2"/>
      <c r="V181" s="2"/>
      <c r="W181" s="2"/>
      <c r="X181" s="2"/>
      <c r="Y181" s="2"/>
      <c r="Z181" s="2"/>
      <c r="AA181" s="2"/>
      <c r="AB181" s="2"/>
      <c r="AC181" s="367">
        <v>26000000</v>
      </c>
      <c r="AD181" s="139"/>
      <c r="AE181" s="139"/>
      <c r="AF181" s="106">
        <f>+S181+T181+U181+V181+W181+X181+Y181+Z181+AA181+AB181+AC181+AD181+AE181</f>
        <v>26000000</v>
      </c>
      <c r="AH181" s="310"/>
    </row>
    <row r="182" spans="1:35" ht="23.25" customHeight="1" x14ac:dyDescent="0.2">
      <c r="A182" s="281"/>
      <c r="B182" s="434"/>
      <c r="C182" s="126">
        <v>23</v>
      </c>
      <c r="D182" s="101">
        <v>3205</v>
      </c>
      <c r="E182" s="424" t="s">
        <v>207</v>
      </c>
      <c r="F182" s="100"/>
      <c r="G182" s="101"/>
      <c r="H182" s="102"/>
      <c r="I182" s="100"/>
      <c r="J182" s="101"/>
      <c r="K182" s="100"/>
      <c r="L182" s="103"/>
      <c r="M182" s="103"/>
      <c r="N182" s="101"/>
      <c r="O182" s="101"/>
      <c r="P182" s="274"/>
      <c r="Q182" s="101"/>
      <c r="R182" s="100"/>
      <c r="S182" s="105">
        <f t="shared" ref="S182:AF182" si="71">SUM(S183:S183)</f>
        <v>0</v>
      </c>
      <c r="T182" s="105">
        <f t="shared" si="71"/>
        <v>0</v>
      </c>
      <c r="U182" s="105">
        <f t="shared" si="71"/>
        <v>0</v>
      </c>
      <c r="V182" s="105">
        <f t="shared" si="71"/>
        <v>0</v>
      </c>
      <c r="W182" s="105">
        <f t="shared" si="71"/>
        <v>0</v>
      </c>
      <c r="X182" s="105">
        <f t="shared" si="71"/>
        <v>0</v>
      </c>
      <c r="Y182" s="105">
        <f t="shared" si="71"/>
        <v>0</v>
      </c>
      <c r="Z182" s="105">
        <f t="shared" si="71"/>
        <v>0</v>
      </c>
      <c r="AA182" s="105">
        <f t="shared" si="71"/>
        <v>0</v>
      </c>
      <c r="AB182" s="105">
        <f t="shared" si="71"/>
        <v>0</v>
      </c>
      <c r="AC182" s="369">
        <f t="shared" si="71"/>
        <v>50000000</v>
      </c>
      <c r="AD182" s="105">
        <f t="shared" si="71"/>
        <v>0</v>
      </c>
      <c r="AE182" s="105">
        <f t="shared" si="71"/>
        <v>0</v>
      </c>
      <c r="AF182" s="105">
        <f t="shared" si="71"/>
        <v>50000000</v>
      </c>
      <c r="AH182" s="310"/>
    </row>
    <row r="183" spans="1:35" ht="63" customHeight="1" x14ac:dyDescent="0.2">
      <c r="A183" s="281"/>
      <c r="B183" s="434"/>
      <c r="C183" s="423"/>
      <c r="D183" s="421"/>
      <c r="E183" s="412">
        <v>3205</v>
      </c>
      <c r="F183" s="410" t="s">
        <v>203</v>
      </c>
      <c r="G183" s="412" t="s">
        <v>597</v>
      </c>
      <c r="H183" s="129">
        <v>3205010</v>
      </c>
      <c r="I183" s="410" t="s">
        <v>596</v>
      </c>
      <c r="J183" s="412" t="s">
        <v>597</v>
      </c>
      <c r="K183" s="410" t="s">
        <v>598</v>
      </c>
      <c r="L183" s="412" t="s">
        <v>141</v>
      </c>
      <c r="M183" s="412">
        <v>4</v>
      </c>
      <c r="N183" s="412">
        <v>1</v>
      </c>
      <c r="O183" s="253">
        <v>1</v>
      </c>
      <c r="P183" s="410" t="s">
        <v>559</v>
      </c>
      <c r="Q183" s="412" t="s">
        <v>586</v>
      </c>
      <c r="R183" s="410" t="s">
        <v>1340</v>
      </c>
      <c r="S183" s="2"/>
      <c r="T183" s="2"/>
      <c r="U183" s="2"/>
      <c r="V183" s="2"/>
      <c r="W183" s="2"/>
      <c r="X183" s="2"/>
      <c r="Y183" s="2"/>
      <c r="Z183" s="2"/>
      <c r="AA183" s="2"/>
      <c r="AB183" s="2"/>
      <c r="AC183" s="367">
        <v>50000000</v>
      </c>
      <c r="AD183" s="139"/>
      <c r="AE183" s="139"/>
      <c r="AF183" s="106">
        <f>+S183+T183+U183+V183+W183+X183+Y183+Z183+AA183+AB183+AC183+AD183+AE183</f>
        <v>50000000</v>
      </c>
      <c r="AH183" s="310"/>
    </row>
    <row r="184" spans="1:35" ht="21" customHeight="1" x14ac:dyDescent="0.2">
      <c r="A184" s="281"/>
      <c r="B184" s="434"/>
      <c r="C184" s="126">
        <v>24</v>
      </c>
      <c r="D184" s="101" t="s">
        <v>599</v>
      </c>
      <c r="E184" s="424" t="s">
        <v>600</v>
      </c>
      <c r="F184" s="100"/>
      <c r="G184" s="101"/>
      <c r="H184" s="102"/>
      <c r="I184" s="100"/>
      <c r="J184" s="101"/>
      <c r="K184" s="100"/>
      <c r="L184" s="103"/>
      <c r="M184" s="103"/>
      <c r="N184" s="101"/>
      <c r="O184" s="101"/>
      <c r="P184" s="274"/>
      <c r="Q184" s="101"/>
      <c r="R184" s="100"/>
      <c r="S184" s="105">
        <f t="shared" ref="S184:AF184" si="72">SUM(S185:S185)</f>
        <v>0</v>
      </c>
      <c r="T184" s="105">
        <f t="shared" si="72"/>
        <v>0</v>
      </c>
      <c r="U184" s="105">
        <f t="shared" si="72"/>
        <v>0</v>
      </c>
      <c r="V184" s="105">
        <f t="shared" si="72"/>
        <v>0</v>
      </c>
      <c r="W184" s="105">
        <f t="shared" si="72"/>
        <v>0</v>
      </c>
      <c r="X184" s="105">
        <f t="shared" si="72"/>
        <v>0</v>
      </c>
      <c r="Y184" s="105">
        <f t="shared" si="72"/>
        <v>0</v>
      </c>
      <c r="Z184" s="105">
        <f t="shared" si="72"/>
        <v>0</v>
      </c>
      <c r="AA184" s="105">
        <f t="shared" si="72"/>
        <v>0</v>
      </c>
      <c r="AB184" s="105">
        <f t="shared" si="72"/>
        <v>0</v>
      </c>
      <c r="AC184" s="369">
        <f t="shared" si="72"/>
        <v>20000000</v>
      </c>
      <c r="AD184" s="105">
        <f t="shared" si="72"/>
        <v>0</v>
      </c>
      <c r="AE184" s="105">
        <f t="shared" si="72"/>
        <v>0</v>
      </c>
      <c r="AF184" s="105">
        <f t="shared" si="72"/>
        <v>20000000</v>
      </c>
      <c r="AH184" s="310"/>
    </row>
    <row r="185" spans="1:35" ht="78" customHeight="1" x14ac:dyDescent="0.2">
      <c r="A185" s="282"/>
      <c r="B185" s="441"/>
      <c r="C185" s="423"/>
      <c r="D185" s="421"/>
      <c r="E185" s="412">
        <v>3206</v>
      </c>
      <c r="F185" s="410" t="s">
        <v>203</v>
      </c>
      <c r="G185" s="195" t="s">
        <v>601</v>
      </c>
      <c r="H185" s="129">
        <v>3206014</v>
      </c>
      <c r="I185" s="410" t="s">
        <v>602</v>
      </c>
      <c r="J185" s="195" t="s">
        <v>603</v>
      </c>
      <c r="K185" s="200" t="s">
        <v>604</v>
      </c>
      <c r="L185" s="195" t="s">
        <v>141</v>
      </c>
      <c r="M185" s="204">
        <v>6000</v>
      </c>
      <c r="N185" s="195">
        <v>50</v>
      </c>
      <c r="O185" s="326">
        <v>50</v>
      </c>
      <c r="P185" s="410" t="s">
        <v>559</v>
      </c>
      <c r="Q185" s="412" t="s">
        <v>605</v>
      </c>
      <c r="R185" s="410" t="s">
        <v>1341</v>
      </c>
      <c r="S185" s="2"/>
      <c r="T185" s="2"/>
      <c r="U185" s="2"/>
      <c r="V185" s="2"/>
      <c r="W185" s="2"/>
      <c r="X185" s="2"/>
      <c r="Y185" s="2"/>
      <c r="Z185" s="2"/>
      <c r="AA185" s="2"/>
      <c r="AB185" s="2"/>
      <c r="AC185" s="367">
        <v>20000000</v>
      </c>
      <c r="AD185" s="139"/>
      <c r="AE185" s="139"/>
      <c r="AF185" s="106">
        <f>+S185+T185+U185+V185+W185+X185+Y185+Z185+AA185+AB185+AC185+AD185+AE185</f>
        <v>20000000</v>
      </c>
      <c r="AH185" s="310"/>
    </row>
    <row r="186" spans="1:35" ht="22.5" customHeight="1" x14ac:dyDescent="0.2">
      <c r="A186" s="135" t="s">
        <v>606</v>
      </c>
      <c r="B186" s="135"/>
      <c r="C186" s="135"/>
      <c r="D186" s="136"/>
      <c r="E186" s="136"/>
      <c r="F186" s="137"/>
      <c r="G186" s="138"/>
      <c r="H186" s="90"/>
      <c r="I186" s="137"/>
      <c r="J186" s="138"/>
      <c r="K186" s="137"/>
      <c r="L186" s="90"/>
      <c r="M186" s="90"/>
      <c r="N186" s="138"/>
      <c r="O186" s="138"/>
      <c r="P186" s="275"/>
      <c r="Q186" s="138"/>
      <c r="R186" s="137"/>
      <c r="S186" s="119">
        <f t="shared" ref="S186:AF186" si="73">S187</f>
        <v>0</v>
      </c>
      <c r="T186" s="119">
        <f t="shared" si="73"/>
        <v>0</v>
      </c>
      <c r="U186" s="119">
        <f t="shared" si="73"/>
        <v>0</v>
      </c>
      <c r="V186" s="119">
        <f t="shared" si="73"/>
        <v>0</v>
      </c>
      <c r="W186" s="119">
        <f t="shared" si="73"/>
        <v>0</v>
      </c>
      <c r="X186" s="119">
        <f t="shared" si="73"/>
        <v>0</v>
      </c>
      <c r="Y186" s="119">
        <f t="shared" si="73"/>
        <v>0</v>
      </c>
      <c r="Z186" s="119">
        <f t="shared" si="73"/>
        <v>0</v>
      </c>
      <c r="AA186" s="119">
        <f t="shared" si="73"/>
        <v>0</v>
      </c>
      <c r="AB186" s="119">
        <f t="shared" si="73"/>
        <v>0</v>
      </c>
      <c r="AC186" s="375">
        <f t="shared" si="73"/>
        <v>1101267429</v>
      </c>
      <c r="AD186" s="119">
        <f t="shared" si="73"/>
        <v>0</v>
      </c>
      <c r="AE186" s="119">
        <f t="shared" si="73"/>
        <v>0</v>
      </c>
      <c r="AF186" s="119">
        <f t="shared" si="73"/>
        <v>1101267429</v>
      </c>
      <c r="AG186" s="310"/>
      <c r="AH186" s="310"/>
      <c r="AI186" s="310"/>
    </row>
    <row r="187" spans="1:35" ht="24" customHeight="1" x14ac:dyDescent="0.2">
      <c r="A187" s="283"/>
      <c r="B187" s="170">
        <v>4</v>
      </c>
      <c r="C187" s="93" t="s">
        <v>44</v>
      </c>
      <c r="D187" s="94"/>
      <c r="E187" s="94"/>
      <c r="F187" s="95"/>
      <c r="G187" s="96"/>
      <c r="H187" s="97"/>
      <c r="I187" s="95"/>
      <c r="J187" s="96"/>
      <c r="K187" s="95"/>
      <c r="L187" s="98"/>
      <c r="M187" s="98"/>
      <c r="N187" s="96"/>
      <c r="O187" s="96"/>
      <c r="P187" s="276"/>
      <c r="Q187" s="96"/>
      <c r="R187" s="95"/>
      <c r="S187" s="99">
        <f t="shared" ref="S187:AF187" si="74">S188+S191</f>
        <v>0</v>
      </c>
      <c r="T187" s="99">
        <f t="shared" si="74"/>
        <v>0</v>
      </c>
      <c r="U187" s="99">
        <f t="shared" si="74"/>
        <v>0</v>
      </c>
      <c r="V187" s="99">
        <f t="shared" si="74"/>
        <v>0</v>
      </c>
      <c r="W187" s="99">
        <f t="shared" si="74"/>
        <v>0</v>
      </c>
      <c r="X187" s="99">
        <f t="shared" si="74"/>
        <v>0</v>
      </c>
      <c r="Y187" s="99">
        <f t="shared" si="74"/>
        <v>0</v>
      </c>
      <c r="Z187" s="99">
        <f t="shared" si="74"/>
        <v>0</v>
      </c>
      <c r="AA187" s="99">
        <f t="shared" si="74"/>
        <v>0</v>
      </c>
      <c r="AB187" s="99">
        <f t="shared" si="74"/>
        <v>0</v>
      </c>
      <c r="AC187" s="376">
        <f t="shared" si="74"/>
        <v>1101267429</v>
      </c>
      <c r="AD187" s="99">
        <f t="shared" si="74"/>
        <v>0</v>
      </c>
      <c r="AE187" s="99">
        <f t="shared" si="74"/>
        <v>0</v>
      </c>
      <c r="AF187" s="99">
        <f t="shared" si="74"/>
        <v>1101267429</v>
      </c>
      <c r="AH187" s="310"/>
    </row>
    <row r="188" spans="1:35" s="92" customFormat="1" ht="21.75" customHeight="1" x14ac:dyDescent="0.25">
      <c r="A188" s="293"/>
      <c r="B188" s="433"/>
      <c r="C188" s="126">
        <v>45</v>
      </c>
      <c r="D188" s="101" t="s">
        <v>45</v>
      </c>
      <c r="E188" s="491" t="s">
        <v>607</v>
      </c>
      <c r="F188" s="491"/>
      <c r="G188" s="491"/>
      <c r="H188" s="491"/>
      <c r="I188" s="491"/>
      <c r="J188" s="104"/>
      <c r="K188" s="424"/>
      <c r="L188" s="103"/>
      <c r="M188" s="103"/>
      <c r="N188" s="104"/>
      <c r="O188" s="104"/>
      <c r="P188" s="274"/>
      <c r="Q188" s="101"/>
      <c r="R188" s="100"/>
      <c r="S188" s="105">
        <f t="shared" ref="S188:AF188" si="75">SUM(S189:S190)</f>
        <v>0</v>
      </c>
      <c r="T188" s="105">
        <f t="shared" si="75"/>
        <v>0</v>
      </c>
      <c r="U188" s="105">
        <f t="shared" si="75"/>
        <v>0</v>
      </c>
      <c r="V188" s="105">
        <f t="shared" si="75"/>
        <v>0</v>
      </c>
      <c r="W188" s="105">
        <f t="shared" si="75"/>
        <v>0</v>
      </c>
      <c r="X188" s="105">
        <f t="shared" si="75"/>
        <v>0</v>
      </c>
      <c r="Y188" s="105">
        <f t="shared" si="75"/>
        <v>0</v>
      </c>
      <c r="Z188" s="105">
        <f t="shared" si="75"/>
        <v>0</v>
      </c>
      <c r="AA188" s="105">
        <f t="shared" si="75"/>
        <v>0</v>
      </c>
      <c r="AB188" s="105">
        <f t="shared" si="75"/>
        <v>0</v>
      </c>
      <c r="AC188" s="369">
        <f t="shared" si="75"/>
        <v>1041267429</v>
      </c>
      <c r="AD188" s="105">
        <f t="shared" si="75"/>
        <v>0</v>
      </c>
      <c r="AE188" s="105">
        <f t="shared" si="75"/>
        <v>0</v>
      </c>
      <c r="AF188" s="105">
        <f t="shared" si="75"/>
        <v>1041267429</v>
      </c>
      <c r="AH188" s="310"/>
    </row>
    <row r="189" spans="1:35" ht="113.25" customHeight="1" x14ac:dyDescent="0.2">
      <c r="A189" s="281"/>
      <c r="B189" s="434"/>
      <c r="C189" s="423"/>
      <c r="D189" s="421"/>
      <c r="E189" s="412" t="s">
        <v>45</v>
      </c>
      <c r="F189" s="411" t="s">
        <v>47</v>
      </c>
      <c r="G189" s="197" t="s">
        <v>608</v>
      </c>
      <c r="H189" s="412" t="s">
        <v>45</v>
      </c>
      <c r="I189" s="410" t="s">
        <v>609</v>
      </c>
      <c r="J189" s="197" t="s">
        <v>610</v>
      </c>
      <c r="K189" s="196" t="s">
        <v>1368</v>
      </c>
      <c r="L189" s="204" t="s">
        <v>51</v>
      </c>
      <c r="M189" s="195">
        <v>1</v>
      </c>
      <c r="N189" s="197">
        <v>1</v>
      </c>
      <c r="O189" s="219">
        <v>1</v>
      </c>
      <c r="P189" s="410" t="s">
        <v>52</v>
      </c>
      <c r="Q189" s="412" t="s">
        <v>611</v>
      </c>
      <c r="R189" s="410" t="s">
        <v>612</v>
      </c>
      <c r="S189" s="2"/>
      <c r="T189" s="2"/>
      <c r="U189" s="2"/>
      <c r="V189" s="2"/>
      <c r="W189" s="2"/>
      <c r="X189" s="2"/>
      <c r="Y189" s="2"/>
      <c r="Z189" s="2"/>
      <c r="AA189" s="2"/>
      <c r="AB189" s="2"/>
      <c r="AC189" s="377">
        <v>255021326</v>
      </c>
      <c r="AD189" s="2"/>
      <c r="AE189" s="2"/>
      <c r="AF189" s="106">
        <f>+S189+T189+U189+V189+W189+X189+Y189+Z189+AA189+AB189+AC189+AD189+AE189</f>
        <v>255021326</v>
      </c>
      <c r="AH189" s="310"/>
    </row>
    <row r="190" spans="1:35" ht="71.25" customHeight="1" x14ac:dyDescent="0.2">
      <c r="A190" s="281"/>
      <c r="B190" s="434"/>
      <c r="C190" s="423"/>
      <c r="D190" s="421"/>
      <c r="E190" s="235" t="s">
        <v>45</v>
      </c>
      <c r="F190" s="411" t="s">
        <v>47</v>
      </c>
      <c r="G190" s="197" t="s">
        <v>613</v>
      </c>
      <c r="H190" s="412" t="s">
        <v>45</v>
      </c>
      <c r="I190" s="410" t="s">
        <v>614</v>
      </c>
      <c r="J190" s="197" t="s">
        <v>615</v>
      </c>
      <c r="K190" s="196" t="s">
        <v>616</v>
      </c>
      <c r="L190" s="204" t="s">
        <v>51</v>
      </c>
      <c r="M190" s="195">
        <v>1</v>
      </c>
      <c r="N190" s="197">
        <v>1</v>
      </c>
      <c r="O190" s="219">
        <v>1</v>
      </c>
      <c r="P190" s="410" t="s">
        <v>52</v>
      </c>
      <c r="Q190" s="412" t="s">
        <v>617</v>
      </c>
      <c r="R190" s="410" t="s">
        <v>618</v>
      </c>
      <c r="S190" s="2"/>
      <c r="T190" s="2"/>
      <c r="U190" s="2"/>
      <c r="V190" s="2"/>
      <c r="W190" s="2"/>
      <c r="X190" s="2"/>
      <c r="Y190" s="2"/>
      <c r="Z190" s="2"/>
      <c r="AA190" s="2"/>
      <c r="AB190" s="2"/>
      <c r="AC190" s="377">
        <f>486246103+300000000</f>
        <v>786246103</v>
      </c>
      <c r="AD190" s="2"/>
      <c r="AE190" s="2"/>
      <c r="AF190" s="106">
        <f>+S190+T190+U190+V190+W190+X190+Y190+Z190+AA190+AB190+AC190+AD190+AE190</f>
        <v>786246103</v>
      </c>
      <c r="AH190" s="310"/>
    </row>
    <row r="191" spans="1:35" ht="21" customHeight="1" x14ac:dyDescent="0.2">
      <c r="A191" s="281"/>
      <c r="B191" s="434"/>
      <c r="C191" s="126">
        <v>42</v>
      </c>
      <c r="D191" s="101">
        <v>4502</v>
      </c>
      <c r="E191" s="147" t="s">
        <v>61</v>
      </c>
      <c r="F191" s="100"/>
      <c r="G191" s="101"/>
      <c r="H191" s="102"/>
      <c r="I191" s="100"/>
      <c r="J191" s="101"/>
      <c r="K191" s="100"/>
      <c r="L191" s="103"/>
      <c r="M191" s="103"/>
      <c r="N191" s="101"/>
      <c r="O191" s="101"/>
      <c r="P191" s="274"/>
      <c r="Q191" s="101"/>
      <c r="R191" s="100"/>
      <c r="S191" s="105">
        <f t="shared" ref="S191:AF191" si="76">SUM(S192)</f>
        <v>0</v>
      </c>
      <c r="T191" s="105">
        <f t="shared" si="76"/>
        <v>0</v>
      </c>
      <c r="U191" s="105">
        <f t="shared" si="76"/>
        <v>0</v>
      </c>
      <c r="V191" s="105">
        <f t="shared" si="76"/>
        <v>0</v>
      </c>
      <c r="W191" s="105">
        <f t="shared" si="76"/>
        <v>0</v>
      </c>
      <c r="X191" s="105">
        <f t="shared" si="76"/>
        <v>0</v>
      </c>
      <c r="Y191" s="105">
        <f t="shared" si="76"/>
        <v>0</v>
      </c>
      <c r="Z191" s="105">
        <f t="shared" si="76"/>
        <v>0</v>
      </c>
      <c r="AA191" s="105">
        <f t="shared" si="76"/>
        <v>0</v>
      </c>
      <c r="AB191" s="105">
        <f t="shared" si="76"/>
        <v>0</v>
      </c>
      <c r="AC191" s="369">
        <f t="shared" si="76"/>
        <v>60000000</v>
      </c>
      <c r="AD191" s="105">
        <f t="shared" si="76"/>
        <v>0</v>
      </c>
      <c r="AE191" s="105">
        <f t="shared" si="76"/>
        <v>0</v>
      </c>
      <c r="AF191" s="105">
        <f t="shared" si="76"/>
        <v>60000000</v>
      </c>
      <c r="AH191" s="310"/>
    </row>
    <row r="192" spans="1:35" s="87" customFormat="1" ht="125.25" customHeight="1" x14ac:dyDescent="0.2">
      <c r="A192" s="297"/>
      <c r="B192" s="298"/>
      <c r="C192" s="254"/>
      <c r="D192" s="250"/>
      <c r="E192" s="227">
        <v>4502</v>
      </c>
      <c r="F192" s="422" t="s">
        <v>62</v>
      </c>
      <c r="G192" s="195" t="s">
        <v>619</v>
      </c>
      <c r="H192" s="412" t="s">
        <v>45</v>
      </c>
      <c r="I192" s="411" t="s">
        <v>1342</v>
      </c>
      <c r="J192" s="195" t="s">
        <v>620</v>
      </c>
      <c r="K192" s="196" t="s">
        <v>621</v>
      </c>
      <c r="L192" s="205" t="s">
        <v>51</v>
      </c>
      <c r="M192" s="435">
        <v>30</v>
      </c>
      <c r="N192" s="435">
        <v>30</v>
      </c>
      <c r="O192" s="326">
        <v>33</v>
      </c>
      <c r="P192" s="428" t="s">
        <v>67</v>
      </c>
      <c r="Q192" s="253" t="s">
        <v>622</v>
      </c>
      <c r="R192" s="411" t="s">
        <v>623</v>
      </c>
      <c r="S192" s="148"/>
      <c r="T192" s="148"/>
      <c r="U192" s="148"/>
      <c r="V192" s="148"/>
      <c r="W192" s="148"/>
      <c r="X192" s="148"/>
      <c r="Y192" s="148"/>
      <c r="Z192" s="148"/>
      <c r="AA192" s="148"/>
      <c r="AB192" s="148"/>
      <c r="AC192" s="378">
        <v>60000000</v>
      </c>
      <c r="AD192" s="148"/>
      <c r="AE192" s="109"/>
      <c r="AF192" s="106">
        <f>+S192+T192+U192+V192+W192+X192+Y192+Z192+AA192+AB192+AC192+AD192+AE192</f>
        <v>60000000</v>
      </c>
      <c r="AH192" s="310"/>
    </row>
    <row r="193" spans="1:35" ht="15.75" x14ac:dyDescent="0.2">
      <c r="A193" s="135" t="s">
        <v>624</v>
      </c>
      <c r="B193" s="135"/>
      <c r="C193" s="135"/>
      <c r="D193" s="136"/>
      <c r="E193" s="136"/>
      <c r="F193" s="137"/>
      <c r="G193" s="138"/>
      <c r="H193" s="90"/>
      <c r="I193" s="137"/>
      <c r="J193" s="138"/>
      <c r="K193" s="137"/>
      <c r="L193" s="90"/>
      <c r="M193" s="90"/>
      <c r="N193" s="138"/>
      <c r="O193" s="138"/>
      <c r="P193" s="136"/>
      <c r="Q193" s="138"/>
      <c r="R193" s="137"/>
      <c r="S193" s="119">
        <f t="shared" ref="S193:AE193" si="77">S194</f>
        <v>0</v>
      </c>
      <c r="T193" s="119">
        <f t="shared" si="77"/>
        <v>0</v>
      </c>
      <c r="U193" s="119">
        <f t="shared" si="77"/>
        <v>0</v>
      </c>
      <c r="V193" s="119">
        <f t="shared" si="77"/>
        <v>2449173512.6999998</v>
      </c>
      <c r="W193" s="119">
        <f t="shared" si="77"/>
        <v>0</v>
      </c>
      <c r="X193" s="119">
        <f t="shared" si="77"/>
        <v>0</v>
      </c>
      <c r="Y193" s="119">
        <f t="shared" si="77"/>
        <v>132182386450.42001</v>
      </c>
      <c r="Z193" s="119">
        <f t="shared" si="77"/>
        <v>23036771417</v>
      </c>
      <c r="AA193" s="119">
        <f t="shared" si="77"/>
        <v>14695615717.32</v>
      </c>
      <c r="AB193" s="119">
        <f t="shared" si="77"/>
        <v>0</v>
      </c>
      <c r="AC193" s="119">
        <f t="shared" si="77"/>
        <v>4168668016.3100004</v>
      </c>
      <c r="AD193" s="119">
        <f t="shared" si="77"/>
        <v>83149.960000000006</v>
      </c>
      <c r="AE193" s="119">
        <f t="shared" si="77"/>
        <v>1791506530</v>
      </c>
      <c r="AF193" s="119">
        <f>AF194</f>
        <v>178324204793.70999</v>
      </c>
      <c r="AG193" s="310"/>
      <c r="AH193" s="310"/>
      <c r="AI193" s="310"/>
    </row>
    <row r="194" spans="1:35" ht="15.75" x14ac:dyDescent="0.2">
      <c r="A194" s="283"/>
      <c r="B194" s="170">
        <v>1</v>
      </c>
      <c r="C194" s="93" t="s">
        <v>1</v>
      </c>
      <c r="D194" s="94"/>
      <c r="E194" s="94"/>
      <c r="F194" s="95"/>
      <c r="G194" s="96"/>
      <c r="H194" s="97"/>
      <c r="I194" s="95"/>
      <c r="J194" s="96"/>
      <c r="K194" s="95"/>
      <c r="L194" s="98"/>
      <c r="M194" s="98"/>
      <c r="N194" s="96"/>
      <c r="O194" s="96"/>
      <c r="P194" s="94"/>
      <c r="Q194" s="96"/>
      <c r="R194" s="95"/>
      <c r="S194" s="99">
        <f t="shared" ref="S194:AE194" si="78">S195+S217</f>
        <v>0</v>
      </c>
      <c r="T194" s="99">
        <f t="shared" si="78"/>
        <v>0</v>
      </c>
      <c r="U194" s="99">
        <f t="shared" si="78"/>
        <v>0</v>
      </c>
      <c r="V194" s="99">
        <f t="shared" si="78"/>
        <v>2449173512.6999998</v>
      </c>
      <c r="W194" s="99">
        <f t="shared" si="78"/>
        <v>0</v>
      </c>
      <c r="X194" s="99">
        <f t="shared" si="78"/>
        <v>0</v>
      </c>
      <c r="Y194" s="99">
        <f t="shared" si="78"/>
        <v>132182386450.42001</v>
      </c>
      <c r="Z194" s="99">
        <f t="shared" si="78"/>
        <v>23036771417</v>
      </c>
      <c r="AA194" s="99">
        <f t="shared" si="78"/>
        <v>14695615717.32</v>
      </c>
      <c r="AB194" s="99">
        <f t="shared" si="78"/>
        <v>0</v>
      </c>
      <c r="AC194" s="99">
        <f t="shared" si="78"/>
        <v>4168668016.3100004</v>
      </c>
      <c r="AD194" s="99">
        <f t="shared" si="78"/>
        <v>83149.960000000006</v>
      </c>
      <c r="AE194" s="99">
        <f t="shared" si="78"/>
        <v>1791506530</v>
      </c>
      <c r="AF194" s="99">
        <f>AF195+AF217</f>
        <v>178324204793.70999</v>
      </c>
      <c r="AH194" s="310"/>
    </row>
    <row r="195" spans="1:35" ht="15.75" x14ac:dyDescent="0.2">
      <c r="A195" s="281"/>
      <c r="B195" s="433"/>
      <c r="C195" s="424">
        <v>15</v>
      </c>
      <c r="D195" s="104">
        <v>2201</v>
      </c>
      <c r="E195" s="147" t="s">
        <v>153</v>
      </c>
      <c r="F195" s="100"/>
      <c r="G195" s="101"/>
      <c r="H195" s="102"/>
      <c r="I195" s="100"/>
      <c r="J195" s="101"/>
      <c r="K195" s="100"/>
      <c r="L195" s="103"/>
      <c r="M195" s="103"/>
      <c r="N195" s="101"/>
      <c r="O195" s="101"/>
      <c r="P195" s="104"/>
      <c r="Q195" s="101"/>
      <c r="R195" s="100"/>
      <c r="S195" s="105">
        <f t="shared" ref="S195:AE195" si="79">SUM(S196:S216)</f>
        <v>0</v>
      </c>
      <c r="T195" s="105">
        <f t="shared" si="79"/>
        <v>0</v>
      </c>
      <c r="U195" s="105">
        <f t="shared" si="79"/>
        <v>0</v>
      </c>
      <c r="V195" s="105">
        <f t="shared" si="79"/>
        <v>2359173512.6999998</v>
      </c>
      <c r="W195" s="105">
        <f t="shared" si="79"/>
        <v>0</v>
      </c>
      <c r="X195" s="105">
        <f t="shared" si="79"/>
        <v>0</v>
      </c>
      <c r="Y195" s="105">
        <f t="shared" si="79"/>
        <v>132182386450.42001</v>
      </c>
      <c r="Z195" s="105">
        <f t="shared" si="79"/>
        <v>23036771417</v>
      </c>
      <c r="AA195" s="105">
        <f t="shared" si="79"/>
        <v>14695615717.32</v>
      </c>
      <c r="AB195" s="105">
        <f t="shared" si="79"/>
        <v>0</v>
      </c>
      <c r="AC195" s="105">
        <f t="shared" si="79"/>
        <v>4014829516.3100004</v>
      </c>
      <c r="AD195" s="105">
        <f t="shared" si="79"/>
        <v>83149.960000000006</v>
      </c>
      <c r="AE195" s="105">
        <f t="shared" si="79"/>
        <v>1791506530</v>
      </c>
      <c r="AF195" s="105">
        <f>SUM(AF196:AF216)</f>
        <v>178080366293.70999</v>
      </c>
      <c r="AH195" s="310"/>
    </row>
    <row r="196" spans="1:35" ht="80.25" customHeight="1" x14ac:dyDescent="0.2">
      <c r="A196" s="281"/>
      <c r="B196" s="434"/>
      <c r="C196" s="423"/>
      <c r="D196" s="421"/>
      <c r="E196" s="412">
        <v>2201</v>
      </c>
      <c r="F196" s="410" t="s">
        <v>625</v>
      </c>
      <c r="G196" s="419" t="s">
        <v>626</v>
      </c>
      <c r="H196" s="412">
        <v>2201033</v>
      </c>
      <c r="I196" s="410" t="s">
        <v>627</v>
      </c>
      <c r="J196" s="419" t="s">
        <v>628</v>
      </c>
      <c r="K196" s="200" t="s">
        <v>629</v>
      </c>
      <c r="L196" s="195" t="s">
        <v>141</v>
      </c>
      <c r="M196" s="195">
        <v>36000</v>
      </c>
      <c r="N196" s="195">
        <v>9000</v>
      </c>
      <c r="O196" s="195">
        <v>9000</v>
      </c>
      <c r="P196" s="488" t="s">
        <v>160</v>
      </c>
      <c r="Q196" s="470" t="s">
        <v>630</v>
      </c>
      <c r="R196" s="471" t="s">
        <v>631</v>
      </c>
      <c r="S196" s="2"/>
      <c r="T196" s="2"/>
      <c r="U196" s="2"/>
      <c r="V196" s="2">
        <f>2349543380-59954338+259954557.96-113255682+7331915-400000000</f>
        <v>2043619832.96</v>
      </c>
      <c r="W196" s="2"/>
      <c r="X196" s="2"/>
      <c r="Y196" s="2"/>
      <c r="Z196" s="2"/>
      <c r="AA196" s="2"/>
      <c r="AB196" s="2"/>
      <c r="AC196" s="405">
        <f>1140000000+130863000+400000000+182906493.22+1283000000+209120523+5450533+37500000</f>
        <v>3388840549.2200003</v>
      </c>
      <c r="AD196" s="2"/>
      <c r="AE196" s="2"/>
      <c r="AF196" s="106">
        <f t="shared" ref="AF196:AF216" si="80">+S196+T196+U196+V196+W196+X196+Y196+Z196+AA196+AB196+AC196+AD196+AE196</f>
        <v>5432460382.1800003</v>
      </c>
      <c r="AH196" s="310"/>
    </row>
    <row r="197" spans="1:35" s="132" customFormat="1" ht="97.5" customHeight="1" x14ac:dyDescent="0.2">
      <c r="A197" s="287"/>
      <c r="B197" s="430"/>
      <c r="C197" s="432"/>
      <c r="D197" s="233"/>
      <c r="E197" s="427">
        <v>2201</v>
      </c>
      <c r="F197" s="426" t="s">
        <v>632</v>
      </c>
      <c r="G197" s="427" t="s">
        <v>633</v>
      </c>
      <c r="H197" s="427">
        <v>2201028</v>
      </c>
      <c r="I197" s="426" t="s">
        <v>634</v>
      </c>
      <c r="J197" s="427" t="s">
        <v>635</v>
      </c>
      <c r="K197" s="426" t="s">
        <v>636</v>
      </c>
      <c r="L197" s="435" t="s">
        <v>51</v>
      </c>
      <c r="M197" s="435">
        <v>36000</v>
      </c>
      <c r="N197" s="435">
        <v>36000</v>
      </c>
      <c r="O197" s="435">
        <v>28368</v>
      </c>
      <c r="P197" s="488"/>
      <c r="Q197" s="470"/>
      <c r="R197" s="471"/>
      <c r="S197" s="2"/>
      <c r="T197" s="2"/>
      <c r="U197" s="2"/>
      <c r="V197" s="243">
        <f>0+35173966.04+113255682-7331915</f>
        <v>141097733.03999999</v>
      </c>
      <c r="W197" s="2"/>
      <c r="X197" s="2"/>
      <c r="Y197" s="2">
        <v>394351422</v>
      </c>
      <c r="Z197" s="312"/>
      <c r="AA197" s="406">
        <f>12150000000-50000000+73030541.87+9572546.01+1577223665.57+1059742151+63598466.8-187551653.93</f>
        <v>14695615717.32</v>
      </c>
      <c r="AB197" s="2"/>
      <c r="AC197" s="19">
        <v>286000000</v>
      </c>
      <c r="AD197" s="19">
        <v>83149.960000000006</v>
      </c>
      <c r="AE197" s="2"/>
      <c r="AF197" s="131">
        <f t="shared" si="80"/>
        <v>15517148022.32</v>
      </c>
      <c r="AH197" s="310"/>
    </row>
    <row r="198" spans="1:35" ht="133.5" customHeight="1" x14ac:dyDescent="0.2">
      <c r="A198" s="281"/>
      <c r="B198" s="434"/>
      <c r="C198" s="423"/>
      <c r="D198" s="421"/>
      <c r="E198" s="412">
        <v>2201</v>
      </c>
      <c r="F198" s="410" t="s">
        <v>637</v>
      </c>
      <c r="G198" s="419" t="s">
        <v>638</v>
      </c>
      <c r="H198" s="412">
        <v>2201055</v>
      </c>
      <c r="I198" s="410" t="s">
        <v>639</v>
      </c>
      <c r="J198" s="419" t="s">
        <v>640</v>
      </c>
      <c r="K198" s="200" t="s">
        <v>641</v>
      </c>
      <c r="L198" s="195" t="s">
        <v>51</v>
      </c>
      <c r="M198" s="195">
        <v>1</v>
      </c>
      <c r="N198" s="195">
        <v>1</v>
      </c>
      <c r="O198" s="326">
        <v>1</v>
      </c>
      <c r="P198" s="488" t="s">
        <v>160</v>
      </c>
      <c r="Q198" s="470" t="s">
        <v>642</v>
      </c>
      <c r="R198" s="471" t="s">
        <v>643</v>
      </c>
      <c r="S198" s="2"/>
      <c r="T198" s="2"/>
      <c r="U198" s="2"/>
      <c r="V198" s="2"/>
      <c r="W198" s="2"/>
      <c r="X198" s="2"/>
      <c r="Y198" s="314">
        <f>52000000+10388620</f>
        <v>62388620</v>
      </c>
      <c r="Z198" s="2"/>
      <c r="AA198" s="2"/>
      <c r="AB198" s="2"/>
      <c r="AC198" s="8">
        <v>0</v>
      </c>
      <c r="AD198" s="2"/>
      <c r="AE198" s="2"/>
      <c r="AF198" s="106">
        <f t="shared" si="80"/>
        <v>62388620</v>
      </c>
      <c r="AH198" s="310"/>
    </row>
    <row r="199" spans="1:35" s="87" customFormat="1" ht="95.25" customHeight="1" x14ac:dyDescent="0.2">
      <c r="A199" s="292"/>
      <c r="B199" s="294"/>
      <c r="C199" s="254"/>
      <c r="D199" s="250"/>
      <c r="E199" s="253">
        <v>2201</v>
      </c>
      <c r="F199" s="422" t="s">
        <v>644</v>
      </c>
      <c r="G199" s="419" t="s">
        <v>645</v>
      </c>
      <c r="H199" s="253">
        <v>2201030</v>
      </c>
      <c r="I199" s="422" t="s">
        <v>646</v>
      </c>
      <c r="J199" s="427" t="s">
        <v>647</v>
      </c>
      <c r="K199" s="229" t="s">
        <v>648</v>
      </c>
      <c r="L199" s="326" t="s">
        <v>51</v>
      </c>
      <c r="M199" s="326">
        <v>2500</v>
      </c>
      <c r="N199" s="326">
        <v>2500</v>
      </c>
      <c r="O199" s="326">
        <v>2540</v>
      </c>
      <c r="P199" s="488"/>
      <c r="Q199" s="470"/>
      <c r="R199" s="471"/>
      <c r="S199" s="231"/>
      <c r="T199" s="231"/>
      <c r="U199" s="231"/>
      <c r="V199" s="231"/>
      <c r="W199" s="231"/>
      <c r="X199" s="231"/>
      <c r="Y199" s="243">
        <f>1580000000-10388620-294130134-59380384-33506070</f>
        <v>1182594792</v>
      </c>
      <c r="Z199" s="231"/>
      <c r="AA199" s="231"/>
      <c r="AB199" s="231"/>
      <c r="AC199" s="236"/>
      <c r="AD199" s="231"/>
      <c r="AE199" s="231"/>
      <c r="AF199" s="193">
        <f t="shared" si="80"/>
        <v>1182594792</v>
      </c>
      <c r="AH199" s="310"/>
    </row>
    <row r="200" spans="1:35" ht="74.25" customHeight="1" x14ac:dyDescent="0.2">
      <c r="A200" s="281"/>
      <c r="B200" s="434"/>
      <c r="C200" s="423"/>
      <c r="D200" s="421"/>
      <c r="E200" s="412">
        <v>2201</v>
      </c>
      <c r="F200" s="411" t="s">
        <v>1370</v>
      </c>
      <c r="G200" s="427" t="s">
        <v>650</v>
      </c>
      <c r="H200" s="412">
        <v>2201071</v>
      </c>
      <c r="I200" s="410" t="s">
        <v>651</v>
      </c>
      <c r="J200" s="427" t="s">
        <v>652</v>
      </c>
      <c r="K200" s="410" t="s">
        <v>653</v>
      </c>
      <c r="L200" s="195" t="s">
        <v>51</v>
      </c>
      <c r="M200" s="195">
        <v>54</v>
      </c>
      <c r="N200" s="195">
        <v>54</v>
      </c>
      <c r="O200" s="195">
        <v>54</v>
      </c>
      <c r="P200" s="425" t="s">
        <v>160</v>
      </c>
      <c r="Q200" s="412" t="s">
        <v>654</v>
      </c>
      <c r="R200" s="410" t="s">
        <v>8</v>
      </c>
      <c r="S200" s="2"/>
      <c r="T200" s="2"/>
      <c r="U200" s="2"/>
      <c r="V200" s="2"/>
      <c r="W200" s="2"/>
      <c r="X200" s="2"/>
      <c r="Y200" s="2">
        <v>127652115466.94</v>
      </c>
      <c r="Z200" s="19">
        <v>23036771417</v>
      </c>
      <c r="AA200" s="2"/>
      <c r="AB200" s="2"/>
      <c r="AC200" s="8"/>
      <c r="AD200" s="2"/>
      <c r="AE200" s="2"/>
      <c r="AF200" s="131">
        <f t="shared" si="80"/>
        <v>150688886883.94</v>
      </c>
      <c r="AH200" s="310"/>
    </row>
    <row r="201" spans="1:35" ht="80.25" customHeight="1" x14ac:dyDescent="0.2">
      <c r="A201" s="281"/>
      <c r="B201" s="434"/>
      <c r="C201" s="423"/>
      <c r="D201" s="421"/>
      <c r="E201" s="412">
        <v>2201</v>
      </c>
      <c r="F201" s="411" t="s">
        <v>649</v>
      </c>
      <c r="G201" s="427" t="s">
        <v>650</v>
      </c>
      <c r="H201" s="412">
        <v>2201071</v>
      </c>
      <c r="I201" s="16" t="s">
        <v>651</v>
      </c>
      <c r="J201" s="427" t="s">
        <v>652</v>
      </c>
      <c r="K201" s="410" t="s">
        <v>653</v>
      </c>
      <c r="L201" s="195" t="s">
        <v>51</v>
      </c>
      <c r="M201" s="195">
        <v>54</v>
      </c>
      <c r="N201" s="195">
        <v>54</v>
      </c>
      <c r="O201" s="195">
        <v>54</v>
      </c>
      <c r="P201" s="425" t="s">
        <v>160</v>
      </c>
      <c r="Q201" s="412" t="s">
        <v>655</v>
      </c>
      <c r="R201" s="410" t="s">
        <v>656</v>
      </c>
      <c r="S201" s="149"/>
      <c r="T201" s="149"/>
      <c r="U201" s="149"/>
      <c r="V201" s="149"/>
      <c r="W201" s="149"/>
      <c r="X201" s="149"/>
      <c r="Y201" s="17">
        <f>3762000000-1470154798</f>
        <v>2291845202</v>
      </c>
      <c r="Z201" s="456"/>
      <c r="AA201" s="149"/>
      <c r="AB201" s="149"/>
      <c r="AC201" s="8"/>
      <c r="AD201" s="149"/>
      <c r="AE201" s="149"/>
      <c r="AF201" s="106">
        <f t="shared" si="80"/>
        <v>2291845202</v>
      </c>
      <c r="AH201" s="310"/>
    </row>
    <row r="202" spans="1:35" ht="101.25" customHeight="1" x14ac:dyDescent="0.2">
      <c r="A202" s="281"/>
      <c r="B202" s="434"/>
      <c r="C202" s="423"/>
      <c r="D202" s="421"/>
      <c r="E202" s="412">
        <v>2201</v>
      </c>
      <c r="F202" s="411" t="s">
        <v>657</v>
      </c>
      <c r="G202" s="435" t="s">
        <v>658</v>
      </c>
      <c r="H202" s="412">
        <v>2201006</v>
      </c>
      <c r="I202" s="410" t="s">
        <v>659</v>
      </c>
      <c r="J202" s="435" t="s">
        <v>660</v>
      </c>
      <c r="K202" s="200" t="s">
        <v>661</v>
      </c>
      <c r="L202" s="195" t="s">
        <v>51</v>
      </c>
      <c r="M202" s="195">
        <v>54</v>
      </c>
      <c r="N202" s="195">
        <v>54</v>
      </c>
      <c r="O202" s="195">
        <v>54</v>
      </c>
      <c r="P202" s="490" t="s">
        <v>160</v>
      </c>
      <c r="Q202" s="470" t="s">
        <v>662</v>
      </c>
      <c r="R202" s="471" t="s">
        <v>663</v>
      </c>
      <c r="S202" s="2"/>
      <c r="T202" s="2"/>
      <c r="U202" s="2"/>
      <c r="V202" s="2"/>
      <c r="W202" s="2"/>
      <c r="X202" s="2"/>
      <c r="Y202" s="2"/>
      <c r="Z202" s="2"/>
      <c r="AA202" s="2"/>
      <c r="AB202" s="2"/>
      <c r="AC202" s="407">
        <f>20000000+10000000+31600000+26960000-756135-5333335-5450533</f>
        <v>77019997</v>
      </c>
      <c r="AD202" s="2"/>
      <c r="AE202" s="2"/>
      <c r="AF202" s="193">
        <f t="shared" si="80"/>
        <v>77019997</v>
      </c>
      <c r="AH202" s="310"/>
    </row>
    <row r="203" spans="1:35" ht="64.5" customHeight="1" x14ac:dyDescent="0.2">
      <c r="A203" s="281"/>
      <c r="B203" s="434"/>
      <c r="C203" s="423"/>
      <c r="D203" s="421"/>
      <c r="E203" s="412">
        <v>2201</v>
      </c>
      <c r="F203" s="411" t="s">
        <v>625</v>
      </c>
      <c r="G203" s="427" t="s">
        <v>626</v>
      </c>
      <c r="H203" s="412">
        <v>2201033</v>
      </c>
      <c r="I203" s="410" t="s">
        <v>627</v>
      </c>
      <c r="J203" s="427" t="s">
        <v>628</v>
      </c>
      <c r="K203" s="410" t="s">
        <v>629</v>
      </c>
      <c r="L203" s="195" t="s">
        <v>141</v>
      </c>
      <c r="M203" s="195">
        <v>36000</v>
      </c>
      <c r="N203" s="195">
        <v>9000</v>
      </c>
      <c r="O203" s="195">
        <v>9000</v>
      </c>
      <c r="P203" s="490"/>
      <c r="Q203" s="470"/>
      <c r="R203" s="471"/>
      <c r="S203" s="2"/>
      <c r="T203" s="2"/>
      <c r="U203" s="2"/>
      <c r="V203" s="2"/>
      <c r="W203" s="2"/>
      <c r="X203" s="2"/>
      <c r="Y203" s="2">
        <f>25000000-15683109</f>
        <v>9316891</v>
      </c>
      <c r="Z203" s="2"/>
      <c r="AA203" s="2"/>
      <c r="AB203" s="2"/>
      <c r="AC203" s="8"/>
      <c r="AD203" s="2"/>
      <c r="AE203" s="2"/>
      <c r="AF203" s="106">
        <f t="shared" si="80"/>
        <v>9316891</v>
      </c>
      <c r="AH203" s="310"/>
    </row>
    <row r="204" spans="1:35" s="87" customFormat="1" ht="139.5" customHeight="1" x14ac:dyDescent="0.2">
      <c r="A204" s="292"/>
      <c r="B204" s="294"/>
      <c r="C204" s="254"/>
      <c r="D204" s="250"/>
      <c r="E204" s="253">
        <v>2201</v>
      </c>
      <c r="F204" s="414" t="s">
        <v>1309</v>
      </c>
      <c r="G204" s="419" t="s">
        <v>268</v>
      </c>
      <c r="H204" s="253">
        <v>2201068</v>
      </c>
      <c r="I204" s="422" t="s">
        <v>269</v>
      </c>
      <c r="J204" s="419" t="s">
        <v>270</v>
      </c>
      <c r="K204" s="229" t="s">
        <v>271</v>
      </c>
      <c r="L204" s="253" t="s">
        <v>141</v>
      </c>
      <c r="M204" s="253">
        <v>266</v>
      </c>
      <c r="N204" s="253">
        <v>48</v>
      </c>
      <c r="O204" s="253">
        <v>48</v>
      </c>
      <c r="P204" s="490"/>
      <c r="Q204" s="470"/>
      <c r="R204" s="471"/>
      <c r="S204" s="231"/>
      <c r="T204" s="231"/>
      <c r="U204" s="231"/>
      <c r="V204" s="231"/>
      <c r="W204" s="231"/>
      <c r="X204" s="231"/>
      <c r="Y204" s="231"/>
      <c r="Z204" s="231"/>
      <c r="AA204" s="231"/>
      <c r="AB204" s="231"/>
      <c r="AC204" s="407">
        <f>35000000-8222000+8000000-5243865-2176687</f>
        <v>27357448</v>
      </c>
      <c r="AD204" s="231"/>
      <c r="AE204" s="231"/>
      <c r="AF204" s="193">
        <f t="shared" si="80"/>
        <v>27357448</v>
      </c>
      <c r="AH204" s="310"/>
    </row>
    <row r="205" spans="1:35" ht="102" customHeight="1" x14ac:dyDescent="0.2">
      <c r="A205" s="281"/>
      <c r="B205" s="434"/>
      <c r="C205" s="423"/>
      <c r="D205" s="421"/>
      <c r="E205" s="412">
        <v>2201</v>
      </c>
      <c r="F205" s="411" t="s">
        <v>632</v>
      </c>
      <c r="G205" s="427" t="s">
        <v>664</v>
      </c>
      <c r="H205" s="412">
        <v>2201046</v>
      </c>
      <c r="I205" s="410" t="s">
        <v>665</v>
      </c>
      <c r="J205" s="427" t="s">
        <v>666</v>
      </c>
      <c r="K205" s="410" t="s">
        <v>667</v>
      </c>
      <c r="L205" s="195" t="s">
        <v>141</v>
      </c>
      <c r="M205" s="195">
        <v>54</v>
      </c>
      <c r="N205" s="195">
        <v>5</v>
      </c>
      <c r="O205" s="195">
        <v>5</v>
      </c>
      <c r="P205" s="490"/>
      <c r="Q205" s="470"/>
      <c r="R205" s="471"/>
      <c r="S205" s="2"/>
      <c r="T205" s="2"/>
      <c r="U205" s="2"/>
      <c r="V205" s="150"/>
      <c r="W205" s="2"/>
      <c r="X205" s="2"/>
      <c r="Y205" s="2"/>
      <c r="Z205" s="2"/>
      <c r="AA205" s="2"/>
      <c r="AB205" s="2"/>
      <c r="AC205" s="8">
        <f>10000000+5000000-9600000</f>
        <v>5400000</v>
      </c>
      <c r="AD205" s="2"/>
      <c r="AE205" s="2"/>
      <c r="AF205" s="106">
        <f t="shared" si="80"/>
        <v>5400000</v>
      </c>
      <c r="AH205" s="310"/>
    </row>
    <row r="206" spans="1:35" ht="92.25" customHeight="1" x14ac:dyDescent="0.2">
      <c r="A206" s="281"/>
      <c r="B206" s="434"/>
      <c r="C206" s="423"/>
      <c r="D206" s="421"/>
      <c r="E206" s="412">
        <v>2201</v>
      </c>
      <c r="F206" s="410" t="s">
        <v>155</v>
      </c>
      <c r="G206" s="427" t="s">
        <v>156</v>
      </c>
      <c r="H206" s="412" t="s">
        <v>45</v>
      </c>
      <c r="I206" s="410" t="s">
        <v>157</v>
      </c>
      <c r="J206" s="427" t="s">
        <v>158</v>
      </c>
      <c r="K206" s="410" t="s">
        <v>159</v>
      </c>
      <c r="L206" s="412" t="s">
        <v>141</v>
      </c>
      <c r="M206" s="412">
        <v>54</v>
      </c>
      <c r="N206" s="412">
        <v>9</v>
      </c>
      <c r="O206" s="412">
        <v>4</v>
      </c>
      <c r="P206" s="490"/>
      <c r="Q206" s="470"/>
      <c r="R206" s="471"/>
      <c r="S206" s="2"/>
      <c r="T206" s="2"/>
      <c r="U206" s="2"/>
      <c r="V206" s="18"/>
      <c r="W206" s="2"/>
      <c r="X206" s="2"/>
      <c r="Y206" s="2">
        <v>12426628.52</v>
      </c>
      <c r="Z206" s="2"/>
      <c r="AA206" s="2"/>
      <c r="AB206" s="2"/>
      <c r="AC206" s="8">
        <v>25000000</v>
      </c>
      <c r="AD206" s="2"/>
      <c r="AE206" s="408">
        <f>0+513456000+1278050530</f>
        <v>1791506530</v>
      </c>
      <c r="AF206" s="106">
        <f t="shared" si="80"/>
        <v>1828933158.52</v>
      </c>
      <c r="AH206" s="310"/>
    </row>
    <row r="207" spans="1:35" ht="112.5" customHeight="1" x14ac:dyDescent="0.2">
      <c r="A207" s="281"/>
      <c r="B207" s="434"/>
      <c r="C207" s="423"/>
      <c r="D207" s="421"/>
      <c r="E207" s="412">
        <v>2201</v>
      </c>
      <c r="F207" s="411" t="s">
        <v>668</v>
      </c>
      <c r="G207" s="427">
        <v>15.8</v>
      </c>
      <c r="H207" s="412">
        <v>2201026</v>
      </c>
      <c r="I207" s="410" t="s">
        <v>669</v>
      </c>
      <c r="J207" s="427" t="s">
        <v>670</v>
      </c>
      <c r="K207" s="410" t="s">
        <v>671</v>
      </c>
      <c r="L207" s="195" t="s">
        <v>141</v>
      </c>
      <c r="M207" s="195">
        <v>54</v>
      </c>
      <c r="N207" s="195">
        <v>5</v>
      </c>
      <c r="O207" s="195">
        <v>5</v>
      </c>
      <c r="P207" s="490"/>
      <c r="Q207" s="470"/>
      <c r="R207" s="471"/>
      <c r="S207" s="2"/>
      <c r="T207" s="2"/>
      <c r="U207" s="2"/>
      <c r="V207" s="2">
        <v>174455946.69999999</v>
      </c>
      <c r="W207" s="2"/>
      <c r="X207" s="2"/>
      <c r="Y207" s="2">
        <f>43000000-14271081.04-654407</f>
        <v>28074511.960000001</v>
      </c>
      <c r="Z207" s="2"/>
      <c r="AA207" s="2"/>
      <c r="AB207" s="2"/>
      <c r="AC207" s="8">
        <f>90161500.09-26960000+5243865+756135+5333335+2176687</f>
        <v>76711522.090000004</v>
      </c>
      <c r="AD207" s="2"/>
      <c r="AE207" s="2"/>
      <c r="AF207" s="193">
        <f t="shared" si="80"/>
        <v>279241980.75</v>
      </c>
      <c r="AH207" s="310"/>
    </row>
    <row r="208" spans="1:35" ht="100.5" customHeight="1" x14ac:dyDescent="0.2">
      <c r="A208" s="281"/>
      <c r="B208" s="434"/>
      <c r="C208" s="423"/>
      <c r="D208" s="421"/>
      <c r="E208" s="412">
        <v>2201</v>
      </c>
      <c r="F208" s="411" t="s">
        <v>657</v>
      </c>
      <c r="G208" s="435" t="s">
        <v>658</v>
      </c>
      <c r="H208" s="412">
        <v>2201006</v>
      </c>
      <c r="I208" s="410" t="s">
        <v>659</v>
      </c>
      <c r="J208" s="435" t="s">
        <v>660</v>
      </c>
      <c r="K208" s="200" t="s">
        <v>661</v>
      </c>
      <c r="L208" s="195" t="s">
        <v>51</v>
      </c>
      <c r="M208" s="195">
        <v>54</v>
      </c>
      <c r="N208" s="195">
        <v>54</v>
      </c>
      <c r="O208" s="195">
        <v>54</v>
      </c>
      <c r="P208" s="425" t="s">
        <v>160</v>
      </c>
      <c r="Q208" s="412" t="s">
        <v>672</v>
      </c>
      <c r="R208" s="410" t="s">
        <v>673</v>
      </c>
      <c r="S208" s="2"/>
      <c r="T208" s="2"/>
      <c r="U208" s="2"/>
      <c r="V208" s="2"/>
      <c r="W208" s="2"/>
      <c r="X208" s="2"/>
      <c r="Y208" s="17"/>
      <c r="Z208" s="2"/>
      <c r="AA208" s="2"/>
      <c r="AB208" s="2"/>
      <c r="AC208" s="8">
        <v>20000000</v>
      </c>
      <c r="AD208" s="2"/>
      <c r="AE208" s="2"/>
      <c r="AF208" s="106">
        <f t="shared" si="80"/>
        <v>20000000</v>
      </c>
      <c r="AH208" s="310"/>
    </row>
    <row r="209" spans="1:35" s="111" customFormat="1" ht="108" customHeight="1" x14ac:dyDescent="0.25">
      <c r="A209" s="290"/>
      <c r="B209" s="434"/>
      <c r="C209" s="423"/>
      <c r="D209" s="421"/>
      <c r="E209" s="412">
        <v>2201</v>
      </c>
      <c r="F209" s="411" t="s">
        <v>632</v>
      </c>
      <c r="G209" s="427" t="s">
        <v>664</v>
      </c>
      <c r="H209" s="412">
        <v>2201046</v>
      </c>
      <c r="I209" s="410" t="s">
        <v>665</v>
      </c>
      <c r="J209" s="427" t="s">
        <v>666</v>
      </c>
      <c r="K209" s="410" t="s">
        <v>667</v>
      </c>
      <c r="L209" s="195" t="s">
        <v>141</v>
      </c>
      <c r="M209" s="195">
        <v>54</v>
      </c>
      <c r="N209" s="195">
        <v>5</v>
      </c>
      <c r="O209" s="195">
        <v>5</v>
      </c>
      <c r="P209" s="425" t="s">
        <v>160</v>
      </c>
      <c r="Q209" s="412" t="s">
        <v>674</v>
      </c>
      <c r="R209" s="410" t="s">
        <v>675</v>
      </c>
      <c r="S209" s="2"/>
      <c r="T209" s="2"/>
      <c r="U209" s="2"/>
      <c r="V209" s="2"/>
      <c r="W209" s="2"/>
      <c r="X209" s="2"/>
      <c r="Y209" s="20"/>
      <c r="Z209" s="20"/>
      <c r="AA209" s="2"/>
      <c r="AB209" s="2"/>
      <c r="AC209" s="8">
        <f>76000000-17500000</f>
        <v>58500000</v>
      </c>
      <c r="AD209" s="2"/>
      <c r="AE209" s="2"/>
      <c r="AF209" s="106">
        <f t="shared" si="80"/>
        <v>58500000</v>
      </c>
      <c r="AH209" s="310"/>
    </row>
    <row r="210" spans="1:35" ht="85.5" customHeight="1" x14ac:dyDescent="0.2">
      <c r="A210" s="281"/>
      <c r="B210" s="434"/>
      <c r="C210" s="423"/>
      <c r="D210" s="421"/>
      <c r="E210" s="412">
        <v>2201</v>
      </c>
      <c r="F210" s="411" t="s">
        <v>676</v>
      </c>
      <c r="G210" s="419" t="s">
        <v>677</v>
      </c>
      <c r="H210" s="412">
        <v>2201037</v>
      </c>
      <c r="I210" s="410" t="s">
        <v>678</v>
      </c>
      <c r="J210" s="419" t="s">
        <v>679</v>
      </c>
      <c r="K210" s="200" t="s">
        <v>680</v>
      </c>
      <c r="L210" s="195" t="s">
        <v>51</v>
      </c>
      <c r="M210" s="195">
        <v>54</v>
      </c>
      <c r="N210" s="195">
        <v>54</v>
      </c>
      <c r="O210" s="195">
        <v>54</v>
      </c>
      <c r="P210" s="425" t="s">
        <v>160</v>
      </c>
      <c r="Q210" s="412" t="s">
        <v>681</v>
      </c>
      <c r="R210" s="410" t="s">
        <v>682</v>
      </c>
      <c r="S210" s="2"/>
      <c r="T210" s="2"/>
      <c r="U210" s="2"/>
      <c r="V210" s="2"/>
      <c r="W210" s="2"/>
      <c r="X210" s="2"/>
      <c r="Y210" s="2"/>
      <c r="Z210" s="2"/>
      <c r="AA210" s="2"/>
      <c r="AB210" s="2"/>
      <c r="AC210" s="19">
        <f>25000000-5000000+20000000</f>
        <v>40000000</v>
      </c>
      <c r="AD210" s="2"/>
      <c r="AE210" s="2"/>
      <c r="AF210" s="106">
        <f t="shared" si="80"/>
        <v>40000000</v>
      </c>
      <c r="AH210" s="310"/>
    </row>
    <row r="211" spans="1:35" ht="63" customHeight="1" x14ac:dyDescent="0.2">
      <c r="A211" s="281"/>
      <c r="B211" s="434"/>
      <c r="C211" s="423"/>
      <c r="D211" s="421"/>
      <c r="E211" s="412">
        <v>2201</v>
      </c>
      <c r="F211" s="486" t="s">
        <v>632</v>
      </c>
      <c r="G211" s="497" t="s">
        <v>683</v>
      </c>
      <c r="H211" s="470">
        <v>2201050</v>
      </c>
      <c r="I211" s="486" t="s">
        <v>684</v>
      </c>
      <c r="J211" s="419" t="s">
        <v>685</v>
      </c>
      <c r="K211" s="200" t="s">
        <v>686</v>
      </c>
      <c r="L211" s="195" t="s">
        <v>51</v>
      </c>
      <c r="M211" s="195">
        <v>150</v>
      </c>
      <c r="N211" s="195">
        <v>150</v>
      </c>
      <c r="O211" s="326">
        <v>54</v>
      </c>
      <c r="P211" s="425" t="s">
        <v>160</v>
      </c>
      <c r="Q211" s="498" t="s">
        <v>687</v>
      </c>
      <c r="R211" s="471" t="s">
        <v>688</v>
      </c>
      <c r="S211" s="2"/>
      <c r="T211" s="2"/>
      <c r="U211" s="2"/>
      <c r="V211" s="2"/>
      <c r="W211" s="2"/>
      <c r="X211" s="2"/>
      <c r="Y211" s="313">
        <f>700000000-26323820-124403264</f>
        <v>549272916</v>
      </c>
      <c r="Z211" s="2"/>
      <c r="AA211" s="2"/>
      <c r="AB211" s="2"/>
      <c r="AC211" s="19"/>
      <c r="AD211" s="2"/>
      <c r="AE211" s="2"/>
      <c r="AF211" s="106">
        <f t="shared" si="80"/>
        <v>549272916</v>
      </c>
      <c r="AH211" s="310"/>
    </row>
    <row r="212" spans="1:35" s="132" customFormat="1" ht="90.75" customHeight="1" x14ac:dyDescent="0.2">
      <c r="A212" s="287"/>
      <c r="B212" s="430"/>
      <c r="C212" s="432"/>
      <c r="D212" s="233"/>
      <c r="E212" s="427">
        <v>2201</v>
      </c>
      <c r="F212" s="486"/>
      <c r="G212" s="497"/>
      <c r="H212" s="470"/>
      <c r="I212" s="486"/>
      <c r="J212" s="419" t="s">
        <v>689</v>
      </c>
      <c r="K212" s="203" t="s">
        <v>690</v>
      </c>
      <c r="L212" s="435" t="s">
        <v>141</v>
      </c>
      <c r="M212" s="435">
        <v>33000</v>
      </c>
      <c r="N212" s="435">
        <v>10000</v>
      </c>
      <c r="O212" s="435">
        <v>7650</v>
      </c>
      <c r="P212" s="203" t="s">
        <v>160</v>
      </c>
      <c r="Q212" s="498"/>
      <c r="R212" s="471"/>
      <c r="S212" s="2"/>
      <c r="T212" s="2"/>
      <c r="U212" s="2"/>
      <c r="V212" s="2"/>
      <c r="W212" s="2"/>
      <c r="X212" s="2"/>
      <c r="Y212" s="313"/>
      <c r="Z212" s="2"/>
      <c r="AA212" s="2"/>
      <c r="AB212" s="2"/>
      <c r="AC212" s="19"/>
      <c r="AD212" s="2"/>
      <c r="AE212" s="2"/>
      <c r="AF212" s="106">
        <f t="shared" si="80"/>
        <v>0</v>
      </c>
      <c r="AH212" s="310"/>
    </row>
    <row r="213" spans="1:35" ht="63.75" customHeight="1" x14ac:dyDescent="0.2">
      <c r="A213" s="281"/>
      <c r="B213" s="434"/>
      <c r="C213" s="423"/>
      <c r="D213" s="421"/>
      <c r="E213" s="412">
        <v>2201</v>
      </c>
      <c r="F213" s="411" t="s">
        <v>691</v>
      </c>
      <c r="G213" s="419" t="s">
        <v>692</v>
      </c>
      <c r="H213" s="412">
        <v>2201034</v>
      </c>
      <c r="I213" s="410" t="s">
        <v>1371</v>
      </c>
      <c r="J213" s="419" t="s">
        <v>693</v>
      </c>
      <c r="K213" s="200" t="s">
        <v>694</v>
      </c>
      <c r="L213" s="195" t="s">
        <v>141</v>
      </c>
      <c r="M213" s="195">
        <v>15000</v>
      </c>
      <c r="N213" s="195">
        <v>100</v>
      </c>
      <c r="O213" s="435">
        <v>102</v>
      </c>
      <c r="P213" s="488" t="s">
        <v>160</v>
      </c>
      <c r="Q213" s="470" t="s">
        <v>695</v>
      </c>
      <c r="R213" s="471" t="s">
        <v>696</v>
      </c>
      <c r="S213" s="2"/>
      <c r="T213" s="2"/>
      <c r="U213" s="2"/>
      <c r="V213" s="2"/>
      <c r="W213" s="2"/>
      <c r="X213" s="2"/>
      <c r="Y213" s="2"/>
      <c r="Z213" s="2"/>
      <c r="AA213" s="2"/>
      <c r="AB213" s="2"/>
      <c r="AC213" s="409">
        <f>15000000-10000000+15000000-20000000</f>
        <v>0</v>
      </c>
      <c r="AD213" s="2"/>
      <c r="AE213" s="2"/>
      <c r="AF213" s="106">
        <f t="shared" si="80"/>
        <v>0</v>
      </c>
      <c r="AH213" s="310"/>
    </row>
    <row r="214" spans="1:35" ht="88.5" customHeight="1" x14ac:dyDescent="0.2">
      <c r="A214" s="281"/>
      <c r="B214" s="434"/>
      <c r="C214" s="423"/>
      <c r="D214" s="421"/>
      <c r="E214" s="412">
        <v>2201</v>
      </c>
      <c r="F214" s="411" t="s">
        <v>691</v>
      </c>
      <c r="G214" s="419" t="s">
        <v>692</v>
      </c>
      <c r="H214" s="427">
        <v>2201034</v>
      </c>
      <c r="I214" s="426" t="s">
        <v>1371</v>
      </c>
      <c r="J214" s="419" t="s">
        <v>697</v>
      </c>
      <c r="K214" s="203" t="s">
        <v>698</v>
      </c>
      <c r="L214" s="435" t="s">
        <v>51</v>
      </c>
      <c r="M214" s="435">
        <v>54</v>
      </c>
      <c r="N214" s="435">
        <v>54</v>
      </c>
      <c r="O214" s="435">
        <v>54</v>
      </c>
      <c r="P214" s="488"/>
      <c r="Q214" s="470"/>
      <c r="R214" s="471"/>
      <c r="S214" s="2"/>
      <c r="T214" s="2"/>
      <c r="U214" s="2"/>
      <c r="V214" s="2"/>
      <c r="W214" s="2"/>
      <c r="X214" s="2"/>
      <c r="Y214" s="2"/>
      <c r="Z214" s="2"/>
      <c r="AA214" s="2"/>
      <c r="AB214" s="2"/>
      <c r="AC214" s="315">
        <f>10000000-10000000</f>
        <v>0</v>
      </c>
      <c r="AD214" s="231"/>
      <c r="AE214" s="2"/>
      <c r="AF214" s="106">
        <f t="shared" si="80"/>
        <v>0</v>
      </c>
      <c r="AH214" s="310"/>
    </row>
    <row r="215" spans="1:35" ht="61.5" customHeight="1" x14ac:dyDescent="0.2">
      <c r="A215" s="281"/>
      <c r="B215" s="434"/>
      <c r="C215" s="423"/>
      <c r="D215" s="421"/>
      <c r="E215" s="412">
        <v>2201</v>
      </c>
      <c r="F215" s="411" t="s">
        <v>691</v>
      </c>
      <c r="G215" s="427" t="s">
        <v>699</v>
      </c>
      <c r="H215" s="427">
        <v>2201060</v>
      </c>
      <c r="I215" s="426" t="s">
        <v>700</v>
      </c>
      <c r="J215" s="427" t="s">
        <v>701</v>
      </c>
      <c r="K215" s="426" t="s">
        <v>702</v>
      </c>
      <c r="L215" s="435" t="s">
        <v>141</v>
      </c>
      <c r="M215" s="435">
        <v>500</v>
      </c>
      <c r="N215" s="435">
        <v>50</v>
      </c>
      <c r="O215" s="435">
        <v>37</v>
      </c>
      <c r="P215" s="488"/>
      <c r="Q215" s="470"/>
      <c r="R215" s="471"/>
      <c r="S215" s="2"/>
      <c r="T215" s="2"/>
      <c r="U215" s="2"/>
      <c r="V215" s="2"/>
      <c r="W215" s="2"/>
      <c r="X215" s="2"/>
      <c r="Y215" s="2"/>
      <c r="Z215" s="2"/>
      <c r="AA215" s="2"/>
      <c r="AB215" s="2"/>
      <c r="AC215" s="19">
        <v>0</v>
      </c>
      <c r="AD215" s="2"/>
      <c r="AE215" s="2"/>
      <c r="AF215" s="106">
        <f t="shared" si="80"/>
        <v>0</v>
      </c>
      <c r="AH215" s="310"/>
    </row>
    <row r="216" spans="1:35" ht="118.5" customHeight="1" x14ac:dyDescent="0.2">
      <c r="A216" s="281"/>
      <c r="B216" s="434"/>
      <c r="C216" s="423"/>
      <c r="D216" s="421"/>
      <c r="E216" s="412">
        <v>2201</v>
      </c>
      <c r="F216" s="411" t="s">
        <v>657</v>
      </c>
      <c r="G216" s="427" t="s">
        <v>703</v>
      </c>
      <c r="H216" s="412">
        <v>2201015</v>
      </c>
      <c r="I216" s="410" t="s">
        <v>704</v>
      </c>
      <c r="J216" s="427" t="s">
        <v>705</v>
      </c>
      <c r="K216" s="410" t="s">
        <v>706</v>
      </c>
      <c r="L216" s="195" t="s">
        <v>51</v>
      </c>
      <c r="M216" s="195">
        <v>11</v>
      </c>
      <c r="N216" s="195">
        <v>11</v>
      </c>
      <c r="O216" s="326">
        <v>10</v>
      </c>
      <c r="P216" s="425" t="s">
        <v>160</v>
      </c>
      <c r="Q216" s="412" t="s">
        <v>707</v>
      </c>
      <c r="R216" s="410" t="s">
        <v>1343</v>
      </c>
      <c r="S216" s="2"/>
      <c r="T216" s="2"/>
      <c r="U216" s="2"/>
      <c r="V216" s="2"/>
      <c r="W216" s="2"/>
      <c r="X216" s="2"/>
      <c r="Y216" s="2"/>
      <c r="Z216" s="2"/>
      <c r="AA216" s="2"/>
      <c r="AB216" s="2"/>
      <c r="AC216" s="19">
        <v>10000000</v>
      </c>
      <c r="AD216" s="2"/>
      <c r="AE216" s="2"/>
      <c r="AF216" s="106">
        <f t="shared" si="80"/>
        <v>10000000</v>
      </c>
      <c r="AH216" s="310"/>
    </row>
    <row r="217" spans="1:35" ht="27" customHeight="1" x14ac:dyDescent="0.2">
      <c r="A217" s="281"/>
      <c r="B217" s="434"/>
      <c r="C217" s="126">
        <v>44</v>
      </c>
      <c r="D217" s="101" t="s">
        <v>45</v>
      </c>
      <c r="E217" s="424" t="s">
        <v>708</v>
      </c>
      <c r="F217" s="100"/>
      <c r="G217" s="101"/>
      <c r="H217" s="102"/>
      <c r="I217" s="100"/>
      <c r="J217" s="101"/>
      <c r="K217" s="100"/>
      <c r="L217" s="103"/>
      <c r="M217" s="103"/>
      <c r="N217" s="101"/>
      <c r="O217" s="101"/>
      <c r="P217" s="274"/>
      <c r="Q217" s="101"/>
      <c r="R217" s="100"/>
      <c r="S217" s="105">
        <f t="shared" ref="S217:AF217" si="81">SUM(S218:S219)</f>
        <v>0</v>
      </c>
      <c r="T217" s="105">
        <f t="shared" si="81"/>
        <v>0</v>
      </c>
      <c r="U217" s="105">
        <f t="shared" si="81"/>
        <v>0</v>
      </c>
      <c r="V217" s="105">
        <f t="shared" si="81"/>
        <v>90000000</v>
      </c>
      <c r="W217" s="105">
        <f t="shared" si="81"/>
        <v>0</v>
      </c>
      <c r="X217" s="105">
        <f t="shared" si="81"/>
        <v>0</v>
      </c>
      <c r="Y217" s="105">
        <f t="shared" si="81"/>
        <v>0</v>
      </c>
      <c r="Z217" s="105">
        <f t="shared" si="81"/>
        <v>0</v>
      </c>
      <c r="AA217" s="105">
        <f t="shared" si="81"/>
        <v>0</v>
      </c>
      <c r="AB217" s="105">
        <f t="shared" si="81"/>
        <v>0</v>
      </c>
      <c r="AC217" s="105">
        <f t="shared" si="81"/>
        <v>153838500</v>
      </c>
      <c r="AD217" s="105">
        <f t="shared" si="81"/>
        <v>0</v>
      </c>
      <c r="AE217" s="105">
        <f t="shared" si="81"/>
        <v>0</v>
      </c>
      <c r="AF217" s="105">
        <f t="shared" si="81"/>
        <v>243838500</v>
      </c>
      <c r="AH217" s="310"/>
    </row>
    <row r="218" spans="1:35" s="111" customFormat="1" ht="99.75" customHeight="1" x14ac:dyDescent="0.25">
      <c r="A218" s="290"/>
      <c r="B218" s="434"/>
      <c r="C218" s="423"/>
      <c r="D218" s="421"/>
      <c r="E218" s="412" t="s">
        <v>45</v>
      </c>
      <c r="F218" s="411" t="s">
        <v>709</v>
      </c>
      <c r="G218" s="427" t="s">
        <v>710</v>
      </c>
      <c r="H218" s="412" t="s">
        <v>45</v>
      </c>
      <c r="I218" s="410" t="s">
        <v>711</v>
      </c>
      <c r="J218" s="427" t="s">
        <v>712</v>
      </c>
      <c r="K218" s="410" t="s">
        <v>713</v>
      </c>
      <c r="L218" s="195" t="s">
        <v>51</v>
      </c>
      <c r="M218" s="195">
        <v>1</v>
      </c>
      <c r="N218" s="195">
        <v>1</v>
      </c>
      <c r="O218" s="195">
        <v>1</v>
      </c>
      <c r="P218" s="425" t="s">
        <v>160</v>
      </c>
      <c r="Q218" s="412" t="s">
        <v>674</v>
      </c>
      <c r="R218" s="410" t="s">
        <v>714</v>
      </c>
      <c r="S218" s="2"/>
      <c r="T218" s="2"/>
      <c r="U218" s="2"/>
      <c r="V218" s="2">
        <v>40000000</v>
      </c>
      <c r="W218" s="2"/>
      <c r="X218" s="2"/>
      <c r="Y218" s="20"/>
      <c r="Z218" s="20"/>
      <c r="AA218" s="2"/>
      <c r="AB218" s="2"/>
      <c r="AC218" s="8">
        <f>126778000-76778000-46161500</f>
        <v>3838500</v>
      </c>
      <c r="AD218" s="2"/>
      <c r="AE218" s="2"/>
      <c r="AF218" s="106">
        <f>+S218+T218+U218+V218+W218+X218+Y218+Z218+AA218+AB218+AC218+AD218+AE218</f>
        <v>43838500</v>
      </c>
      <c r="AH218" s="310"/>
    </row>
    <row r="219" spans="1:35" s="111" customFormat="1" ht="111" customHeight="1" x14ac:dyDescent="0.25">
      <c r="A219" s="288"/>
      <c r="B219" s="441"/>
      <c r="C219" s="423"/>
      <c r="D219" s="421"/>
      <c r="E219" s="412" t="s">
        <v>45</v>
      </c>
      <c r="F219" s="411" t="s">
        <v>709</v>
      </c>
      <c r="G219" s="435" t="s">
        <v>710</v>
      </c>
      <c r="H219" s="412" t="s">
        <v>45</v>
      </c>
      <c r="I219" s="410" t="s">
        <v>711</v>
      </c>
      <c r="J219" s="435" t="s">
        <v>712</v>
      </c>
      <c r="K219" s="200" t="s">
        <v>713</v>
      </c>
      <c r="L219" s="412" t="s">
        <v>51</v>
      </c>
      <c r="M219" s="412">
        <v>1</v>
      </c>
      <c r="N219" s="129">
        <v>1</v>
      </c>
      <c r="O219" s="129">
        <v>1</v>
      </c>
      <c r="P219" s="425" t="s">
        <v>160</v>
      </c>
      <c r="Q219" s="152" t="s">
        <v>715</v>
      </c>
      <c r="R219" s="410" t="s">
        <v>1344</v>
      </c>
      <c r="S219" s="2"/>
      <c r="T219" s="2"/>
      <c r="U219" s="2"/>
      <c r="V219" s="2">
        <v>50000000</v>
      </c>
      <c r="W219" s="2"/>
      <c r="X219" s="2"/>
      <c r="Y219" s="20"/>
      <c r="Z219" s="20"/>
      <c r="AA219" s="2"/>
      <c r="AB219" s="2"/>
      <c r="AC219" s="8">
        <f>145000000+5000000</f>
        <v>150000000</v>
      </c>
      <c r="AD219" s="2"/>
      <c r="AE219" s="2"/>
      <c r="AF219" s="106">
        <f>+S219+T219+U219+V219+W219+X219+Y219+Z219+AA219+AB219+AC219+AD219+AE219</f>
        <v>200000000</v>
      </c>
      <c r="AH219" s="310"/>
    </row>
    <row r="220" spans="1:35" s="110" customFormat="1" ht="15.75" x14ac:dyDescent="0.2">
      <c r="A220" s="135" t="s">
        <v>717</v>
      </c>
      <c r="B220" s="135"/>
      <c r="C220" s="135"/>
      <c r="D220" s="136"/>
      <c r="E220" s="136"/>
      <c r="F220" s="137"/>
      <c r="G220" s="138"/>
      <c r="H220" s="90"/>
      <c r="I220" s="137"/>
      <c r="J220" s="138"/>
      <c r="K220" s="137"/>
      <c r="L220" s="90"/>
      <c r="M220" s="90"/>
      <c r="N220" s="138"/>
      <c r="O220" s="138"/>
      <c r="P220" s="275"/>
      <c r="Q220" s="138"/>
      <c r="R220" s="137"/>
      <c r="S220" s="119">
        <f t="shared" ref="S220:AF220" si="82">S221+S257+S260</f>
        <v>4262727592.3899999</v>
      </c>
      <c r="T220" s="119">
        <f t="shared" si="82"/>
        <v>0</v>
      </c>
      <c r="U220" s="119">
        <f t="shared" si="82"/>
        <v>0</v>
      </c>
      <c r="V220" s="119">
        <f t="shared" si="82"/>
        <v>0</v>
      </c>
      <c r="W220" s="119">
        <f t="shared" si="82"/>
        <v>0</v>
      </c>
      <c r="X220" s="119">
        <f t="shared" si="82"/>
        <v>0</v>
      </c>
      <c r="Y220" s="119">
        <f t="shared" si="82"/>
        <v>0</v>
      </c>
      <c r="Z220" s="119">
        <f t="shared" si="82"/>
        <v>0</v>
      </c>
      <c r="AA220" s="119">
        <f t="shared" si="82"/>
        <v>0</v>
      </c>
      <c r="AB220" s="119">
        <f t="shared" si="82"/>
        <v>0</v>
      </c>
      <c r="AC220" s="119">
        <f t="shared" si="82"/>
        <v>1671047309</v>
      </c>
      <c r="AD220" s="119">
        <f t="shared" si="82"/>
        <v>0</v>
      </c>
      <c r="AE220" s="119">
        <f t="shared" si="82"/>
        <v>0</v>
      </c>
      <c r="AF220" s="119">
        <f t="shared" si="82"/>
        <v>5933774901.3899994</v>
      </c>
      <c r="AG220" s="310"/>
      <c r="AH220" s="310"/>
      <c r="AI220" s="310"/>
    </row>
    <row r="221" spans="1:35" s="110" customFormat="1" ht="19.5" customHeight="1" x14ac:dyDescent="0.2">
      <c r="A221" s="299"/>
      <c r="B221" s="170">
        <v>1</v>
      </c>
      <c r="C221" s="93" t="s">
        <v>1</v>
      </c>
      <c r="D221" s="94"/>
      <c r="E221" s="94"/>
      <c r="F221" s="95"/>
      <c r="G221" s="96"/>
      <c r="H221" s="97"/>
      <c r="I221" s="95"/>
      <c r="J221" s="96"/>
      <c r="K221" s="95"/>
      <c r="L221" s="98"/>
      <c r="M221" s="98"/>
      <c r="N221" s="96"/>
      <c r="O221" s="96"/>
      <c r="P221" s="276"/>
      <c r="Q221" s="96"/>
      <c r="R221" s="95"/>
      <c r="S221" s="99">
        <f t="shared" ref="S221:AF221" si="83">+S222+S225+S227+S236+S244+S254</f>
        <v>4262727592.3899999</v>
      </c>
      <c r="T221" s="99">
        <f t="shared" si="83"/>
        <v>0</v>
      </c>
      <c r="U221" s="99">
        <f t="shared" si="83"/>
        <v>0</v>
      </c>
      <c r="V221" s="99">
        <f t="shared" si="83"/>
        <v>0</v>
      </c>
      <c r="W221" s="99">
        <f t="shared" si="83"/>
        <v>0</v>
      </c>
      <c r="X221" s="99">
        <f t="shared" si="83"/>
        <v>0</v>
      </c>
      <c r="Y221" s="99">
        <f t="shared" si="83"/>
        <v>0</v>
      </c>
      <c r="Z221" s="99">
        <f t="shared" si="83"/>
        <v>0</v>
      </c>
      <c r="AA221" s="99">
        <f t="shared" si="83"/>
        <v>0</v>
      </c>
      <c r="AB221" s="99">
        <f t="shared" si="83"/>
        <v>0</v>
      </c>
      <c r="AC221" s="99">
        <f t="shared" si="83"/>
        <v>1631047309</v>
      </c>
      <c r="AD221" s="99">
        <f t="shared" si="83"/>
        <v>0</v>
      </c>
      <c r="AE221" s="99">
        <f t="shared" si="83"/>
        <v>0</v>
      </c>
      <c r="AF221" s="99">
        <f t="shared" si="83"/>
        <v>5893774901.3899994</v>
      </c>
      <c r="AH221" s="310"/>
    </row>
    <row r="222" spans="1:35" s="110" customFormat="1" ht="23.25" customHeight="1" x14ac:dyDescent="0.2">
      <c r="A222" s="284"/>
      <c r="B222" s="433"/>
      <c r="C222" s="126">
        <v>12</v>
      </c>
      <c r="D222" s="101">
        <v>1905</v>
      </c>
      <c r="E222" s="257" t="s">
        <v>719</v>
      </c>
      <c r="F222" s="100"/>
      <c r="G222" s="101"/>
      <c r="H222" s="102"/>
      <c r="I222" s="100"/>
      <c r="J222" s="101"/>
      <c r="K222" s="100"/>
      <c r="L222" s="103"/>
      <c r="M222" s="103"/>
      <c r="N222" s="101"/>
      <c r="O222" s="101"/>
      <c r="P222" s="274"/>
      <c r="Q222" s="101"/>
      <c r="R222" s="100"/>
      <c r="S222" s="22">
        <f t="shared" ref="S222:AF222" si="84">SUM(S223:S224)</f>
        <v>0</v>
      </c>
      <c r="T222" s="22">
        <f t="shared" si="84"/>
        <v>0</v>
      </c>
      <c r="U222" s="22">
        <f t="shared" si="84"/>
        <v>0</v>
      </c>
      <c r="V222" s="22">
        <f t="shared" si="84"/>
        <v>0</v>
      </c>
      <c r="W222" s="22">
        <f t="shared" si="84"/>
        <v>0</v>
      </c>
      <c r="X222" s="22">
        <f t="shared" si="84"/>
        <v>0</v>
      </c>
      <c r="Y222" s="22">
        <f t="shared" si="84"/>
        <v>0</v>
      </c>
      <c r="Z222" s="22">
        <f t="shared" si="84"/>
        <v>0</v>
      </c>
      <c r="AA222" s="22">
        <f t="shared" si="84"/>
        <v>0</v>
      </c>
      <c r="AB222" s="22">
        <f t="shared" si="84"/>
        <v>0</v>
      </c>
      <c r="AC222" s="22">
        <f t="shared" si="84"/>
        <v>54477635</v>
      </c>
      <c r="AD222" s="22">
        <f t="shared" si="84"/>
        <v>0</v>
      </c>
      <c r="AE222" s="22">
        <f t="shared" si="84"/>
        <v>0</v>
      </c>
      <c r="AF222" s="22">
        <f t="shared" si="84"/>
        <v>54477635</v>
      </c>
      <c r="AH222" s="310"/>
    </row>
    <row r="223" spans="1:35" s="110" customFormat="1" ht="237.75" customHeight="1" x14ac:dyDescent="0.2">
      <c r="A223" s="284"/>
      <c r="B223" s="434"/>
      <c r="C223" s="240"/>
      <c r="D223" s="412"/>
      <c r="E223" s="235">
        <v>1905</v>
      </c>
      <c r="F223" s="410" t="s">
        <v>720</v>
      </c>
      <c r="G223" s="253" t="s">
        <v>721</v>
      </c>
      <c r="H223" s="129">
        <v>1905021</v>
      </c>
      <c r="I223" s="410" t="s">
        <v>722</v>
      </c>
      <c r="J223" s="412" t="s">
        <v>723</v>
      </c>
      <c r="K223" s="410" t="s">
        <v>724</v>
      </c>
      <c r="L223" s="195" t="s">
        <v>51</v>
      </c>
      <c r="M223" s="195">
        <v>12</v>
      </c>
      <c r="N223" s="195">
        <v>12</v>
      </c>
      <c r="O223" s="195">
        <v>12</v>
      </c>
      <c r="P223" s="471" t="s">
        <v>150</v>
      </c>
      <c r="Q223" s="470" t="s">
        <v>725</v>
      </c>
      <c r="R223" s="489" t="s">
        <v>726</v>
      </c>
      <c r="S223" s="2"/>
      <c r="T223" s="2"/>
      <c r="U223" s="2"/>
      <c r="V223" s="2"/>
      <c r="W223" s="2"/>
      <c r="X223" s="2"/>
      <c r="Y223" s="2"/>
      <c r="Z223" s="2"/>
      <c r="AA223" s="2"/>
      <c r="AB223" s="2"/>
      <c r="AC223" s="8">
        <f>25000000+10000000</f>
        <v>35000000</v>
      </c>
      <c r="AD223" s="2"/>
      <c r="AE223" s="2"/>
      <c r="AF223" s="106">
        <f>+S223+T223+U223+V223+W223+X223+Y223+Z223+AA223+AB223+AC223+AD223+AE223</f>
        <v>35000000</v>
      </c>
      <c r="AH223" s="310"/>
    </row>
    <row r="224" spans="1:35" s="110" customFormat="1" ht="177" customHeight="1" x14ac:dyDescent="0.2">
      <c r="A224" s="284"/>
      <c r="B224" s="434"/>
      <c r="C224" s="240"/>
      <c r="D224" s="412"/>
      <c r="E224" s="235">
        <v>1905</v>
      </c>
      <c r="F224" s="410" t="s">
        <v>1377</v>
      </c>
      <c r="G224" s="326" t="s">
        <v>727</v>
      </c>
      <c r="H224" s="156">
        <v>1905022</v>
      </c>
      <c r="I224" s="157" t="s">
        <v>728</v>
      </c>
      <c r="J224" s="195" t="s">
        <v>729</v>
      </c>
      <c r="K224" s="200" t="s">
        <v>730</v>
      </c>
      <c r="L224" s="195" t="s">
        <v>51</v>
      </c>
      <c r="M224" s="195">
        <v>12</v>
      </c>
      <c r="N224" s="195">
        <v>12</v>
      </c>
      <c r="O224" s="195">
        <v>12</v>
      </c>
      <c r="P224" s="471"/>
      <c r="Q224" s="470"/>
      <c r="R224" s="489"/>
      <c r="S224" s="2"/>
      <c r="T224" s="2"/>
      <c r="U224" s="2"/>
      <c r="V224" s="2"/>
      <c r="W224" s="2"/>
      <c r="X224" s="2"/>
      <c r="Y224" s="2"/>
      <c r="Z224" s="2"/>
      <c r="AA224" s="2"/>
      <c r="AB224" s="2"/>
      <c r="AC224" s="236">
        <f>29477635-10000000</f>
        <v>19477635</v>
      </c>
      <c r="AD224" s="2"/>
      <c r="AE224" s="2"/>
      <c r="AF224" s="106">
        <f>+S224+T224+U224+V224+W224+X224+Y224+Z224+AA224+AB224+AC224+AD224+AE224</f>
        <v>19477635</v>
      </c>
      <c r="AH224" s="310"/>
    </row>
    <row r="225" spans="1:34" s="110" customFormat="1" ht="15.75" customHeight="1" x14ac:dyDescent="0.2">
      <c r="A225" s="284"/>
      <c r="B225" s="434"/>
      <c r="C225" s="126">
        <v>25</v>
      </c>
      <c r="D225" s="101">
        <v>3301</v>
      </c>
      <c r="E225" s="424" t="s">
        <v>163</v>
      </c>
      <c r="F225" s="100"/>
      <c r="G225" s="101"/>
      <c r="H225" s="102"/>
      <c r="I225" s="100"/>
      <c r="J225" s="101"/>
      <c r="K225" s="100"/>
      <c r="L225" s="258"/>
      <c r="M225" s="258"/>
      <c r="N225" s="101"/>
      <c r="O225" s="101"/>
      <c r="P225" s="274"/>
      <c r="Q225" s="101"/>
      <c r="R225" s="100"/>
      <c r="S225" s="22">
        <f t="shared" ref="S225:AF225" si="85">SUM(S226)</f>
        <v>0</v>
      </c>
      <c r="T225" s="22">
        <f t="shared" si="85"/>
        <v>0</v>
      </c>
      <c r="U225" s="22">
        <f t="shared" si="85"/>
        <v>0</v>
      </c>
      <c r="V225" s="22">
        <f t="shared" si="85"/>
        <v>0</v>
      </c>
      <c r="W225" s="22">
        <f t="shared" si="85"/>
        <v>0</v>
      </c>
      <c r="X225" s="22">
        <f t="shared" si="85"/>
        <v>0</v>
      </c>
      <c r="Y225" s="22">
        <f t="shared" si="85"/>
        <v>0</v>
      </c>
      <c r="Z225" s="22">
        <f t="shared" si="85"/>
        <v>0</v>
      </c>
      <c r="AA225" s="22">
        <f t="shared" si="85"/>
        <v>0</v>
      </c>
      <c r="AB225" s="22">
        <f t="shared" si="85"/>
        <v>0</v>
      </c>
      <c r="AC225" s="22">
        <f t="shared" si="85"/>
        <v>47000000</v>
      </c>
      <c r="AD225" s="22">
        <f t="shared" si="85"/>
        <v>0</v>
      </c>
      <c r="AE225" s="22">
        <f t="shared" si="85"/>
        <v>0</v>
      </c>
      <c r="AF225" s="22">
        <f t="shared" si="85"/>
        <v>47000000</v>
      </c>
      <c r="AH225" s="310"/>
    </row>
    <row r="226" spans="1:34" s="110" customFormat="1" ht="65.25" customHeight="1" x14ac:dyDescent="0.2">
      <c r="A226" s="284"/>
      <c r="B226" s="434"/>
      <c r="C226" s="240"/>
      <c r="D226" s="412"/>
      <c r="E226" s="235">
        <v>3301</v>
      </c>
      <c r="F226" s="410" t="s">
        <v>1376</v>
      </c>
      <c r="G226" s="253" t="s">
        <v>731</v>
      </c>
      <c r="H226" s="129">
        <v>3301051</v>
      </c>
      <c r="I226" s="410" t="s">
        <v>732</v>
      </c>
      <c r="J226" s="412" t="s">
        <v>733</v>
      </c>
      <c r="K226" s="410" t="s">
        <v>734</v>
      </c>
      <c r="L226" s="195" t="s">
        <v>141</v>
      </c>
      <c r="M226" s="195">
        <v>1000</v>
      </c>
      <c r="N226" s="195">
        <v>50</v>
      </c>
      <c r="O226" s="435">
        <v>275</v>
      </c>
      <c r="P226" s="410" t="s">
        <v>169</v>
      </c>
      <c r="Q226" s="412" t="s">
        <v>735</v>
      </c>
      <c r="R226" s="410" t="s">
        <v>736</v>
      </c>
      <c r="S226" s="2"/>
      <c r="T226" s="2"/>
      <c r="U226" s="2"/>
      <c r="V226" s="2"/>
      <c r="W226" s="2"/>
      <c r="X226" s="2"/>
      <c r="Y226" s="2"/>
      <c r="Z226" s="2"/>
      <c r="AA226" s="2"/>
      <c r="AB226" s="2"/>
      <c r="AC226" s="8">
        <f>20000000+27000000</f>
        <v>47000000</v>
      </c>
      <c r="AD226" s="2"/>
      <c r="AE226" s="2"/>
      <c r="AF226" s="106">
        <f>+S226+T226+U226+V226+W226+X226+Y226+Z226+AA226+AB226+AC226+AD226+AE226</f>
        <v>47000000</v>
      </c>
      <c r="AH226" s="310"/>
    </row>
    <row r="227" spans="1:34" s="110" customFormat="1" ht="15.75" x14ac:dyDescent="0.2">
      <c r="A227" s="284"/>
      <c r="B227" s="434"/>
      <c r="C227" s="126">
        <v>36</v>
      </c>
      <c r="D227" s="101">
        <v>4102</v>
      </c>
      <c r="E227" s="424" t="s">
        <v>737</v>
      </c>
      <c r="F227" s="100"/>
      <c r="G227" s="101"/>
      <c r="H227" s="102"/>
      <c r="I227" s="100"/>
      <c r="J227" s="101"/>
      <c r="K227" s="100"/>
      <c r="L227" s="103"/>
      <c r="M227" s="103"/>
      <c r="N227" s="101"/>
      <c r="O227" s="101"/>
      <c r="P227" s="104"/>
      <c r="Q227" s="101"/>
      <c r="R227" s="100"/>
      <c r="S227" s="22">
        <f t="shared" ref="S227:AF227" si="86">SUM(S228:S235)</f>
        <v>0</v>
      </c>
      <c r="T227" s="22">
        <f t="shared" si="86"/>
        <v>0</v>
      </c>
      <c r="U227" s="22">
        <f t="shared" si="86"/>
        <v>0</v>
      </c>
      <c r="V227" s="22">
        <f t="shared" si="86"/>
        <v>0</v>
      </c>
      <c r="W227" s="22">
        <f t="shared" si="86"/>
        <v>0</v>
      </c>
      <c r="X227" s="22">
        <f t="shared" si="86"/>
        <v>0</v>
      </c>
      <c r="Y227" s="22">
        <f t="shared" si="86"/>
        <v>0</v>
      </c>
      <c r="Z227" s="22">
        <f t="shared" si="86"/>
        <v>0</v>
      </c>
      <c r="AA227" s="22">
        <f t="shared" si="86"/>
        <v>0</v>
      </c>
      <c r="AB227" s="22">
        <f t="shared" si="86"/>
        <v>0</v>
      </c>
      <c r="AC227" s="22">
        <f t="shared" si="86"/>
        <v>687297832</v>
      </c>
      <c r="AD227" s="22">
        <f t="shared" si="86"/>
        <v>0</v>
      </c>
      <c r="AE227" s="22">
        <f t="shared" si="86"/>
        <v>0</v>
      </c>
      <c r="AF227" s="22">
        <f t="shared" si="86"/>
        <v>687297832</v>
      </c>
      <c r="AH227" s="310"/>
    </row>
    <row r="228" spans="1:34" s="110" customFormat="1" ht="78" customHeight="1" x14ac:dyDescent="0.2">
      <c r="A228" s="284"/>
      <c r="B228" s="434"/>
      <c r="C228" s="423"/>
      <c r="D228" s="421"/>
      <c r="E228" s="235">
        <v>4102</v>
      </c>
      <c r="F228" s="410" t="s">
        <v>1375</v>
      </c>
      <c r="G228" s="326" t="s">
        <v>738</v>
      </c>
      <c r="H228" s="129" t="s">
        <v>45</v>
      </c>
      <c r="I228" s="410" t="s">
        <v>739</v>
      </c>
      <c r="J228" s="195" t="s">
        <v>740</v>
      </c>
      <c r="K228" s="202" t="s">
        <v>741</v>
      </c>
      <c r="L228" s="198" t="s">
        <v>51</v>
      </c>
      <c r="M228" s="198">
        <v>1</v>
      </c>
      <c r="N228" s="198">
        <v>1</v>
      </c>
      <c r="O228" s="198">
        <v>0.18</v>
      </c>
      <c r="P228" s="471" t="s">
        <v>280</v>
      </c>
      <c r="Q228" s="470" t="s">
        <v>742</v>
      </c>
      <c r="R228" s="471" t="s">
        <v>1345</v>
      </c>
      <c r="S228" s="2"/>
      <c r="T228" s="2"/>
      <c r="U228" s="2"/>
      <c r="V228" s="2"/>
      <c r="W228" s="2"/>
      <c r="X228" s="2"/>
      <c r="Y228" s="2"/>
      <c r="Z228" s="2"/>
      <c r="AA228" s="2"/>
      <c r="AB228" s="2"/>
      <c r="AC228" s="8">
        <v>30000000</v>
      </c>
      <c r="AD228" s="2"/>
      <c r="AE228" s="2"/>
      <c r="AF228" s="131">
        <f t="shared" ref="AF228:AF235" si="87">+S228+T228+U228+V228+W228+X228+Y228+Z228+AA228+AB228+AC228+AD228+AE228</f>
        <v>30000000</v>
      </c>
      <c r="AH228" s="310"/>
    </row>
    <row r="229" spans="1:34" s="110" customFormat="1" ht="72.75" customHeight="1" x14ac:dyDescent="0.2">
      <c r="A229" s="284"/>
      <c r="B229" s="434"/>
      <c r="C229" s="423"/>
      <c r="D229" s="421"/>
      <c r="E229" s="235">
        <v>4102</v>
      </c>
      <c r="F229" s="410" t="s">
        <v>744</v>
      </c>
      <c r="G229" s="326" t="s">
        <v>745</v>
      </c>
      <c r="H229" s="129" t="s">
        <v>45</v>
      </c>
      <c r="I229" s="410" t="s">
        <v>746</v>
      </c>
      <c r="J229" s="195" t="s">
        <v>747</v>
      </c>
      <c r="K229" s="202" t="s">
        <v>748</v>
      </c>
      <c r="L229" s="198" t="s">
        <v>51</v>
      </c>
      <c r="M229" s="198">
        <v>12</v>
      </c>
      <c r="N229" s="198">
        <v>12</v>
      </c>
      <c r="O229" s="198">
        <v>12</v>
      </c>
      <c r="P229" s="471"/>
      <c r="Q229" s="470"/>
      <c r="R229" s="471"/>
      <c r="S229" s="2"/>
      <c r="T229" s="2"/>
      <c r="U229" s="2"/>
      <c r="V229" s="2"/>
      <c r="W229" s="2"/>
      <c r="X229" s="2"/>
      <c r="Y229" s="2"/>
      <c r="Z229" s="2"/>
      <c r="AA229" s="2"/>
      <c r="AB229" s="2"/>
      <c r="AC229" s="8">
        <v>25000000</v>
      </c>
      <c r="AD229" s="2"/>
      <c r="AE229" s="2"/>
      <c r="AF229" s="131">
        <f t="shared" si="87"/>
        <v>25000000</v>
      </c>
      <c r="AH229" s="310"/>
    </row>
    <row r="230" spans="1:34" s="110" customFormat="1" ht="162.75" customHeight="1" x14ac:dyDescent="0.2">
      <c r="A230" s="284"/>
      <c r="B230" s="434"/>
      <c r="C230" s="240"/>
      <c r="D230" s="412"/>
      <c r="E230" s="235">
        <v>4102</v>
      </c>
      <c r="F230" s="410" t="s">
        <v>749</v>
      </c>
      <c r="G230" s="326" t="s">
        <v>750</v>
      </c>
      <c r="H230" s="129" t="s">
        <v>45</v>
      </c>
      <c r="I230" s="410" t="s">
        <v>751</v>
      </c>
      <c r="J230" s="195" t="s">
        <v>752</v>
      </c>
      <c r="K230" s="202" t="s">
        <v>753</v>
      </c>
      <c r="L230" s="198" t="s">
        <v>51</v>
      </c>
      <c r="M230" s="198">
        <v>1</v>
      </c>
      <c r="N230" s="198">
        <v>1</v>
      </c>
      <c r="O230" s="228">
        <v>1</v>
      </c>
      <c r="P230" s="411" t="s">
        <v>67</v>
      </c>
      <c r="Q230" s="412" t="s">
        <v>754</v>
      </c>
      <c r="R230" s="410" t="s">
        <v>1346</v>
      </c>
      <c r="S230" s="2"/>
      <c r="T230" s="2"/>
      <c r="U230" s="2"/>
      <c r="V230" s="2"/>
      <c r="W230" s="2"/>
      <c r="X230" s="2"/>
      <c r="Y230" s="2"/>
      <c r="Z230" s="2"/>
      <c r="AA230" s="2"/>
      <c r="AB230" s="2"/>
      <c r="AC230" s="8">
        <f>180000000-100103834</f>
        <v>79896166</v>
      </c>
      <c r="AD230" s="2"/>
      <c r="AE230" s="2"/>
      <c r="AF230" s="131">
        <f t="shared" si="87"/>
        <v>79896166</v>
      </c>
      <c r="AH230" s="310"/>
    </row>
    <row r="231" spans="1:34" s="155" customFormat="1" ht="183.75" customHeight="1" x14ac:dyDescent="0.2">
      <c r="A231" s="300"/>
      <c r="B231" s="430"/>
      <c r="C231" s="429"/>
      <c r="D231" s="427"/>
      <c r="E231" s="151">
        <v>4102</v>
      </c>
      <c r="F231" s="428" t="s">
        <v>756</v>
      </c>
      <c r="G231" s="427" t="s">
        <v>757</v>
      </c>
      <c r="H231" s="129" t="s">
        <v>45</v>
      </c>
      <c r="I231" s="426" t="s">
        <v>758</v>
      </c>
      <c r="J231" s="427" t="s">
        <v>759</v>
      </c>
      <c r="K231" s="426" t="s">
        <v>760</v>
      </c>
      <c r="L231" s="198" t="s">
        <v>51</v>
      </c>
      <c r="M231" s="198">
        <v>1</v>
      </c>
      <c r="N231" s="198">
        <v>1</v>
      </c>
      <c r="O231" s="198">
        <v>1</v>
      </c>
      <c r="P231" s="428" t="s">
        <v>280</v>
      </c>
      <c r="Q231" s="427" t="s">
        <v>761</v>
      </c>
      <c r="R231" s="426" t="s">
        <v>762</v>
      </c>
      <c r="S231" s="2"/>
      <c r="T231" s="2"/>
      <c r="U231" s="2"/>
      <c r="V231" s="2"/>
      <c r="W231" s="2"/>
      <c r="X231" s="2"/>
      <c r="Y231" s="2"/>
      <c r="Z231" s="2"/>
      <c r="AA231" s="2"/>
      <c r="AB231" s="2"/>
      <c r="AC231" s="8">
        <f>240000000+190000000</f>
        <v>430000000</v>
      </c>
      <c r="AD231" s="2"/>
      <c r="AE231" s="2"/>
      <c r="AF231" s="131">
        <f t="shared" si="87"/>
        <v>430000000</v>
      </c>
      <c r="AH231" s="310"/>
    </row>
    <row r="232" spans="1:34" s="110" customFormat="1" ht="117" customHeight="1" x14ac:dyDescent="0.2">
      <c r="A232" s="284"/>
      <c r="B232" s="434"/>
      <c r="C232" s="240"/>
      <c r="D232" s="412"/>
      <c r="E232" s="235">
        <v>4102</v>
      </c>
      <c r="F232" s="410" t="s">
        <v>763</v>
      </c>
      <c r="G232" s="326" t="s">
        <v>764</v>
      </c>
      <c r="H232" s="129" t="s">
        <v>45</v>
      </c>
      <c r="I232" s="411" t="s">
        <v>765</v>
      </c>
      <c r="J232" s="195" t="s">
        <v>766</v>
      </c>
      <c r="K232" s="410" t="s">
        <v>767</v>
      </c>
      <c r="L232" s="198" t="s">
        <v>51</v>
      </c>
      <c r="M232" s="198">
        <v>1</v>
      </c>
      <c r="N232" s="198">
        <v>1</v>
      </c>
      <c r="O232" s="198">
        <v>1</v>
      </c>
      <c r="P232" s="411" t="s">
        <v>280</v>
      </c>
      <c r="Q232" s="412" t="s">
        <v>735</v>
      </c>
      <c r="R232" s="410" t="s">
        <v>736</v>
      </c>
      <c r="S232" s="2"/>
      <c r="T232" s="2"/>
      <c r="U232" s="2"/>
      <c r="V232" s="2"/>
      <c r="W232" s="2"/>
      <c r="X232" s="2"/>
      <c r="Y232" s="2"/>
      <c r="Z232" s="2"/>
      <c r="AA232" s="2"/>
      <c r="AB232" s="2"/>
      <c r="AC232" s="8">
        <f>180000000-139598334</f>
        <v>40401666</v>
      </c>
      <c r="AD232" s="2"/>
      <c r="AE232" s="2"/>
      <c r="AF232" s="131">
        <f t="shared" si="87"/>
        <v>40401666</v>
      </c>
      <c r="AH232" s="310"/>
    </row>
    <row r="233" spans="1:34" s="110" customFormat="1" ht="153.75" customHeight="1" x14ac:dyDescent="0.2">
      <c r="A233" s="284"/>
      <c r="B233" s="434"/>
      <c r="C233" s="240"/>
      <c r="D233" s="412"/>
      <c r="E233" s="235">
        <v>4102</v>
      </c>
      <c r="F233" s="410" t="s">
        <v>768</v>
      </c>
      <c r="G233" s="253" t="s">
        <v>769</v>
      </c>
      <c r="H233" s="129" t="s">
        <v>45</v>
      </c>
      <c r="I233" s="410" t="s">
        <v>770</v>
      </c>
      <c r="J233" s="412" t="s">
        <v>771</v>
      </c>
      <c r="K233" s="410" t="s">
        <v>772</v>
      </c>
      <c r="L233" s="198" t="s">
        <v>51</v>
      </c>
      <c r="M233" s="198">
        <v>12</v>
      </c>
      <c r="N233" s="198">
        <v>12</v>
      </c>
      <c r="O233" s="198">
        <v>12</v>
      </c>
      <c r="P233" s="411" t="s">
        <v>253</v>
      </c>
      <c r="Q233" s="412" t="s">
        <v>773</v>
      </c>
      <c r="R233" s="157" t="s">
        <v>774</v>
      </c>
      <c r="S233" s="2"/>
      <c r="T233" s="2"/>
      <c r="U233" s="2"/>
      <c r="V233" s="2"/>
      <c r="W233" s="2"/>
      <c r="X233" s="2"/>
      <c r="Y233" s="2"/>
      <c r="Z233" s="2"/>
      <c r="AA233" s="2"/>
      <c r="AB233" s="2"/>
      <c r="AC233" s="8">
        <v>13000000</v>
      </c>
      <c r="AD233" s="2"/>
      <c r="AE233" s="2"/>
      <c r="AF233" s="131">
        <f t="shared" si="87"/>
        <v>13000000</v>
      </c>
      <c r="AH233" s="310"/>
    </row>
    <row r="234" spans="1:34" s="155" customFormat="1" ht="216.75" customHeight="1" x14ac:dyDescent="0.2">
      <c r="A234" s="300"/>
      <c r="B234" s="430"/>
      <c r="C234" s="429"/>
      <c r="D234" s="427"/>
      <c r="E234" s="235">
        <v>4102</v>
      </c>
      <c r="F234" s="426" t="s">
        <v>1378</v>
      </c>
      <c r="G234" s="238" t="s">
        <v>775</v>
      </c>
      <c r="H234" s="153">
        <v>4102022</v>
      </c>
      <c r="I234" s="154" t="s">
        <v>776</v>
      </c>
      <c r="J234" s="153" t="s">
        <v>777</v>
      </c>
      <c r="K234" s="154" t="s">
        <v>778</v>
      </c>
      <c r="L234" s="198" t="s">
        <v>141</v>
      </c>
      <c r="M234" s="198">
        <v>64</v>
      </c>
      <c r="N234" s="198">
        <v>6</v>
      </c>
      <c r="O234" s="198">
        <v>12</v>
      </c>
      <c r="P234" s="428" t="s">
        <v>280</v>
      </c>
      <c r="Q234" s="253" t="s">
        <v>779</v>
      </c>
      <c r="R234" s="239" t="s">
        <v>780</v>
      </c>
      <c r="S234" s="2"/>
      <c r="T234" s="2"/>
      <c r="U234" s="2"/>
      <c r="V234" s="2"/>
      <c r="W234" s="2"/>
      <c r="X234" s="2"/>
      <c r="Y234" s="2"/>
      <c r="Z234" s="2"/>
      <c r="AA234" s="2"/>
      <c r="AB234" s="2"/>
      <c r="AC234" s="8">
        <v>55000000</v>
      </c>
      <c r="AD234" s="2"/>
      <c r="AE234" s="2"/>
      <c r="AF234" s="131">
        <f t="shared" si="87"/>
        <v>55000000</v>
      </c>
      <c r="AH234" s="310"/>
    </row>
    <row r="235" spans="1:34" s="110" customFormat="1" ht="111" customHeight="1" x14ac:dyDescent="0.2">
      <c r="A235" s="284"/>
      <c r="B235" s="434"/>
      <c r="C235" s="240"/>
      <c r="D235" s="412"/>
      <c r="E235" s="235">
        <v>4102</v>
      </c>
      <c r="F235" s="410" t="s">
        <v>781</v>
      </c>
      <c r="G235" s="326" t="s">
        <v>782</v>
      </c>
      <c r="H235" s="412">
        <v>4102038</v>
      </c>
      <c r="I235" s="410" t="s">
        <v>783</v>
      </c>
      <c r="J235" s="195" t="s">
        <v>784</v>
      </c>
      <c r="K235" s="200" t="s">
        <v>785</v>
      </c>
      <c r="L235" s="198" t="s">
        <v>141</v>
      </c>
      <c r="M235" s="198">
        <v>40</v>
      </c>
      <c r="N235" s="198">
        <v>10</v>
      </c>
      <c r="O235" s="198">
        <v>47</v>
      </c>
      <c r="P235" s="411" t="s">
        <v>253</v>
      </c>
      <c r="Q235" s="412" t="s">
        <v>786</v>
      </c>
      <c r="R235" s="157" t="s">
        <v>787</v>
      </c>
      <c r="S235" s="2"/>
      <c r="T235" s="2"/>
      <c r="U235" s="2"/>
      <c r="V235" s="2"/>
      <c r="W235" s="2"/>
      <c r="X235" s="2"/>
      <c r="Y235" s="2"/>
      <c r="Z235" s="2"/>
      <c r="AA235" s="2"/>
      <c r="AB235" s="2"/>
      <c r="AC235" s="8">
        <v>14000000</v>
      </c>
      <c r="AD235" s="2"/>
      <c r="AE235" s="2"/>
      <c r="AF235" s="131">
        <f t="shared" si="87"/>
        <v>14000000</v>
      </c>
      <c r="AH235" s="310"/>
    </row>
    <row r="236" spans="1:34" s="110" customFormat="1" ht="15.75" x14ac:dyDescent="0.2">
      <c r="A236" s="284"/>
      <c r="B236" s="434"/>
      <c r="C236" s="126">
        <v>37</v>
      </c>
      <c r="D236" s="101">
        <v>4103</v>
      </c>
      <c r="E236" s="424" t="s">
        <v>301</v>
      </c>
      <c r="F236" s="100"/>
      <c r="G236" s="101"/>
      <c r="H236" s="102"/>
      <c r="I236" s="100"/>
      <c r="J236" s="101"/>
      <c r="K236" s="100"/>
      <c r="L236" s="103"/>
      <c r="M236" s="103"/>
      <c r="N236" s="101"/>
      <c r="O236" s="101"/>
      <c r="P236" s="274"/>
      <c r="Q236" s="101"/>
      <c r="R236" s="100"/>
      <c r="S236" s="22">
        <f t="shared" ref="S236:AF236" si="88">SUM(S237:S243)</f>
        <v>0</v>
      </c>
      <c r="T236" s="22">
        <f t="shared" si="88"/>
        <v>0</v>
      </c>
      <c r="U236" s="22">
        <f t="shared" si="88"/>
        <v>0</v>
      </c>
      <c r="V236" s="22">
        <f t="shared" si="88"/>
        <v>0</v>
      </c>
      <c r="W236" s="22">
        <f t="shared" si="88"/>
        <v>0</v>
      </c>
      <c r="X236" s="22">
        <f t="shared" si="88"/>
        <v>0</v>
      </c>
      <c r="Y236" s="22">
        <f t="shared" si="88"/>
        <v>0</v>
      </c>
      <c r="Z236" s="22">
        <f t="shared" si="88"/>
        <v>0</v>
      </c>
      <c r="AA236" s="22">
        <f t="shared" si="88"/>
        <v>0</v>
      </c>
      <c r="AB236" s="22">
        <f t="shared" si="88"/>
        <v>0</v>
      </c>
      <c r="AC236" s="22">
        <f t="shared" si="88"/>
        <v>233020000</v>
      </c>
      <c r="AD236" s="22">
        <f t="shared" si="88"/>
        <v>0</v>
      </c>
      <c r="AE236" s="22">
        <f t="shared" si="88"/>
        <v>0</v>
      </c>
      <c r="AF236" s="22">
        <f t="shared" si="88"/>
        <v>233020000</v>
      </c>
      <c r="AH236" s="310"/>
    </row>
    <row r="237" spans="1:34" s="110" customFormat="1" ht="76.5" customHeight="1" x14ac:dyDescent="0.2">
      <c r="A237" s="284"/>
      <c r="B237" s="434"/>
      <c r="C237" s="240"/>
      <c r="D237" s="412"/>
      <c r="E237" s="235">
        <v>4103</v>
      </c>
      <c r="F237" s="410" t="s">
        <v>1347</v>
      </c>
      <c r="G237" s="326" t="s">
        <v>1395</v>
      </c>
      <c r="H237" s="129">
        <v>4103059</v>
      </c>
      <c r="I237" s="410" t="s">
        <v>788</v>
      </c>
      <c r="J237" s="195" t="s">
        <v>789</v>
      </c>
      <c r="K237" s="200" t="s">
        <v>790</v>
      </c>
      <c r="L237" s="195" t="s">
        <v>141</v>
      </c>
      <c r="M237" s="195">
        <v>50</v>
      </c>
      <c r="N237" s="195">
        <v>8</v>
      </c>
      <c r="O237" s="195">
        <v>11</v>
      </c>
      <c r="P237" s="411" t="s">
        <v>280</v>
      </c>
      <c r="Q237" s="412" t="s">
        <v>735</v>
      </c>
      <c r="R237" s="410" t="s">
        <v>736</v>
      </c>
      <c r="S237" s="2"/>
      <c r="T237" s="2"/>
      <c r="U237" s="2"/>
      <c r="V237" s="2"/>
      <c r="W237" s="2"/>
      <c r="X237" s="2"/>
      <c r="Y237" s="2"/>
      <c r="Z237" s="2"/>
      <c r="AA237" s="2"/>
      <c r="AB237" s="2"/>
      <c r="AC237" s="8">
        <v>27000000</v>
      </c>
      <c r="AD237" s="2"/>
      <c r="AE237" s="2"/>
      <c r="AF237" s="131">
        <f t="shared" ref="AF237:AF243" si="89">+S237+T237+U237+V237+W237+X237+Y237+Z237+AA237+AB237+AC237+AD237+AE237</f>
        <v>27000000</v>
      </c>
      <c r="AH237" s="310"/>
    </row>
    <row r="238" spans="1:34" s="110" customFormat="1" ht="112.5" customHeight="1" x14ac:dyDescent="0.2">
      <c r="A238" s="284"/>
      <c r="B238" s="434"/>
      <c r="C238" s="240"/>
      <c r="D238" s="412"/>
      <c r="E238" s="235">
        <v>4103</v>
      </c>
      <c r="F238" s="411" t="s">
        <v>791</v>
      </c>
      <c r="G238" s="326" t="s">
        <v>792</v>
      </c>
      <c r="H238" s="316">
        <v>4103052</v>
      </c>
      <c r="I238" s="411" t="s">
        <v>793</v>
      </c>
      <c r="J238" s="195" t="s">
        <v>794</v>
      </c>
      <c r="K238" s="202" t="s">
        <v>1299</v>
      </c>
      <c r="L238" s="195" t="s">
        <v>51</v>
      </c>
      <c r="M238" s="195">
        <v>1</v>
      </c>
      <c r="N238" s="195">
        <v>1</v>
      </c>
      <c r="O238" s="195">
        <v>1</v>
      </c>
      <c r="P238" s="411" t="s">
        <v>280</v>
      </c>
      <c r="Q238" s="412" t="s">
        <v>795</v>
      </c>
      <c r="R238" s="410" t="s">
        <v>796</v>
      </c>
      <c r="S238" s="2"/>
      <c r="T238" s="2"/>
      <c r="U238" s="2"/>
      <c r="V238" s="2"/>
      <c r="W238" s="2"/>
      <c r="X238" s="2"/>
      <c r="Y238" s="2"/>
      <c r="Z238" s="2"/>
      <c r="AA238" s="2"/>
      <c r="AB238" s="2"/>
      <c r="AC238" s="8">
        <v>44520000</v>
      </c>
      <c r="AD238" s="2"/>
      <c r="AE238" s="2"/>
      <c r="AF238" s="131">
        <f t="shared" si="89"/>
        <v>44520000</v>
      </c>
      <c r="AH238" s="310"/>
    </row>
    <row r="239" spans="1:34" s="110" customFormat="1" ht="116.25" customHeight="1" x14ac:dyDescent="0.2">
      <c r="A239" s="284"/>
      <c r="B239" s="434"/>
      <c r="C239" s="240"/>
      <c r="D239" s="412"/>
      <c r="E239" s="235">
        <v>4103</v>
      </c>
      <c r="F239" s="410" t="s">
        <v>1379</v>
      </c>
      <c r="G239" s="326" t="s">
        <v>797</v>
      </c>
      <c r="H239" s="412">
        <v>4103050</v>
      </c>
      <c r="I239" s="410" t="s">
        <v>798</v>
      </c>
      <c r="J239" s="195" t="s">
        <v>799</v>
      </c>
      <c r="K239" s="200" t="s">
        <v>800</v>
      </c>
      <c r="L239" s="195" t="s">
        <v>51</v>
      </c>
      <c r="M239" s="195">
        <v>12</v>
      </c>
      <c r="N239" s="195">
        <v>12</v>
      </c>
      <c r="O239" s="195">
        <v>12</v>
      </c>
      <c r="P239" s="411" t="s">
        <v>253</v>
      </c>
      <c r="Q239" s="412" t="s">
        <v>773</v>
      </c>
      <c r="R239" s="157" t="s">
        <v>774</v>
      </c>
      <c r="S239" s="2"/>
      <c r="T239" s="2"/>
      <c r="U239" s="2"/>
      <c r="V239" s="2"/>
      <c r="W239" s="2"/>
      <c r="X239" s="2"/>
      <c r="Y239" s="2"/>
      <c r="Z239" s="2"/>
      <c r="AA239" s="2"/>
      <c r="AB239" s="2"/>
      <c r="AC239" s="8">
        <v>25000000</v>
      </c>
      <c r="AD239" s="2"/>
      <c r="AE239" s="2"/>
      <c r="AF239" s="131">
        <f t="shared" si="89"/>
        <v>25000000</v>
      </c>
      <c r="AH239" s="310"/>
    </row>
    <row r="240" spans="1:34" s="110" customFormat="1" ht="116.25" customHeight="1" x14ac:dyDescent="0.2">
      <c r="A240" s="284"/>
      <c r="B240" s="434"/>
      <c r="C240" s="240"/>
      <c r="D240" s="412"/>
      <c r="E240" s="235">
        <v>4103</v>
      </c>
      <c r="F240" s="410" t="s">
        <v>801</v>
      </c>
      <c r="G240" s="326" t="s">
        <v>802</v>
      </c>
      <c r="H240" s="129">
        <v>4103058</v>
      </c>
      <c r="I240" s="410" t="s">
        <v>803</v>
      </c>
      <c r="J240" s="195" t="s">
        <v>804</v>
      </c>
      <c r="K240" s="200" t="s">
        <v>805</v>
      </c>
      <c r="L240" s="195" t="s">
        <v>141</v>
      </c>
      <c r="M240" s="195">
        <v>12</v>
      </c>
      <c r="N240" s="195">
        <v>1</v>
      </c>
      <c r="O240" s="195">
        <v>0</v>
      </c>
      <c r="P240" s="411" t="s">
        <v>280</v>
      </c>
      <c r="Q240" s="412" t="s">
        <v>806</v>
      </c>
      <c r="R240" s="410" t="s">
        <v>807</v>
      </c>
      <c r="S240" s="2"/>
      <c r="T240" s="2"/>
      <c r="U240" s="2"/>
      <c r="V240" s="2"/>
      <c r="W240" s="2"/>
      <c r="X240" s="2"/>
      <c r="Y240" s="2"/>
      <c r="Z240" s="2"/>
      <c r="AA240" s="2"/>
      <c r="AB240" s="2"/>
      <c r="AC240" s="8">
        <v>27000000</v>
      </c>
      <c r="AD240" s="2"/>
      <c r="AE240" s="2"/>
      <c r="AF240" s="131">
        <f t="shared" si="89"/>
        <v>27000000</v>
      </c>
      <c r="AH240" s="310"/>
    </row>
    <row r="241" spans="1:34" s="110" customFormat="1" ht="98.25" customHeight="1" x14ac:dyDescent="0.2">
      <c r="A241" s="284"/>
      <c r="B241" s="434"/>
      <c r="C241" s="240"/>
      <c r="D241" s="412"/>
      <c r="E241" s="235">
        <v>4103</v>
      </c>
      <c r="F241" s="6" t="s">
        <v>808</v>
      </c>
      <c r="G241" s="326" t="s">
        <v>809</v>
      </c>
      <c r="H241" s="129" t="s">
        <v>45</v>
      </c>
      <c r="I241" s="410" t="s">
        <v>810</v>
      </c>
      <c r="J241" s="195" t="s">
        <v>811</v>
      </c>
      <c r="K241" s="200" t="s">
        <v>812</v>
      </c>
      <c r="L241" s="195" t="s">
        <v>141</v>
      </c>
      <c r="M241" s="195">
        <v>17</v>
      </c>
      <c r="N241" s="195">
        <v>2</v>
      </c>
      <c r="O241" s="326">
        <v>2</v>
      </c>
      <c r="P241" s="486" t="s">
        <v>280</v>
      </c>
      <c r="Q241" s="470" t="s">
        <v>813</v>
      </c>
      <c r="R241" s="471" t="s">
        <v>814</v>
      </c>
      <c r="S241" s="2"/>
      <c r="T241" s="2"/>
      <c r="U241" s="2"/>
      <c r="V241" s="2"/>
      <c r="W241" s="2"/>
      <c r="X241" s="2"/>
      <c r="Y241" s="2"/>
      <c r="Z241" s="2"/>
      <c r="AA241" s="2"/>
      <c r="AB241" s="2"/>
      <c r="AC241" s="8">
        <v>30000000</v>
      </c>
      <c r="AD241" s="2"/>
      <c r="AE241" s="2"/>
      <c r="AF241" s="131">
        <f t="shared" si="89"/>
        <v>30000000</v>
      </c>
      <c r="AH241" s="310"/>
    </row>
    <row r="242" spans="1:34" s="110" customFormat="1" ht="96" customHeight="1" x14ac:dyDescent="0.2">
      <c r="A242" s="284"/>
      <c r="B242" s="434"/>
      <c r="C242" s="240"/>
      <c r="D242" s="412"/>
      <c r="E242" s="235">
        <v>4103</v>
      </c>
      <c r="F242" s="6" t="s">
        <v>815</v>
      </c>
      <c r="G242" s="253" t="s">
        <v>816</v>
      </c>
      <c r="H242" s="129" t="s">
        <v>45</v>
      </c>
      <c r="I242" s="410" t="s">
        <v>817</v>
      </c>
      <c r="J242" s="412" t="s">
        <v>818</v>
      </c>
      <c r="K242" s="410" t="s">
        <v>819</v>
      </c>
      <c r="L242" s="195" t="s">
        <v>51</v>
      </c>
      <c r="M242" s="195">
        <v>2</v>
      </c>
      <c r="N242" s="195">
        <v>2</v>
      </c>
      <c r="O242" s="326">
        <v>2</v>
      </c>
      <c r="P242" s="486"/>
      <c r="Q242" s="470"/>
      <c r="R242" s="471"/>
      <c r="S242" s="2"/>
      <c r="T242" s="2"/>
      <c r="U242" s="2"/>
      <c r="V242" s="2"/>
      <c r="W242" s="2"/>
      <c r="X242" s="2"/>
      <c r="Y242" s="2"/>
      <c r="Z242" s="2"/>
      <c r="AA242" s="2"/>
      <c r="AB242" s="2"/>
      <c r="AC242" s="8">
        <v>49500000</v>
      </c>
      <c r="AD242" s="2"/>
      <c r="AE242" s="2"/>
      <c r="AF242" s="131">
        <f t="shared" si="89"/>
        <v>49500000</v>
      </c>
      <c r="AH242" s="310"/>
    </row>
    <row r="243" spans="1:34" s="110" customFormat="1" ht="102.75" customHeight="1" x14ac:dyDescent="0.2">
      <c r="A243" s="284"/>
      <c r="B243" s="434"/>
      <c r="C243" s="240"/>
      <c r="D243" s="412"/>
      <c r="E243" s="235">
        <v>4103</v>
      </c>
      <c r="F243" s="411" t="s">
        <v>1380</v>
      </c>
      <c r="G243" s="326" t="s">
        <v>820</v>
      </c>
      <c r="H243" s="129" t="s">
        <v>45</v>
      </c>
      <c r="I243" s="410" t="s">
        <v>1381</v>
      </c>
      <c r="J243" s="195" t="s">
        <v>821</v>
      </c>
      <c r="K243" s="200" t="s">
        <v>822</v>
      </c>
      <c r="L243" s="195" t="s">
        <v>51</v>
      </c>
      <c r="M243" s="195">
        <v>1</v>
      </c>
      <c r="N243" s="195">
        <v>1</v>
      </c>
      <c r="O243" s="195">
        <v>1</v>
      </c>
      <c r="P243" s="411" t="s">
        <v>280</v>
      </c>
      <c r="Q243" s="412" t="s">
        <v>823</v>
      </c>
      <c r="R243" s="410" t="s">
        <v>824</v>
      </c>
      <c r="S243" s="2"/>
      <c r="T243" s="2"/>
      <c r="U243" s="2"/>
      <c r="V243" s="2"/>
      <c r="W243" s="2"/>
      <c r="X243" s="2"/>
      <c r="Y243" s="2"/>
      <c r="Z243" s="2"/>
      <c r="AA243" s="2"/>
      <c r="AB243" s="2"/>
      <c r="AC243" s="8">
        <f>70000000-40000000</f>
        <v>30000000</v>
      </c>
      <c r="AD243" s="2"/>
      <c r="AE243" s="2"/>
      <c r="AF243" s="131">
        <f t="shared" si="89"/>
        <v>30000000</v>
      </c>
      <c r="AH243" s="310"/>
    </row>
    <row r="244" spans="1:34" s="110" customFormat="1" ht="15.75" x14ac:dyDescent="0.2">
      <c r="A244" s="284"/>
      <c r="B244" s="434"/>
      <c r="C244" s="126">
        <v>38</v>
      </c>
      <c r="D244" s="101">
        <v>4104</v>
      </c>
      <c r="E244" s="424" t="s">
        <v>825</v>
      </c>
      <c r="F244" s="100"/>
      <c r="G244" s="101"/>
      <c r="H244" s="102"/>
      <c r="I244" s="100"/>
      <c r="J244" s="101"/>
      <c r="K244" s="100"/>
      <c r="L244" s="259"/>
      <c r="M244" s="260"/>
      <c r="N244" s="101"/>
      <c r="O244" s="101"/>
      <c r="P244" s="274"/>
      <c r="Q244" s="101"/>
      <c r="R244" s="100"/>
      <c r="S244" s="22">
        <f t="shared" ref="S244:AF244" si="90">SUM(S245:S253)</f>
        <v>4262727592.3899999</v>
      </c>
      <c r="T244" s="22">
        <f t="shared" si="90"/>
        <v>0</v>
      </c>
      <c r="U244" s="22">
        <f t="shared" si="90"/>
        <v>0</v>
      </c>
      <c r="V244" s="22">
        <f t="shared" si="90"/>
        <v>0</v>
      </c>
      <c r="W244" s="22">
        <f t="shared" si="90"/>
        <v>0</v>
      </c>
      <c r="X244" s="22">
        <f t="shared" si="90"/>
        <v>0</v>
      </c>
      <c r="Y244" s="22">
        <f t="shared" si="90"/>
        <v>0</v>
      </c>
      <c r="Z244" s="22">
        <f t="shared" si="90"/>
        <v>0</v>
      </c>
      <c r="AA244" s="22">
        <f t="shared" si="90"/>
        <v>0</v>
      </c>
      <c r="AB244" s="22">
        <f t="shared" si="90"/>
        <v>0</v>
      </c>
      <c r="AC244" s="22">
        <f t="shared" si="90"/>
        <v>529251842</v>
      </c>
      <c r="AD244" s="22">
        <f t="shared" si="90"/>
        <v>0</v>
      </c>
      <c r="AE244" s="22">
        <f t="shared" si="90"/>
        <v>0</v>
      </c>
      <c r="AF244" s="22">
        <f t="shared" si="90"/>
        <v>4791979434.3899994</v>
      </c>
      <c r="AH244" s="310"/>
    </row>
    <row r="245" spans="1:34" s="110" customFormat="1" ht="138.75" customHeight="1" x14ac:dyDescent="0.2">
      <c r="A245" s="284"/>
      <c r="B245" s="434"/>
      <c r="C245" s="240"/>
      <c r="D245" s="412"/>
      <c r="E245" s="235">
        <v>4104</v>
      </c>
      <c r="F245" s="410" t="s">
        <v>1382</v>
      </c>
      <c r="G245" s="238" t="s">
        <v>826</v>
      </c>
      <c r="H245" s="129" t="s">
        <v>827</v>
      </c>
      <c r="I245" s="410" t="s">
        <v>828</v>
      </c>
      <c r="J245" s="412" t="s">
        <v>829</v>
      </c>
      <c r="K245" s="410" t="s">
        <v>830</v>
      </c>
      <c r="L245" s="195" t="s">
        <v>141</v>
      </c>
      <c r="M245" s="195">
        <v>500</v>
      </c>
      <c r="N245" s="195">
        <v>20</v>
      </c>
      <c r="O245" s="195">
        <v>22</v>
      </c>
      <c r="P245" s="486" t="s">
        <v>280</v>
      </c>
      <c r="Q245" s="470" t="s">
        <v>806</v>
      </c>
      <c r="R245" s="471" t="s">
        <v>807</v>
      </c>
      <c r="S245" s="2"/>
      <c r="T245" s="2"/>
      <c r="U245" s="2"/>
      <c r="V245" s="2"/>
      <c r="W245" s="2"/>
      <c r="X245" s="2"/>
      <c r="Y245" s="2"/>
      <c r="Z245" s="2"/>
      <c r="AA245" s="2"/>
      <c r="AB245" s="2"/>
      <c r="AC245" s="8">
        <f>14000000-2946608</f>
        <v>11053392</v>
      </c>
      <c r="AD245" s="2"/>
      <c r="AE245" s="2"/>
      <c r="AF245" s="131">
        <f t="shared" ref="AF245:AF253" si="91">+S245+T245+U245+V245+W245+X245+Y245+Z245+AA245+AB245+AC245+AD245+AE245</f>
        <v>11053392</v>
      </c>
      <c r="AH245" s="310"/>
    </row>
    <row r="246" spans="1:34" s="110" customFormat="1" ht="81.75" customHeight="1" x14ac:dyDescent="0.2">
      <c r="A246" s="284"/>
      <c r="B246" s="434"/>
      <c r="C246" s="240"/>
      <c r="D246" s="412"/>
      <c r="E246" s="235">
        <v>4104</v>
      </c>
      <c r="F246" s="410" t="s">
        <v>1383</v>
      </c>
      <c r="G246" s="253" t="s">
        <v>826</v>
      </c>
      <c r="H246" s="129" t="s">
        <v>827</v>
      </c>
      <c r="I246" s="410" t="s">
        <v>828</v>
      </c>
      <c r="J246" s="195" t="s">
        <v>831</v>
      </c>
      <c r="K246" s="207" t="s">
        <v>832</v>
      </c>
      <c r="L246" s="234" t="s">
        <v>51</v>
      </c>
      <c r="M246" s="412">
        <v>12</v>
      </c>
      <c r="N246" s="156">
        <v>12</v>
      </c>
      <c r="O246" s="238">
        <v>12</v>
      </c>
      <c r="P246" s="486"/>
      <c r="Q246" s="470"/>
      <c r="R246" s="471"/>
      <c r="S246" s="2"/>
      <c r="T246" s="2"/>
      <c r="U246" s="2"/>
      <c r="V246" s="2"/>
      <c r="W246" s="2"/>
      <c r="X246" s="2"/>
      <c r="Y246" s="2"/>
      <c r="Z246" s="2"/>
      <c r="AA246" s="2"/>
      <c r="AB246" s="2"/>
      <c r="AC246" s="8">
        <f>25000000+2946608</f>
        <v>27946608</v>
      </c>
      <c r="AD246" s="2"/>
      <c r="AE246" s="2"/>
      <c r="AF246" s="131">
        <f t="shared" si="91"/>
        <v>27946608</v>
      </c>
      <c r="AH246" s="310"/>
    </row>
    <row r="247" spans="1:34" s="110" customFormat="1" ht="88.5" customHeight="1" x14ac:dyDescent="0.2">
      <c r="A247" s="284"/>
      <c r="B247" s="434"/>
      <c r="C247" s="240"/>
      <c r="D247" s="412"/>
      <c r="E247" s="235">
        <v>4104</v>
      </c>
      <c r="F247" s="410" t="s">
        <v>833</v>
      </c>
      <c r="G247" s="326" t="s">
        <v>834</v>
      </c>
      <c r="H247" s="129" t="s">
        <v>835</v>
      </c>
      <c r="I247" s="410" t="s">
        <v>836</v>
      </c>
      <c r="J247" s="412" t="s">
        <v>837</v>
      </c>
      <c r="K247" s="410" t="s">
        <v>838</v>
      </c>
      <c r="L247" s="195" t="s">
        <v>51</v>
      </c>
      <c r="M247" s="195">
        <v>12</v>
      </c>
      <c r="N247" s="195">
        <v>12</v>
      </c>
      <c r="O247" s="195">
        <v>12</v>
      </c>
      <c r="P247" s="411" t="s">
        <v>280</v>
      </c>
      <c r="Q247" s="412" t="s">
        <v>839</v>
      </c>
      <c r="R247" s="410" t="s">
        <v>840</v>
      </c>
      <c r="S247" s="2"/>
      <c r="T247" s="2"/>
      <c r="U247" s="2"/>
      <c r="V247" s="2"/>
      <c r="W247" s="2"/>
      <c r="X247" s="2"/>
      <c r="Y247" s="2"/>
      <c r="Z247" s="2"/>
      <c r="AA247" s="2"/>
      <c r="AB247" s="2"/>
      <c r="AC247" s="8">
        <v>18000000</v>
      </c>
      <c r="AD247" s="2"/>
      <c r="AE247" s="2"/>
      <c r="AF247" s="131">
        <f t="shared" si="91"/>
        <v>18000000</v>
      </c>
      <c r="AH247" s="310"/>
    </row>
    <row r="248" spans="1:34" s="110" customFormat="1" ht="126.75" customHeight="1" x14ac:dyDescent="0.2">
      <c r="A248" s="284"/>
      <c r="B248" s="434"/>
      <c r="C248" s="240"/>
      <c r="D248" s="412"/>
      <c r="E248" s="235">
        <v>4104</v>
      </c>
      <c r="F248" s="410" t="s">
        <v>841</v>
      </c>
      <c r="G248" s="253" t="s">
        <v>842</v>
      </c>
      <c r="H248" s="156" t="s">
        <v>45</v>
      </c>
      <c r="I248" s="411" t="s">
        <v>843</v>
      </c>
      <c r="J248" s="198" t="s">
        <v>844</v>
      </c>
      <c r="K248" s="202" t="s">
        <v>845</v>
      </c>
      <c r="L248" s="195" t="s">
        <v>51</v>
      </c>
      <c r="M248" s="195">
        <v>1</v>
      </c>
      <c r="N248" s="195">
        <v>1</v>
      </c>
      <c r="O248" s="326">
        <v>1</v>
      </c>
      <c r="P248" s="411" t="s">
        <v>280</v>
      </c>
      <c r="Q248" s="412" t="s">
        <v>846</v>
      </c>
      <c r="R248" s="410" t="s">
        <v>1348</v>
      </c>
      <c r="S248" s="2"/>
      <c r="T248" s="2"/>
      <c r="U248" s="2"/>
      <c r="V248" s="2"/>
      <c r="W248" s="2"/>
      <c r="X248" s="2"/>
      <c r="Y248" s="2"/>
      <c r="Z248" s="2"/>
      <c r="AA248" s="2"/>
      <c r="AB248" s="2"/>
      <c r="AC248" s="8">
        <f>170000000-86020000</f>
        <v>83980000</v>
      </c>
      <c r="AD248" s="2"/>
      <c r="AE248" s="2"/>
      <c r="AF248" s="106">
        <f t="shared" si="91"/>
        <v>83980000</v>
      </c>
      <c r="AH248" s="310"/>
    </row>
    <row r="249" spans="1:34" s="110" customFormat="1" ht="179.25" customHeight="1" x14ac:dyDescent="0.2">
      <c r="A249" s="284"/>
      <c r="B249" s="434"/>
      <c r="C249" s="240"/>
      <c r="D249" s="412"/>
      <c r="E249" s="235">
        <v>4104</v>
      </c>
      <c r="F249" s="410" t="s">
        <v>848</v>
      </c>
      <c r="G249" s="228" t="s">
        <v>849</v>
      </c>
      <c r="H249" s="156" t="s">
        <v>45</v>
      </c>
      <c r="I249" s="411" t="s">
        <v>850</v>
      </c>
      <c r="J249" s="198" t="s">
        <v>851</v>
      </c>
      <c r="K249" s="202" t="s">
        <v>852</v>
      </c>
      <c r="L249" s="195" t="s">
        <v>51</v>
      </c>
      <c r="M249" s="195">
        <v>1</v>
      </c>
      <c r="N249" s="195">
        <v>1</v>
      </c>
      <c r="O249" s="326">
        <v>0.9</v>
      </c>
      <c r="P249" s="411" t="s">
        <v>67</v>
      </c>
      <c r="Q249" s="412" t="s">
        <v>853</v>
      </c>
      <c r="R249" s="410" t="s">
        <v>1349</v>
      </c>
      <c r="S249" s="2"/>
      <c r="T249" s="2"/>
      <c r="U249" s="2"/>
      <c r="V249" s="2"/>
      <c r="W249" s="2"/>
      <c r="X249" s="2"/>
      <c r="Y249" s="2"/>
      <c r="Z249" s="2"/>
      <c r="AA249" s="2"/>
      <c r="AB249" s="2"/>
      <c r="AC249" s="8">
        <f>140000000-60275000</f>
        <v>79725000</v>
      </c>
      <c r="AD249" s="2"/>
      <c r="AE249" s="2"/>
      <c r="AF249" s="106">
        <f t="shared" si="91"/>
        <v>79725000</v>
      </c>
      <c r="AH249" s="310"/>
    </row>
    <row r="250" spans="1:34" s="110" customFormat="1" ht="243" customHeight="1" x14ac:dyDescent="0.2">
      <c r="A250" s="284"/>
      <c r="B250" s="434"/>
      <c r="C250" s="240"/>
      <c r="D250" s="412"/>
      <c r="E250" s="235">
        <v>4104</v>
      </c>
      <c r="F250" s="410" t="s">
        <v>1384</v>
      </c>
      <c r="G250" s="228" t="s">
        <v>855</v>
      </c>
      <c r="H250" s="156" t="s">
        <v>45</v>
      </c>
      <c r="I250" s="157" t="s">
        <v>856</v>
      </c>
      <c r="J250" s="195" t="s">
        <v>857</v>
      </c>
      <c r="K250" s="207" t="s">
        <v>858</v>
      </c>
      <c r="L250" s="195" t="s">
        <v>51</v>
      </c>
      <c r="M250" s="195">
        <v>1</v>
      </c>
      <c r="N250" s="195">
        <v>1</v>
      </c>
      <c r="O250" s="326">
        <v>0.8</v>
      </c>
      <c r="P250" s="471" t="s">
        <v>280</v>
      </c>
      <c r="Q250" s="470" t="s">
        <v>859</v>
      </c>
      <c r="R250" s="471" t="s">
        <v>860</v>
      </c>
      <c r="S250" s="2"/>
      <c r="T250" s="2"/>
      <c r="U250" s="2"/>
      <c r="V250" s="2"/>
      <c r="W250" s="2"/>
      <c r="X250" s="2"/>
      <c r="Y250" s="2"/>
      <c r="Z250" s="2"/>
      <c r="AA250" s="2"/>
      <c r="AB250" s="2"/>
      <c r="AC250" s="236">
        <f>95000000-5600000+2066666-466667</f>
        <v>90999999</v>
      </c>
      <c r="AD250" s="2"/>
      <c r="AE250" s="2"/>
      <c r="AF250" s="106">
        <f t="shared" si="91"/>
        <v>90999999</v>
      </c>
      <c r="AH250" s="310"/>
    </row>
    <row r="251" spans="1:34" s="110" customFormat="1" ht="90" customHeight="1" x14ac:dyDescent="0.2">
      <c r="A251" s="284"/>
      <c r="B251" s="434"/>
      <c r="C251" s="240"/>
      <c r="D251" s="412"/>
      <c r="E251" s="235">
        <v>4104</v>
      </c>
      <c r="F251" s="410" t="s">
        <v>861</v>
      </c>
      <c r="G251" s="326" t="s">
        <v>862</v>
      </c>
      <c r="H251" s="129">
        <v>4104015</v>
      </c>
      <c r="I251" s="157" t="s">
        <v>863</v>
      </c>
      <c r="J251" s="195" t="s">
        <v>864</v>
      </c>
      <c r="K251" s="200" t="s">
        <v>865</v>
      </c>
      <c r="L251" s="435" t="s">
        <v>51</v>
      </c>
      <c r="M251" s="435">
        <v>7500</v>
      </c>
      <c r="N251" s="435">
        <v>7500</v>
      </c>
      <c r="O251" s="435">
        <v>8550</v>
      </c>
      <c r="P251" s="471"/>
      <c r="Q251" s="470"/>
      <c r="R251" s="471"/>
      <c r="S251" s="2"/>
      <c r="T251" s="2"/>
      <c r="U251" s="2"/>
      <c r="V251" s="2"/>
      <c r="W251" s="2"/>
      <c r="X251" s="2"/>
      <c r="Y251" s="2"/>
      <c r="Z251" s="2"/>
      <c r="AA251" s="2"/>
      <c r="AB251" s="2"/>
      <c r="AC251" s="8">
        <f>25000000+19750567-2066666+5600000-3183999</f>
        <v>45099902</v>
      </c>
      <c r="AD251" s="2"/>
      <c r="AE251" s="2"/>
      <c r="AF251" s="131">
        <f t="shared" si="91"/>
        <v>45099902</v>
      </c>
      <c r="AH251" s="310"/>
    </row>
    <row r="252" spans="1:34" s="110" customFormat="1" ht="78.75" customHeight="1" x14ac:dyDescent="0.2">
      <c r="A252" s="284"/>
      <c r="B252" s="434"/>
      <c r="C252" s="240"/>
      <c r="D252" s="412"/>
      <c r="E252" s="235">
        <v>4104</v>
      </c>
      <c r="F252" s="410" t="s">
        <v>1385</v>
      </c>
      <c r="G252" s="326" t="s">
        <v>866</v>
      </c>
      <c r="H252" s="316" t="s">
        <v>45</v>
      </c>
      <c r="I252" s="157" t="s">
        <v>867</v>
      </c>
      <c r="J252" s="195" t="s">
        <v>868</v>
      </c>
      <c r="K252" s="207" t="s">
        <v>869</v>
      </c>
      <c r="L252" s="412" t="s">
        <v>51</v>
      </c>
      <c r="M252" s="412">
        <v>12</v>
      </c>
      <c r="N252" s="195">
        <v>12</v>
      </c>
      <c r="O252" s="195">
        <v>12</v>
      </c>
      <c r="P252" s="471"/>
      <c r="Q252" s="470"/>
      <c r="R252" s="471"/>
      <c r="S252" s="20">
        <v>4262727592.3899999</v>
      </c>
      <c r="T252" s="158"/>
      <c r="U252" s="2"/>
      <c r="V252" s="2"/>
      <c r="W252" s="2"/>
      <c r="X252" s="2"/>
      <c r="Y252" s="2"/>
      <c r="Z252" s="2"/>
      <c r="AA252" s="2"/>
      <c r="AB252" s="2"/>
      <c r="AC252" s="8">
        <v>3650666</v>
      </c>
      <c r="AD252" s="2"/>
      <c r="AE252" s="2"/>
      <c r="AF252" s="106">
        <f t="shared" si="91"/>
        <v>4266378258.3899999</v>
      </c>
      <c r="AH252" s="310"/>
    </row>
    <row r="253" spans="1:34" s="110" customFormat="1" ht="141.75" customHeight="1" x14ac:dyDescent="0.2">
      <c r="A253" s="284"/>
      <c r="B253" s="434"/>
      <c r="C253" s="240"/>
      <c r="D253" s="412"/>
      <c r="E253" s="235">
        <v>4104</v>
      </c>
      <c r="F253" s="410" t="s">
        <v>870</v>
      </c>
      <c r="G253" s="326" t="s">
        <v>871</v>
      </c>
      <c r="H253" s="316" t="s">
        <v>45</v>
      </c>
      <c r="I253" s="157" t="s">
        <v>872</v>
      </c>
      <c r="J253" s="195" t="s">
        <v>873</v>
      </c>
      <c r="K253" s="202" t="s">
        <v>1386</v>
      </c>
      <c r="L253" s="412" t="s">
        <v>51</v>
      </c>
      <c r="M253" s="412">
        <v>1</v>
      </c>
      <c r="N253" s="195">
        <v>1</v>
      </c>
      <c r="O253" s="326">
        <v>0.8</v>
      </c>
      <c r="P253" s="411" t="s">
        <v>280</v>
      </c>
      <c r="Q253" s="412" t="s">
        <v>874</v>
      </c>
      <c r="R253" s="410" t="s">
        <v>875</v>
      </c>
      <c r="S253" s="2"/>
      <c r="T253" s="2"/>
      <c r="U253" s="2"/>
      <c r="V253" s="2"/>
      <c r="W253" s="2"/>
      <c r="X253" s="2"/>
      <c r="Y253" s="2"/>
      <c r="Z253" s="2"/>
      <c r="AA253" s="2"/>
      <c r="AB253" s="2"/>
      <c r="AC253" s="8">
        <v>168796275</v>
      </c>
      <c r="AD253" s="2"/>
      <c r="AE253" s="2"/>
      <c r="AF253" s="106">
        <f t="shared" si="91"/>
        <v>168796275</v>
      </c>
      <c r="AH253" s="310"/>
    </row>
    <row r="254" spans="1:34" s="110" customFormat="1" ht="15.75" customHeight="1" x14ac:dyDescent="0.2">
      <c r="A254" s="284"/>
      <c r="B254" s="434"/>
      <c r="C254" s="126">
        <v>41</v>
      </c>
      <c r="D254" s="101">
        <v>4501</v>
      </c>
      <c r="E254" s="424" t="s">
        <v>309</v>
      </c>
      <c r="F254" s="100"/>
      <c r="G254" s="102"/>
      <c r="H254" s="102"/>
      <c r="I254" s="100"/>
      <c r="J254" s="101"/>
      <c r="K254" s="100"/>
      <c r="L254" s="261"/>
      <c r="M254" s="261"/>
      <c r="N254" s="101"/>
      <c r="O254" s="101"/>
      <c r="P254" s="274"/>
      <c r="Q254" s="101"/>
      <c r="R254" s="100"/>
      <c r="S254" s="22">
        <f t="shared" ref="S254:AF254" si="92">SUM(S255:S256)</f>
        <v>0</v>
      </c>
      <c r="T254" s="22">
        <f t="shared" si="92"/>
        <v>0</v>
      </c>
      <c r="U254" s="22">
        <f t="shared" si="92"/>
        <v>0</v>
      </c>
      <c r="V254" s="22">
        <f t="shared" si="92"/>
        <v>0</v>
      </c>
      <c r="W254" s="22">
        <f t="shared" si="92"/>
        <v>0</v>
      </c>
      <c r="X254" s="22">
        <f t="shared" si="92"/>
        <v>0</v>
      </c>
      <c r="Y254" s="22">
        <f t="shared" si="92"/>
        <v>0</v>
      </c>
      <c r="Z254" s="22">
        <f t="shared" si="92"/>
        <v>0</v>
      </c>
      <c r="AA254" s="22">
        <f t="shared" si="92"/>
        <v>0</v>
      </c>
      <c r="AB254" s="22">
        <f t="shared" si="92"/>
        <v>0</v>
      </c>
      <c r="AC254" s="22">
        <f t="shared" si="92"/>
        <v>80000000</v>
      </c>
      <c r="AD254" s="22">
        <f t="shared" si="92"/>
        <v>0</v>
      </c>
      <c r="AE254" s="22">
        <f t="shared" si="92"/>
        <v>0</v>
      </c>
      <c r="AF254" s="22">
        <f t="shared" si="92"/>
        <v>80000000</v>
      </c>
      <c r="AH254" s="310"/>
    </row>
    <row r="255" spans="1:34" s="110" customFormat="1" ht="90" customHeight="1" x14ac:dyDescent="0.2">
      <c r="A255" s="284"/>
      <c r="B255" s="434"/>
      <c r="C255" s="240"/>
      <c r="D255" s="412"/>
      <c r="E255" s="235">
        <v>4501</v>
      </c>
      <c r="F255" s="410" t="s">
        <v>876</v>
      </c>
      <c r="G255" s="253" t="s">
        <v>314</v>
      </c>
      <c r="H255" s="129">
        <v>4501024</v>
      </c>
      <c r="I255" s="410" t="s">
        <v>315</v>
      </c>
      <c r="J255" s="412" t="s">
        <v>877</v>
      </c>
      <c r="K255" s="410" t="s">
        <v>878</v>
      </c>
      <c r="L255" s="195" t="s">
        <v>51</v>
      </c>
      <c r="M255" s="195">
        <v>1</v>
      </c>
      <c r="N255" s="195">
        <v>1</v>
      </c>
      <c r="O255" s="195">
        <v>0</v>
      </c>
      <c r="P255" s="411" t="s">
        <v>67</v>
      </c>
      <c r="Q255" s="412" t="s">
        <v>879</v>
      </c>
      <c r="R255" s="410" t="s">
        <v>880</v>
      </c>
      <c r="S255" s="2"/>
      <c r="T255" s="2"/>
      <c r="U255" s="2"/>
      <c r="V255" s="2"/>
      <c r="W255" s="2"/>
      <c r="X255" s="2"/>
      <c r="Y255" s="2"/>
      <c r="Z255" s="2"/>
      <c r="AA255" s="2"/>
      <c r="AB255" s="2"/>
      <c r="AC255" s="8">
        <f>40000000</f>
        <v>40000000</v>
      </c>
      <c r="AD255" s="2"/>
      <c r="AE255" s="2"/>
      <c r="AF255" s="106">
        <f>+S255+T255+U255+V255+W255+X255+Y255+Z255+AA255+AB255+AC255+AD255+AE255</f>
        <v>40000000</v>
      </c>
      <c r="AH255" s="310"/>
    </row>
    <row r="256" spans="1:34" s="110" customFormat="1" ht="111" customHeight="1" x14ac:dyDescent="0.2">
      <c r="A256" s="284"/>
      <c r="B256" s="441"/>
      <c r="C256" s="240"/>
      <c r="D256" s="412"/>
      <c r="E256" s="235">
        <v>4501</v>
      </c>
      <c r="F256" s="410" t="s">
        <v>876</v>
      </c>
      <c r="G256" s="253" t="s">
        <v>314</v>
      </c>
      <c r="H256" s="129">
        <v>4501024</v>
      </c>
      <c r="I256" s="410" t="s">
        <v>315</v>
      </c>
      <c r="J256" s="412" t="s">
        <v>881</v>
      </c>
      <c r="K256" s="410" t="s">
        <v>882</v>
      </c>
      <c r="L256" s="195" t="s">
        <v>51</v>
      </c>
      <c r="M256" s="195">
        <v>1</v>
      </c>
      <c r="N256" s="195">
        <v>1</v>
      </c>
      <c r="O256" s="195">
        <v>0</v>
      </c>
      <c r="P256" s="411" t="s">
        <v>67</v>
      </c>
      <c r="Q256" s="412" t="s">
        <v>883</v>
      </c>
      <c r="R256" s="410" t="s">
        <v>884</v>
      </c>
      <c r="S256" s="2"/>
      <c r="T256" s="2"/>
      <c r="U256" s="2"/>
      <c r="V256" s="2"/>
      <c r="W256" s="2"/>
      <c r="X256" s="2"/>
      <c r="Y256" s="2"/>
      <c r="Z256" s="2"/>
      <c r="AA256" s="2"/>
      <c r="AB256" s="2"/>
      <c r="AC256" s="8">
        <v>40000000</v>
      </c>
      <c r="AD256" s="2"/>
      <c r="AE256" s="2"/>
      <c r="AF256" s="106">
        <f>+S256+T256+U256+V256+W256+X256+Y256+Z256+AA256+AB256+AC256+AD256+AE256</f>
        <v>40000000</v>
      </c>
      <c r="AH256" s="310"/>
    </row>
    <row r="257" spans="1:35" s="110" customFormat="1" ht="15.75" customHeight="1" x14ac:dyDescent="0.2">
      <c r="A257" s="284"/>
      <c r="B257" s="170">
        <v>2</v>
      </c>
      <c r="C257" s="93" t="s">
        <v>2</v>
      </c>
      <c r="D257" s="94"/>
      <c r="E257" s="94"/>
      <c r="F257" s="95"/>
      <c r="G257" s="96"/>
      <c r="H257" s="97"/>
      <c r="I257" s="95"/>
      <c r="J257" s="96"/>
      <c r="K257" s="95"/>
      <c r="L257" s="98"/>
      <c r="M257" s="98"/>
      <c r="N257" s="96"/>
      <c r="O257" s="96"/>
      <c r="P257" s="276"/>
      <c r="Q257" s="96"/>
      <c r="R257" s="95"/>
      <c r="S257" s="99">
        <f t="shared" ref="S257:AB258" si="93">+S258</f>
        <v>0</v>
      </c>
      <c r="T257" s="99">
        <f t="shared" si="93"/>
        <v>0</v>
      </c>
      <c r="U257" s="99">
        <f t="shared" si="93"/>
        <v>0</v>
      </c>
      <c r="V257" s="99">
        <f t="shared" si="93"/>
        <v>0</v>
      </c>
      <c r="W257" s="99">
        <f t="shared" si="93"/>
        <v>0</v>
      </c>
      <c r="X257" s="99">
        <f t="shared" si="93"/>
        <v>0</v>
      </c>
      <c r="Y257" s="99">
        <f t="shared" si="93"/>
        <v>0</v>
      </c>
      <c r="Z257" s="99">
        <f t="shared" si="93"/>
        <v>0</v>
      </c>
      <c r="AA257" s="99">
        <f t="shared" si="93"/>
        <v>0</v>
      </c>
      <c r="AB257" s="99">
        <f t="shared" si="93"/>
        <v>0</v>
      </c>
      <c r="AC257" s="99">
        <f t="shared" ref="AC257:AC258" si="94">+AC258</f>
        <v>25000000</v>
      </c>
      <c r="AD257" s="99">
        <f t="shared" ref="AD257:AE257" si="95">+AD258</f>
        <v>0</v>
      </c>
      <c r="AE257" s="99">
        <f t="shared" si="95"/>
        <v>0</v>
      </c>
      <c r="AF257" s="99">
        <f>+AF258</f>
        <v>25000000</v>
      </c>
      <c r="AH257" s="310"/>
    </row>
    <row r="258" spans="1:35" s="110" customFormat="1" ht="15.75" x14ac:dyDescent="0.2">
      <c r="A258" s="284"/>
      <c r="B258" s="433"/>
      <c r="C258" s="126">
        <v>29</v>
      </c>
      <c r="D258" s="101">
        <v>3604</v>
      </c>
      <c r="E258" s="424" t="s">
        <v>885</v>
      </c>
      <c r="F258" s="100"/>
      <c r="G258" s="101"/>
      <c r="H258" s="102"/>
      <c r="I258" s="100"/>
      <c r="J258" s="101"/>
      <c r="K258" s="100"/>
      <c r="L258" s="103"/>
      <c r="M258" s="103"/>
      <c r="N258" s="101"/>
      <c r="O258" s="101"/>
      <c r="P258" s="274"/>
      <c r="Q258" s="101"/>
      <c r="R258" s="100"/>
      <c r="S258" s="22">
        <f t="shared" si="93"/>
        <v>0</v>
      </c>
      <c r="T258" s="22">
        <f t="shared" si="93"/>
        <v>0</v>
      </c>
      <c r="U258" s="22">
        <f t="shared" si="93"/>
        <v>0</v>
      </c>
      <c r="V258" s="22">
        <f t="shared" si="93"/>
        <v>0</v>
      </c>
      <c r="W258" s="22">
        <f t="shared" si="93"/>
        <v>0</v>
      </c>
      <c r="X258" s="22">
        <f t="shared" si="93"/>
        <v>0</v>
      </c>
      <c r="Y258" s="22">
        <f t="shared" si="93"/>
        <v>0</v>
      </c>
      <c r="Z258" s="22">
        <f t="shared" si="93"/>
        <v>0</v>
      </c>
      <c r="AA258" s="22">
        <f t="shared" si="93"/>
        <v>0</v>
      </c>
      <c r="AB258" s="22">
        <f t="shared" si="93"/>
        <v>0</v>
      </c>
      <c r="AC258" s="22">
        <f t="shared" si="94"/>
        <v>25000000</v>
      </c>
      <c r="AD258" s="22">
        <f>+AD259</f>
        <v>0</v>
      </c>
      <c r="AE258" s="22">
        <f>+AE259</f>
        <v>0</v>
      </c>
      <c r="AF258" s="22">
        <f>+AF259</f>
        <v>25000000</v>
      </c>
      <c r="AH258" s="310"/>
    </row>
    <row r="259" spans="1:35" s="110" customFormat="1" ht="118.5" customHeight="1" x14ac:dyDescent="0.2">
      <c r="A259" s="284"/>
      <c r="B259" s="441"/>
      <c r="C259" s="240"/>
      <c r="D259" s="412"/>
      <c r="E259" s="235">
        <v>3604</v>
      </c>
      <c r="F259" s="411" t="s">
        <v>886</v>
      </c>
      <c r="G259" s="326" t="s">
        <v>887</v>
      </c>
      <c r="H259" s="316">
        <v>3604006</v>
      </c>
      <c r="I259" s="411" t="s">
        <v>888</v>
      </c>
      <c r="J259" s="195" t="s">
        <v>889</v>
      </c>
      <c r="K259" s="196" t="s">
        <v>334</v>
      </c>
      <c r="L259" s="204" t="s">
        <v>141</v>
      </c>
      <c r="M259" s="204">
        <v>800</v>
      </c>
      <c r="N259" s="204">
        <v>50</v>
      </c>
      <c r="O259" s="204">
        <v>70</v>
      </c>
      <c r="P259" s="411" t="s">
        <v>280</v>
      </c>
      <c r="Q259" s="412" t="s">
        <v>779</v>
      </c>
      <c r="R259" s="157" t="s">
        <v>890</v>
      </c>
      <c r="S259" s="2"/>
      <c r="T259" s="2"/>
      <c r="U259" s="2"/>
      <c r="V259" s="2"/>
      <c r="W259" s="2"/>
      <c r="X259" s="2"/>
      <c r="Y259" s="2"/>
      <c r="Z259" s="2"/>
      <c r="AA259" s="2"/>
      <c r="AB259" s="2"/>
      <c r="AC259" s="8">
        <v>25000000</v>
      </c>
      <c r="AD259" s="2"/>
      <c r="AE259" s="2"/>
      <c r="AF259" s="106">
        <f>+S259+T259+U259+V259+W259+X259+Y259+Z259+AA259+AB259+AC259+AD259+AE259</f>
        <v>25000000</v>
      </c>
      <c r="AH259" s="310"/>
    </row>
    <row r="260" spans="1:35" s="110" customFormat="1" ht="15.75" x14ac:dyDescent="0.2">
      <c r="A260" s="284"/>
      <c r="B260" s="170">
        <v>4</v>
      </c>
      <c r="C260" s="93" t="s">
        <v>70</v>
      </c>
      <c r="D260" s="94"/>
      <c r="E260" s="94"/>
      <c r="F260" s="95"/>
      <c r="G260" s="96"/>
      <c r="H260" s="97"/>
      <c r="I260" s="95"/>
      <c r="J260" s="96"/>
      <c r="K260" s="95"/>
      <c r="L260" s="98"/>
      <c r="M260" s="98"/>
      <c r="N260" s="96"/>
      <c r="O260" s="96"/>
      <c r="P260" s="276"/>
      <c r="Q260" s="96"/>
      <c r="R260" s="95"/>
      <c r="S260" s="108">
        <f t="shared" ref="S260:AF260" si="96">S261</f>
        <v>0</v>
      </c>
      <c r="T260" s="108">
        <f t="shared" si="96"/>
        <v>0</v>
      </c>
      <c r="U260" s="108">
        <f t="shared" si="96"/>
        <v>0</v>
      </c>
      <c r="V260" s="108">
        <f t="shared" si="96"/>
        <v>0</v>
      </c>
      <c r="W260" s="108">
        <f t="shared" si="96"/>
        <v>0</v>
      </c>
      <c r="X260" s="108">
        <f t="shared" si="96"/>
        <v>0</v>
      </c>
      <c r="Y260" s="108">
        <f t="shared" si="96"/>
        <v>0</v>
      </c>
      <c r="Z260" s="108">
        <f t="shared" si="96"/>
        <v>0</v>
      </c>
      <c r="AA260" s="108">
        <f t="shared" si="96"/>
        <v>0</v>
      </c>
      <c r="AB260" s="108">
        <f t="shared" si="96"/>
        <v>0</v>
      </c>
      <c r="AC260" s="108">
        <f t="shared" si="96"/>
        <v>15000000</v>
      </c>
      <c r="AD260" s="108">
        <f t="shared" si="96"/>
        <v>0</v>
      </c>
      <c r="AE260" s="108">
        <f t="shared" si="96"/>
        <v>0</v>
      </c>
      <c r="AF260" s="108">
        <f t="shared" si="96"/>
        <v>15000000</v>
      </c>
      <c r="AH260" s="310"/>
    </row>
    <row r="261" spans="1:35" s="110" customFormat="1" ht="15.75" x14ac:dyDescent="0.2">
      <c r="A261" s="284"/>
      <c r="B261" s="433"/>
      <c r="C261" s="126">
        <v>42</v>
      </c>
      <c r="D261" s="101">
        <v>4502</v>
      </c>
      <c r="E261" s="424" t="s">
        <v>61</v>
      </c>
      <c r="F261" s="100"/>
      <c r="G261" s="101"/>
      <c r="H261" s="102"/>
      <c r="I261" s="100"/>
      <c r="J261" s="101"/>
      <c r="K261" s="100"/>
      <c r="L261" s="103"/>
      <c r="M261" s="103"/>
      <c r="N261" s="101"/>
      <c r="O261" s="101"/>
      <c r="P261" s="274"/>
      <c r="Q261" s="101"/>
      <c r="R261" s="100"/>
      <c r="S261" s="22">
        <f t="shared" ref="S261:AF261" si="97">+S262</f>
        <v>0</v>
      </c>
      <c r="T261" s="22">
        <f t="shared" si="97"/>
        <v>0</v>
      </c>
      <c r="U261" s="22">
        <f t="shared" si="97"/>
        <v>0</v>
      </c>
      <c r="V261" s="22">
        <f t="shared" si="97"/>
        <v>0</v>
      </c>
      <c r="W261" s="22">
        <f t="shared" si="97"/>
        <v>0</v>
      </c>
      <c r="X261" s="22">
        <f t="shared" si="97"/>
        <v>0</v>
      </c>
      <c r="Y261" s="22">
        <f t="shared" si="97"/>
        <v>0</v>
      </c>
      <c r="Z261" s="22">
        <f t="shared" si="97"/>
        <v>0</v>
      </c>
      <c r="AA261" s="22">
        <f t="shared" si="97"/>
        <v>0</v>
      </c>
      <c r="AB261" s="22">
        <f t="shared" si="97"/>
        <v>0</v>
      </c>
      <c r="AC261" s="22">
        <f t="shared" si="97"/>
        <v>15000000</v>
      </c>
      <c r="AD261" s="22">
        <f t="shared" si="97"/>
        <v>0</v>
      </c>
      <c r="AE261" s="22">
        <f t="shared" si="97"/>
        <v>0</v>
      </c>
      <c r="AF261" s="22">
        <f t="shared" si="97"/>
        <v>15000000</v>
      </c>
      <c r="AH261" s="310"/>
    </row>
    <row r="262" spans="1:35" s="110" customFormat="1" ht="98.25" customHeight="1" x14ac:dyDescent="0.2">
      <c r="A262" s="301"/>
      <c r="B262" s="441"/>
      <c r="C262" s="240"/>
      <c r="D262" s="412"/>
      <c r="E262" s="235">
        <v>4502</v>
      </c>
      <c r="F262" s="410" t="s">
        <v>891</v>
      </c>
      <c r="G262" s="219" t="s">
        <v>345</v>
      </c>
      <c r="H262" s="129">
        <v>4502001</v>
      </c>
      <c r="I262" s="411" t="s">
        <v>346</v>
      </c>
      <c r="J262" s="197" t="s">
        <v>892</v>
      </c>
      <c r="K262" s="200" t="s">
        <v>893</v>
      </c>
      <c r="L262" s="195" t="s">
        <v>141</v>
      </c>
      <c r="M262" s="208">
        <v>4</v>
      </c>
      <c r="N262" s="195">
        <v>1</v>
      </c>
      <c r="O262" s="195">
        <v>0</v>
      </c>
      <c r="P262" s="411" t="s">
        <v>67</v>
      </c>
      <c r="Q262" s="412" t="s">
        <v>879</v>
      </c>
      <c r="R262" s="410" t="s">
        <v>880</v>
      </c>
      <c r="S262" s="2"/>
      <c r="T262" s="2"/>
      <c r="U262" s="2"/>
      <c r="V262" s="2"/>
      <c r="W262" s="2"/>
      <c r="X262" s="2"/>
      <c r="Y262" s="2"/>
      <c r="Z262" s="2"/>
      <c r="AA262" s="2"/>
      <c r="AB262" s="2"/>
      <c r="AC262" s="8">
        <v>15000000</v>
      </c>
      <c r="AD262" s="2"/>
      <c r="AE262" s="2"/>
      <c r="AF262" s="106">
        <f>+S262+T262+U262+V262+W262+X262+Y262+Z262+AA262+AB262+AC262+AD262+AE262</f>
        <v>15000000</v>
      </c>
      <c r="AH262" s="310"/>
    </row>
    <row r="263" spans="1:35" ht="15.75" x14ac:dyDescent="0.2">
      <c r="A263" s="135" t="s">
        <v>894</v>
      </c>
      <c r="B263" s="135"/>
      <c r="C263" s="135"/>
      <c r="D263" s="136"/>
      <c r="E263" s="136"/>
      <c r="F263" s="137"/>
      <c r="G263" s="138"/>
      <c r="H263" s="90"/>
      <c r="I263" s="137"/>
      <c r="J263" s="138"/>
      <c r="K263" s="137"/>
      <c r="L263" s="90"/>
      <c r="M263" s="90"/>
      <c r="N263" s="138"/>
      <c r="O263" s="138"/>
      <c r="P263" s="136"/>
      <c r="Q263" s="138"/>
      <c r="R263" s="137"/>
      <c r="S263" s="119">
        <f>+S264</f>
        <v>0</v>
      </c>
      <c r="T263" s="119">
        <f t="shared" ref="T263:AF263" si="98">+T264</f>
        <v>0</v>
      </c>
      <c r="U263" s="119">
        <f t="shared" si="98"/>
        <v>0</v>
      </c>
      <c r="V263" s="119">
        <f t="shared" si="98"/>
        <v>400000000</v>
      </c>
      <c r="W263" s="119">
        <f t="shared" si="98"/>
        <v>6648246009.5</v>
      </c>
      <c r="X263" s="119">
        <f t="shared" si="98"/>
        <v>30215921696.520004</v>
      </c>
      <c r="Y263" s="119">
        <f t="shared" si="98"/>
        <v>0</v>
      </c>
      <c r="Z263" s="119">
        <f t="shared" si="98"/>
        <v>0</v>
      </c>
      <c r="AA263" s="119">
        <f t="shared" si="98"/>
        <v>0</v>
      </c>
      <c r="AB263" s="119">
        <f t="shared" si="98"/>
        <v>0</v>
      </c>
      <c r="AC263" s="119">
        <f t="shared" si="98"/>
        <v>4628050740</v>
      </c>
      <c r="AD263" s="119">
        <f t="shared" si="98"/>
        <v>5475600892</v>
      </c>
      <c r="AE263" s="119">
        <f t="shared" si="98"/>
        <v>2147768825.3000002</v>
      </c>
      <c r="AF263" s="119">
        <f t="shared" si="98"/>
        <v>49515588163.32</v>
      </c>
      <c r="AG263" s="310"/>
      <c r="AH263" s="310"/>
      <c r="AI263" s="310"/>
    </row>
    <row r="264" spans="1:35" ht="15.75" x14ac:dyDescent="0.2">
      <c r="A264" s="283"/>
      <c r="B264" s="170">
        <v>1</v>
      </c>
      <c r="C264" s="93" t="s">
        <v>1</v>
      </c>
      <c r="D264" s="94"/>
      <c r="E264" s="94"/>
      <c r="F264" s="95"/>
      <c r="G264" s="96"/>
      <c r="H264" s="97"/>
      <c r="I264" s="95"/>
      <c r="J264" s="96"/>
      <c r="K264" s="95"/>
      <c r="L264" s="98"/>
      <c r="M264" s="98"/>
      <c r="N264" s="96"/>
      <c r="O264" s="96"/>
      <c r="P264" s="94"/>
      <c r="Q264" s="96"/>
      <c r="R264" s="95"/>
      <c r="S264" s="99">
        <f>+S265+S289+S320</f>
        <v>0</v>
      </c>
      <c r="T264" s="99">
        <f t="shared" ref="T264:AF264" si="99">+T265+T289+T320</f>
        <v>0</v>
      </c>
      <c r="U264" s="99">
        <f t="shared" si="99"/>
        <v>0</v>
      </c>
      <c r="V264" s="99">
        <f t="shared" si="99"/>
        <v>400000000</v>
      </c>
      <c r="W264" s="99">
        <f t="shared" si="99"/>
        <v>6648246009.5</v>
      </c>
      <c r="X264" s="99">
        <f t="shared" si="99"/>
        <v>30215921696.520004</v>
      </c>
      <c r="Y264" s="99">
        <f t="shared" si="99"/>
        <v>0</v>
      </c>
      <c r="Z264" s="99">
        <f t="shared" si="99"/>
        <v>0</v>
      </c>
      <c r="AA264" s="99">
        <f t="shared" si="99"/>
        <v>0</v>
      </c>
      <c r="AB264" s="99">
        <f t="shared" si="99"/>
        <v>0</v>
      </c>
      <c r="AC264" s="99">
        <f t="shared" si="99"/>
        <v>4628050740</v>
      </c>
      <c r="AD264" s="99">
        <f t="shared" si="99"/>
        <v>5475600892</v>
      </c>
      <c r="AE264" s="99">
        <f t="shared" si="99"/>
        <v>2147768825.3000002</v>
      </c>
      <c r="AF264" s="99">
        <f t="shared" si="99"/>
        <v>49515588163.32</v>
      </c>
      <c r="AH264" s="310"/>
    </row>
    <row r="265" spans="1:35" ht="15.75" x14ac:dyDescent="0.2">
      <c r="A265" s="281"/>
      <c r="B265" s="433"/>
      <c r="C265" s="126">
        <v>11</v>
      </c>
      <c r="D265" s="101">
        <v>1903</v>
      </c>
      <c r="E265" s="424" t="s">
        <v>896</v>
      </c>
      <c r="F265" s="100"/>
      <c r="G265" s="101"/>
      <c r="H265" s="102"/>
      <c r="I265" s="100"/>
      <c r="J265" s="101"/>
      <c r="K265" s="100"/>
      <c r="L265" s="103"/>
      <c r="M265" s="103"/>
      <c r="N265" s="101"/>
      <c r="O265" s="101"/>
      <c r="P265" s="104"/>
      <c r="Q265" s="101"/>
      <c r="R265" s="100"/>
      <c r="S265" s="105">
        <f>SUM(S266:S288)</f>
        <v>0</v>
      </c>
      <c r="T265" s="105">
        <f t="shared" ref="T265:AF265" si="100">SUM(T266:T288)</f>
        <v>0</v>
      </c>
      <c r="U265" s="105">
        <f t="shared" si="100"/>
        <v>0</v>
      </c>
      <c r="V265" s="105">
        <f t="shared" si="100"/>
        <v>0</v>
      </c>
      <c r="W265" s="105">
        <f t="shared" si="100"/>
        <v>1887781718</v>
      </c>
      <c r="X265" s="105">
        <f t="shared" si="100"/>
        <v>1306328216.8600001</v>
      </c>
      <c r="Y265" s="105">
        <f t="shared" si="100"/>
        <v>0</v>
      </c>
      <c r="Z265" s="105">
        <f t="shared" si="100"/>
        <v>0</v>
      </c>
      <c r="AA265" s="105">
        <f t="shared" si="100"/>
        <v>0</v>
      </c>
      <c r="AB265" s="105">
        <f t="shared" si="100"/>
        <v>0</v>
      </c>
      <c r="AC265" s="105">
        <f t="shared" si="100"/>
        <v>161590000</v>
      </c>
      <c r="AD265" s="105">
        <f t="shared" si="100"/>
        <v>0</v>
      </c>
      <c r="AE265" s="105">
        <f t="shared" si="100"/>
        <v>351200000</v>
      </c>
      <c r="AF265" s="105">
        <f t="shared" si="100"/>
        <v>3706899934.8600001</v>
      </c>
      <c r="AH265" s="310"/>
    </row>
    <row r="266" spans="1:35" ht="92.25" customHeight="1" x14ac:dyDescent="0.2">
      <c r="A266" s="281"/>
      <c r="B266" s="290"/>
      <c r="C266" s="240"/>
      <c r="D266" s="412"/>
      <c r="E266" s="412">
        <v>1903</v>
      </c>
      <c r="F266" s="411" t="s">
        <v>897</v>
      </c>
      <c r="G266" s="232" t="s">
        <v>898</v>
      </c>
      <c r="H266" s="412" t="s">
        <v>45</v>
      </c>
      <c r="I266" s="410" t="s">
        <v>917</v>
      </c>
      <c r="J266" s="209" t="s">
        <v>899</v>
      </c>
      <c r="K266" s="200" t="s">
        <v>900</v>
      </c>
      <c r="L266" s="195" t="s">
        <v>51</v>
      </c>
      <c r="M266" s="195">
        <v>1</v>
      </c>
      <c r="N266" s="195">
        <v>1</v>
      </c>
      <c r="O266" s="195">
        <v>0.85</v>
      </c>
      <c r="P266" s="316" t="s">
        <v>150</v>
      </c>
      <c r="Q266" s="412" t="s">
        <v>901</v>
      </c>
      <c r="R266" s="410" t="s">
        <v>10</v>
      </c>
      <c r="S266" s="2"/>
      <c r="T266" s="2"/>
      <c r="U266" s="2"/>
      <c r="V266" s="2"/>
      <c r="W266" s="2">
        <f>50000000</f>
        <v>50000000</v>
      </c>
      <c r="X266" s="2"/>
      <c r="Y266" s="2"/>
      <c r="Z266" s="2"/>
      <c r="AA266" s="2"/>
      <c r="AB266" s="2"/>
      <c r="AC266" s="8"/>
      <c r="AD266" s="2"/>
      <c r="AE266" s="2"/>
      <c r="AF266" s="193">
        <f t="shared" ref="AF266:AF288" si="101">+S266+T266+U266+V266+W266+X266+Y266+Z266+AA266+AB266+AC266+AD266+AE266</f>
        <v>50000000</v>
      </c>
      <c r="AH266" s="310"/>
    </row>
    <row r="267" spans="1:35" s="132" customFormat="1" ht="66" customHeight="1" x14ac:dyDescent="0.2">
      <c r="A267" s="287"/>
      <c r="B267" s="430"/>
      <c r="C267" s="432"/>
      <c r="D267" s="233"/>
      <c r="E267" s="427">
        <v>1903</v>
      </c>
      <c r="F267" s="428" t="s">
        <v>897</v>
      </c>
      <c r="G267" s="427" t="s">
        <v>902</v>
      </c>
      <c r="H267" s="427">
        <v>1903009</v>
      </c>
      <c r="I267" s="426" t="s">
        <v>903</v>
      </c>
      <c r="J267" s="427" t="s">
        <v>904</v>
      </c>
      <c r="K267" s="203" t="s">
        <v>905</v>
      </c>
      <c r="L267" s="435" t="s">
        <v>141</v>
      </c>
      <c r="M267" s="435">
        <v>2900</v>
      </c>
      <c r="N267" s="435">
        <v>380</v>
      </c>
      <c r="O267" s="435">
        <v>352</v>
      </c>
      <c r="P267" s="478" t="s">
        <v>150</v>
      </c>
      <c r="Q267" s="477" t="s">
        <v>906</v>
      </c>
      <c r="R267" s="478" t="s">
        <v>907</v>
      </c>
      <c r="S267" s="2"/>
      <c r="T267" s="2"/>
      <c r="U267" s="2"/>
      <c r="V267" s="2"/>
      <c r="W267" s="2">
        <f>70000000-33600000</f>
        <v>36400000</v>
      </c>
      <c r="X267" s="2"/>
      <c r="Y267" s="2"/>
      <c r="Z267" s="2"/>
      <c r="AA267" s="2"/>
      <c r="AB267" s="2"/>
      <c r="AC267" s="8">
        <f>40000000-40000000</f>
        <v>0</v>
      </c>
      <c r="AD267" s="2"/>
      <c r="AE267" s="2"/>
      <c r="AF267" s="131">
        <f t="shared" si="101"/>
        <v>36400000</v>
      </c>
      <c r="AH267" s="398"/>
    </row>
    <row r="268" spans="1:35" s="132" customFormat="1" ht="69" customHeight="1" x14ac:dyDescent="0.2">
      <c r="A268" s="287"/>
      <c r="B268" s="430"/>
      <c r="C268" s="432"/>
      <c r="D268" s="233"/>
      <c r="E268" s="427">
        <v>1903</v>
      </c>
      <c r="F268" s="428" t="s">
        <v>908</v>
      </c>
      <c r="G268" s="427" t="s">
        <v>909</v>
      </c>
      <c r="H268" s="427">
        <v>1903023</v>
      </c>
      <c r="I268" s="426" t="s">
        <v>910</v>
      </c>
      <c r="J268" s="427" t="s">
        <v>911</v>
      </c>
      <c r="K268" s="203" t="s">
        <v>912</v>
      </c>
      <c r="L268" s="435" t="s">
        <v>51</v>
      </c>
      <c r="M268" s="435">
        <v>12</v>
      </c>
      <c r="N268" s="435">
        <v>12</v>
      </c>
      <c r="O268" s="435">
        <v>3</v>
      </c>
      <c r="P268" s="478"/>
      <c r="Q268" s="477"/>
      <c r="R268" s="478"/>
      <c r="S268" s="2"/>
      <c r="T268" s="2"/>
      <c r="U268" s="2"/>
      <c r="V268" s="2"/>
      <c r="W268" s="2">
        <f>2800528+79027689-0.14-2800528-67827688.86</f>
        <v>11200000</v>
      </c>
      <c r="X268" s="145"/>
      <c r="Y268" s="2"/>
      <c r="Z268" s="2"/>
      <c r="AA268" s="2"/>
      <c r="AB268" s="2"/>
      <c r="AC268" s="324"/>
      <c r="AD268" s="2"/>
      <c r="AE268" s="2"/>
      <c r="AF268" s="131">
        <f t="shared" si="101"/>
        <v>11200000</v>
      </c>
      <c r="AH268" s="398"/>
    </row>
    <row r="269" spans="1:35" s="132" customFormat="1" ht="146.25" customHeight="1" x14ac:dyDescent="0.2">
      <c r="A269" s="287"/>
      <c r="B269" s="430"/>
      <c r="C269" s="432"/>
      <c r="D269" s="233"/>
      <c r="E269" s="427">
        <v>1903</v>
      </c>
      <c r="F269" s="428" t="s">
        <v>913</v>
      </c>
      <c r="G269" s="209" t="s">
        <v>914</v>
      </c>
      <c r="H269" s="427" t="s">
        <v>45</v>
      </c>
      <c r="I269" s="426" t="s">
        <v>1388</v>
      </c>
      <c r="J269" s="209" t="s">
        <v>915</v>
      </c>
      <c r="K269" s="203" t="s">
        <v>916</v>
      </c>
      <c r="L269" s="435" t="s">
        <v>51</v>
      </c>
      <c r="M269" s="435">
        <v>12</v>
      </c>
      <c r="N269" s="435">
        <v>12</v>
      </c>
      <c r="O269" s="435">
        <v>6</v>
      </c>
      <c r="P269" s="478"/>
      <c r="Q269" s="477"/>
      <c r="R269" s="478"/>
      <c r="S269" s="2"/>
      <c r="T269" s="2"/>
      <c r="U269" s="2"/>
      <c r="V269" s="2"/>
      <c r="W269" s="2">
        <f>70000000-1700000</f>
        <v>68300000</v>
      </c>
      <c r="X269" s="159"/>
      <c r="Y269" s="2"/>
      <c r="Z269" s="2"/>
      <c r="AA269" s="2"/>
      <c r="AB269" s="2"/>
      <c r="AC269" s="324"/>
      <c r="AD269" s="2"/>
      <c r="AE269" s="2"/>
      <c r="AF269" s="131">
        <f t="shared" si="101"/>
        <v>68300000</v>
      </c>
      <c r="AH269" s="398"/>
    </row>
    <row r="270" spans="1:35" s="132" customFormat="1" ht="94.5" customHeight="1" x14ac:dyDescent="0.2">
      <c r="A270" s="287"/>
      <c r="B270" s="430"/>
      <c r="C270" s="432"/>
      <c r="D270" s="233"/>
      <c r="E270" s="427">
        <v>1903</v>
      </c>
      <c r="F270" s="428" t="s">
        <v>897</v>
      </c>
      <c r="G270" s="427" t="s">
        <v>898</v>
      </c>
      <c r="H270" s="427" t="s">
        <v>45</v>
      </c>
      <c r="I270" s="426" t="s">
        <v>917</v>
      </c>
      <c r="J270" s="427" t="s">
        <v>899</v>
      </c>
      <c r="K270" s="426" t="s">
        <v>900</v>
      </c>
      <c r="L270" s="435" t="s">
        <v>51</v>
      </c>
      <c r="M270" s="435">
        <v>1</v>
      </c>
      <c r="N270" s="427">
        <v>1</v>
      </c>
      <c r="O270" s="427">
        <v>0.9</v>
      </c>
      <c r="P270" s="478"/>
      <c r="Q270" s="477"/>
      <c r="R270" s="478"/>
      <c r="S270" s="2"/>
      <c r="T270" s="2"/>
      <c r="U270" s="2"/>
      <c r="V270" s="2"/>
      <c r="W270" s="2"/>
      <c r="X270" s="2">
        <f>824500000+2800528+329027688.86</f>
        <v>1156328216.8600001</v>
      </c>
      <c r="Y270" s="2"/>
      <c r="Z270" s="2"/>
      <c r="AA270" s="2"/>
      <c r="AB270" s="2"/>
      <c r="AC270" s="324"/>
      <c r="AD270" s="2"/>
      <c r="AE270" s="145"/>
      <c r="AF270" s="131">
        <f t="shared" si="101"/>
        <v>1156328216.8600001</v>
      </c>
      <c r="AH270" s="398"/>
    </row>
    <row r="271" spans="1:35" s="132" customFormat="1" ht="138.75" customHeight="1" x14ac:dyDescent="0.2">
      <c r="A271" s="287"/>
      <c r="B271" s="430"/>
      <c r="C271" s="432"/>
      <c r="D271" s="233"/>
      <c r="E271" s="427">
        <v>1903</v>
      </c>
      <c r="F271" s="428" t="s">
        <v>918</v>
      </c>
      <c r="G271" s="427" t="s">
        <v>919</v>
      </c>
      <c r="H271" s="427">
        <v>1903038</v>
      </c>
      <c r="I271" s="426" t="s">
        <v>920</v>
      </c>
      <c r="J271" s="427" t="s">
        <v>921</v>
      </c>
      <c r="K271" s="426" t="s">
        <v>922</v>
      </c>
      <c r="L271" s="435" t="s">
        <v>51</v>
      </c>
      <c r="M271" s="435">
        <v>11</v>
      </c>
      <c r="N271" s="435">
        <v>11</v>
      </c>
      <c r="O271" s="435">
        <v>11</v>
      </c>
      <c r="P271" s="478"/>
      <c r="Q271" s="477"/>
      <c r="R271" s="478"/>
      <c r="S271" s="2"/>
      <c r="T271" s="2"/>
      <c r="U271" s="2"/>
      <c r="V271" s="2"/>
      <c r="W271" s="2">
        <f>50000000-38800000</f>
        <v>11200000</v>
      </c>
      <c r="X271" s="145"/>
      <c r="Y271" s="2"/>
      <c r="Z271" s="2"/>
      <c r="AA271" s="2"/>
      <c r="AB271" s="2"/>
      <c r="AC271" s="324"/>
      <c r="AD271" s="2"/>
      <c r="AE271" s="2"/>
      <c r="AF271" s="131">
        <f t="shared" si="101"/>
        <v>11200000</v>
      </c>
      <c r="AH271" s="398"/>
    </row>
    <row r="272" spans="1:35" s="132" customFormat="1" ht="80.25" customHeight="1" x14ac:dyDescent="0.2">
      <c r="A272" s="287"/>
      <c r="B272" s="430"/>
      <c r="C272" s="432"/>
      <c r="D272" s="233"/>
      <c r="E272" s="427">
        <v>1903</v>
      </c>
      <c r="F272" s="428" t="s">
        <v>923</v>
      </c>
      <c r="G272" s="209" t="s">
        <v>924</v>
      </c>
      <c r="H272" s="427">
        <v>1903027</v>
      </c>
      <c r="I272" s="426" t="s">
        <v>925</v>
      </c>
      <c r="J272" s="209" t="s">
        <v>926</v>
      </c>
      <c r="K272" s="211" t="s">
        <v>927</v>
      </c>
      <c r="L272" s="435" t="s">
        <v>51</v>
      </c>
      <c r="M272" s="435">
        <v>5</v>
      </c>
      <c r="N272" s="435">
        <v>5</v>
      </c>
      <c r="O272" s="435">
        <v>1</v>
      </c>
      <c r="P272" s="478"/>
      <c r="Q272" s="477"/>
      <c r="R272" s="478"/>
      <c r="S272" s="2"/>
      <c r="T272" s="2"/>
      <c r="U272" s="2"/>
      <c r="V272" s="2"/>
      <c r="W272" s="2">
        <f>200000000-188800000</f>
        <v>11200000</v>
      </c>
      <c r="X272" s="145"/>
      <c r="Y272" s="2"/>
      <c r="Z272" s="2"/>
      <c r="AA272" s="2"/>
      <c r="AB272" s="2"/>
      <c r="AC272" s="324"/>
      <c r="AD272" s="2"/>
      <c r="AE272" s="2"/>
      <c r="AF272" s="131">
        <f t="shared" si="101"/>
        <v>11200000</v>
      </c>
      <c r="AH272" s="398"/>
    </row>
    <row r="273" spans="1:34" s="132" customFormat="1" ht="62.25" customHeight="1" x14ac:dyDescent="0.2">
      <c r="A273" s="287"/>
      <c r="B273" s="430"/>
      <c r="C273" s="432"/>
      <c r="D273" s="233"/>
      <c r="E273" s="427">
        <v>1903</v>
      </c>
      <c r="F273" s="428" t="s">
        <v>976</v>
      </c>
      <c r="G273" s="210" t="s">
        <v>929</v>
      </c>
      <c r="H273" s="427">
        <v>1903011</v>
      </c>
      <c r="I273" s="426" t="s">
        <v>930</v>
      </c>
      <c r="J273" s="210" t="s">
        <v>931</v>
      </c>
      <c r="K273" s="211" t="s">
        <v>932</v>
      </c>
      <c r="L273" s="435" t="s">
        <v>51</v>
      </c>
      <c r="M273" s="435">
        <v>140</v>
      </c>
      <c r="N273" s="435">
        <v>140</v>
      </c>
      <c r="O273" s="435">
        <v>103</v>
      </c>
      <c r="P273" s="478"/>
      <c r="Q273" s="477"/>
      <c r="R273" s="478"/>
      <c r="S273" s="2"/>
      <c r="T273" s="2"/>
      <c r="U273" s="2"/>
      <c r="V273" s="2"/>
      <c r="W273" s="2">
        <v>20000000</v>
      </c>
      <c r="X273" s="2"/>
      <c r="Y273" s="2"/>
      <c r="Z273" s="2"/>
      <c r="AA273" s="2"/>
      <c r="AB273" s="2"/>
      <c r="AC273" s="324"/>
      <c r="AD273" s="2"/>
      <c r="AE273" s="2"/>
      <c r="AF273" s="131">
        <f t="shared" si="101"/>
        <v>20000000</v>
      </c>
      <c r="AH273" s="398"/>
    </row>
    <row r="274" spans="1:34" s="132" customFormat="1" ht="103.5" customHeight="1" x14ac:dyDescent="0.2">
      <c r="A274" s="287"/>
      <c r="B274" s="430"/>
      <c r="C274" s="432"/>
      <c r="D274" s="233"/>
      <c r="E274" s="427">
        <v>1903</v>
      </c>
      <c r="F274" s="428" t="s">
        <v>1350</v>
      </c>
      <c r="G274" s="210" t="s">
        <v>933</v>
      </c>
      <c r="H274" s="427">
        <v>1903001</v>
      </c>
      <c r="I274" s="426" t="s">
        <v>516</v>
      </c>
      <c r="J274" s="210" t="s">
        <v>934</v>
      </c>
      <c r="K274" s="203" t="s">
        <v>935</v>
      </c>
      <c r="L274" s="435" t="s">
        <v>51</v>
      </c>
      <c r="M274" s="435">
        <v>1</v>
      </c>
      <c r="N274" s="435">
        <v>1</v>
      </c>
      <c r="O274" s="435">
        <v>1</v>
      </c>
      <c r="P274" s="499" t="s">
        <v>150</v>
      </c>
      <c r="Q274" s="477" t="s">
        <v>936</v>
      </c>
      <c r="R274" s="478" t="s">
        <v>937</v>
      </c>
      <c r="S274" s="2"/>
      <c r="T274" s="2"/>
      <c r="U274" s="2"/>
      <c r="V274" s="2"/>
      <c r="W274" s="2">
        <v>81470000</v>
      </c>
      <c r="X274" s="2"/>
      <c r="Y274" s="2"/>
      <c r="Z274" s="2"/>
      <c r="AA274" s="2"/>
      <c r="AB274" s="2"/>
      <c r="AC274" s="8"/>
      <c r="AD274" s="2"/>
      <c r="AE274" s="2"/>
      <c r="AF274" s="131">
        <f t="shared" si="101"/>
        <v>81470000</v>
      </c>
      <c r="AH274" s="398"/>
    </row>
    <row r="275" spans="1:34" s="132" customFormat="1" ht="74.25" customHeight="1" x14ac:dyDescent="0.2">
      <c r="A275" s="287"/>
      <c r="B275" s="430"/>
      <c r="C275" s="432"/>
      <c r="D275" s="233"/>
      <c r="E275" s="427">
        <v>1903</v>
      </c>
      <c r="F275" s="428" t="s">
        <v>938</v>
      </c>
      <c r="G275" s="427" t="s">
        <v>939</v>
      </c>
      <c r="H275" s="427">
        <v>1903015</v>
      </c>
      <c r="I275" s="426" t="s">
        <v>940</v>
      </c>
      <c r="J275" s="427" t="s">
        <v>941</v>
      </c>
      <c r="K275" s="426" t="s">
        <v>942</v>
      </c>
      <c r="L275" s="435" t="s">
        <v>51</v>
      </c>
      <c r="M275" s="435">
        <v>12</v>
      </c>
      <c r="N275" s="435">
        <v>12</v>
      </c>
      <c r="O275" s="435">
        <v>12</v>
      </c>
      <c r="P275" s="499"/>
      <c r="Q275" s="477"/>
      <c r="R275" s="478"/>
      <c r="S275" s="2"/>
      <c r="T275" s="2"/>
      <c r="U275" s="2"/>
      <c r="V275" s="2"/>
      <c r="W275" s="2">
        <f>236000000-2000000</f>
        <v>234000000</v>
      </c>
      <c r="X275" s="2"/>
      <c r="Y275" s="2"/>
      <c r="Z275" s="2"/>
      <c r="AA275" s="2"/>
      <c r="AB275" s="2"/>
      <c r="AC275" s="8"/>
      <c r="AD275" s="2"/>
      <c r="AE275" s="2"/>
      <c r="AF275" s="131">
        <f t="shared" si="101"/>
        <v>234000000</v>
      </c>
      <c r="AH275" s="398"/>
    </row>
    <row r="276" spans="1:34" s="132" customFormat="1" ht="98.25" customHeight="1" x14ac:dyDescent="0.2">
      <c r="A276" s="287"/>
      <c r="B276" s="430"/>
      <c r="C276" s="432"/>
      <c r="D276" s="233"/>
      <c r="E276" s="427">
        <v>1903</v>
      </c>
      <c r="F276" s="428" t="s">
        <v>1351</v>
      </c>
      <c r="G276" s="427" t="s">
        <v>943</v>
      </c>
      <c r="H276" s="427">
        <v>1903012</v>
      </c>
      <c r="I276" s="426" t="s">
        <v>944</v>
      </c>
      <c r="J276" s="427" t="s">
        <v>945</v>
      </c>
      <c r="K276" s="426" t="s">
        <v>946</v>
      </c>
      <c r="L276" s="435" t="s">
        <v>51</v>
      </c>
      <c r="M276" s="435">
        <v>4000</v>
      </c>
      <c r="N276" s="435">
        <v>4000</v>
      </c>
      <c r="O276" s="435">
        <v>16981</v>
      </c>
      <c r="P276" s="479" t="s">
        <v>150</v>
      </c>
      <c r="Q276" s="477" t="s">
        <v>947</v>
      </c>
      <c r="R276" s="478" t="s">
        <v>948</v>
      </c>
      <c r="S276" s="2"/>
      <c r="T276" s="2"/>
      <c r="U276" s="2"/>
      <c r="V276" s="2"/>
      <c r="W276" s="20">
        <f>803501477-19489759-11348333</f>
        <v>772663385</v>
      </c>
      <c r="X276" s="20"/>
      <c r="Y276" s="2"/>
      <c r="Z276" s="2"/>
      <c r="AA276" s="2"/>
      <c r="AB276" s="2"/>
      <c r="AC276" s="8">
        <f>243062000-243062000</f>
        <v>0</v>
      </c>
      <c r="AD276" s="2"/>
      <c r="AE276" s="2">
        <v>95200000</v>
      </c>
      <c r="AF276" s="131">
        <f t="shared" si="101"/>
        <v>867863385</v>
      </c>
      <c r="AH276" s="398"/>
    </row>
    <row r="277" spans="1:34" s="132" customFormat="1" ht="82.5" customHeight="1" x14ac:dyDescent="0.2">
      <c r="A277" s="287"/>
      <c r="B277" s="430"/>
      <c r="C277" s="432"/>
      <c r="D277" s="233"/>
      <c r="E277" s="427">
        <v>1903</v>
      </c>
      <c r="F277" s="428" t="s">
        <v>949</v>
      </c>
      <c r="G277" s="427" t="s">
        <v>950</v>
      </c>
      <c r="H277" s="427">
        <v>1903016</v>
      </c>
      <c r="I277" s="426" t="s">
        <v>951</v>
      </c>
      <c r="J277" s="427" t="s">
        <v>952</v>
      </c>
      <c r="K277" s="203" t="s">
        <v>953</v>
      </c>
      <c r="L277" s="435" t="s">
        <v>51</v>
      </c>
      <c r="M277" s="435">
        <v>240</v>
      </c>
      <c r="N277" s="435">
        <v>240</v>
      </c>
      <c r="O277" s="435">
        <v>120</v>
      </c>
      <c r="P277" s="479"/>
      <c r="Q277" s="477"/>
      <c r="R277" s="478"/>
      <c r="S277" s="2"/>
      <c r="T277" s="2"/>
      <c r="U277" s="2"/>
      <c r="V277" s="2"/>
      <c r="W277" s="20">
        <f>100000000+11348333</f>
        <v>111348333</v>
      </c>
      <c r="X277" s="2"/>
      <c r="Y277" s="2"/>
      <c r="Z277" s="2"/>
      <c r="AA277" s="2"/>
      <c r="AB277" s="2"/>
      <c r="AC277" s="8"/>
      <c r="AD277" s="2"/>
      <c r="AE277" s="2"/>
      <c r="AF277" s="131">
        <f t="shared" si="101"/>
        <v>111348333</v>
      </c>
      <c r="AH277" s="398"/>
    </row>
    <row r="278" spans="1:34" s="132" customFormat="1" ht="88.5" customHeight="1" x14ac:dyDescent="0.2">
      <c r="A278" s="287"/>
      <c r="B278" s="430"/>
      <c r="C278" s="432"/>
      <c r="D278" s="233"/>
      <c r="E278" s="427">
        <v>1903</v>
      </c>
      <c r="F278" s="428" t="s">
        <v>928</v>
      </c>
      <c r="G278" s="210" t="s">
        <v>929</v>
      </c>
      <c r="H278" s="427">
        <v>1903011</v>
      </c>
      <c r="I278" s="426" t="s">
        <v>930</v>
      </c>
      <c r="J278" s="210" t="s">
        <v>954</v>
      </c>
      <c r="K278" s="426" t="s">
        <v>955</v>
      </c>
      <c r="L278" s="435" t="s">
        <v>51</v>
      </c>
      <c r="M278" s="435">
        <v>12</v>
      </c>
      <c r="N278" s="435">
        <v>12</v>
      </c>
      <c r="O278" s="435">
        <v>10</v>
      </c>
      <c r="P278" s="479"/>
      <c r="Q278" s="477"/>
      <c r="R278" s="478"/>
      <c r="S278" s="2"/>
      <c r="T278" s="2"/>
      <c r="U278" s="2"/>
      <c r="V278" s="2"/>
      <c r="W278" s="20">
        <v>100000000</v>
      </c>
      <c r="X278" s="2"/>
      <c r="Y278" s="2"/>
      <c r="Z278" s="2"/>
      <c r="AA278" s="2"/>
      <c r="AB278" s="2"/>
      <c r="AC278" s="8"/>
      <c r="AD278" s="2"/>
      <c r="AE278" s="2"/>
      <c r="AF278" s="131">
        <f t="shared" si="101"/>
        <v>100000000</v>
      </c>
      <c r="AH278" s="398"/>
    </row>
    <row r="279" spans="1:34" s="132" customFormat="1" ht="66" customHeight="1" x14ac:dyDescent="0.2">
      <c r="A279" s="287"/>
      <c r="B279" s="430"/>
      <c r="C279" s="432"/>
      <c r="D279" s="233"/>
      <c r="E279" s="427">
        <v>1903</v>
      </c>
      <c r="F279" s="428" t="s">
        <v>923</v>
      </c>
      <c r="G279" s="209" t="s">
        <v>1402</v>
      </c>
      <c r="H279" s="427">
        <v>1903031</v>
      </c>
      <c r="I279" s="426" t="s">
        <v>956</v>
      </c>
      <c r="J279" s="209" t="s">
        <v>957</v>
      </c>
      <c r="K279" s="211" t="s">
        <v>958</v>
      </c>
      <c r="L279" s="435" t="s">
        <v>51</v>
      </c>
      <c r="M279" s="435">
        <v>12</v>
      </c>
      <c r="N279" s="435">
        <v>12</v>
      </c>
      <c r="O279" s="435">
        <v>12</v>
      </c>
      <c r="P279" s="428" t="s">
        <v>150</v>
      </c>
      <c r="Q279" s="427" t="s">
        <v>959</v>
      </c>
      <c r="R279" s="426" t="s">
        <v>960</v>
      </c>
      <c r="S279" s="2"/>
      <c r="T279" s="2"/>
      <c r="U279" s="2"/>
      <c r="V279" s="2"/>
      <c r="W279" s="20">
        <f>400000000-20000000</f>
        <v>380000000</v>
      </c>
      <c r="X279" s="2"/>
      <c r="Y279" s="2"/>
      <c r="Z279" s="2"/>
      <c r="AA279" s="2"/>
      <c r="AB279" s="2"/>
      <c r="AC279" s="8"/>
      <c r="AD279" s="2"/>
      <c r="AE279" s="2">
        <v>256000000</v>
      </c>
      <c r="AF279" s="131">
        <f t="shared" si="101"/>
        <v>636000000</v>
      </c>
      <c r="AH279" s="398"/>
    </row>
    <row r="280" spans="1:34" s="132" customFormat="1" ht="77.25" customHeight="1" x14ac:dyDescent="0.2">
      <c r="A280" s="287"/>
      <c r="B280" s="430"/>
      <c r="C280" s="429"/>
      <c r="D280" s="427"/>
      <c r="E280" s="427">
        <v>1903</v>
      </c>
      <c r="F280" s="428" t="s">
        <v>928</v>
      </c>
      <c r="G280" s="427" t="s">
        <v>961</v>
      </c>
      <c r="H280" s="427">
        <v>1903034</v>
      </c>
      <c r="I280" s="426" t="s">
        <v>319</v>
      </c>
      <c r="J280" s="427" t="s">
        <v>962</v>
      </c>
      <c r="K280" s="426" t="s">
        <v>963</v>
      </c>
      <c r="L280" s="435" t="s">
        <v>51</v>
      </c>
      <c r="M280" s="435">
        <v>12</v>
      </c>
      <c r="N280" s="435">
        <v>12</v>
      </c>
      <c r="O280" s="435">
        <v>12</v>
      </c>
      <c r="P280" s="428" t="s">
        <v>150</v>
      </c>
      <c r="Q280" s="427" t="s">
        <v>964</v>
      </c>
      <c r="R280" s="426" t="s">
        <v>965</v>
      </c>
      <c r="S280" s="2"/>
      <c r="T280" s="2"/>
      <c r="U280" s="2"/>
      <c r="V280" s="2"/>
      <c r="W280" s="2"/>
      <c r="X280" s="20"/>
      <c r="Y280" s="2"/>
      <c r="Z280" s="2"/>
      <c r="AA280" s="2"/>
      <c r="AB280" s="2"/>
      <c r="AC280" s="8">
        <v>96954000</v>
      </c>
      <c r="AD280" s="2"/>
      <c r="AE280" s="2"/>
      <c r="AF280" s="131">
        <f t="shared" si="101"/>
        <v>96954000</v>
      </c>
      <c r="AH280" s="398"/>
    </row>
    <row r="281" spans="1:34" s="132" customFormat="1" ht="75" customHeight="1" x14ac:dyDescent="0.2">
      <c r="A281" s="287"/>
      <c r="B281" s="430"/>
      <c r="C281" s="429"/>
      <c r="D281" s="427"/>
      <c r="E281" s="427">
        <v>1903</v>
      </c>
      <c r="F281" s="428" t="s">
        <v>1352</v>
      </c>
      <c r="G281" s="209" t="s">
        <v>1401</v>
      </c>
      <c r="H281" s="427">
        <v>1903045</v>
      </c>
      <c r="I281" s="426" t="s">
        <v>966</v>
      </c>
      <c r="J281" s="209" t="s">
        <v>967</v>
      </c>
      <c r="K281" s="203" t="s">
        <v>968</v>
      </c>
      <c r="L281" s="435" t="s">
        <v>141</v>
      </c>
      <c r="M281" s="435">
        <v>2900</v>
      </c>
      <c r="N281" s="435">
        <v>60</v>
      </c>
      <c r="O281" s="435">
        <v>57</v>
      </c>
      <c r="P281" s="479" t="s">
        <v>150</v>
      </c>
      <c r="Q281" s="477" t="s">
        <v>969</v>
      </c>
      <c r="R281" s="478" t="s">
        <v>970</v>
      </c>
      <c r="S281" s="2"/>
      <c r="T281" s="2"/>
      <c r="U281" s="2"/>
      <c r="V281" s="2"/>
      <c r="W281" s="2"/>
      <c r="X281" s="20"/>
      <c r="Y281" s="2"/>
      <c r="Z281" s="2"/>
      <c r="AA281" s="2"/>
      <c r="AB281" s="2"/>
      <c r="AC281" s="8">
        <f>19636000-7560000+15000000+7560000</f>
        <v>34636000</v>
      </c>
      <c r="AD281" s="2"/>
      <c r="AE281" s="2"/>
      <c r="AF281" s="131">
        <f t="shared" si="101"/>
        <v>34636000</v>
      </c>
      <c r="AH281" s="398"/>
    </row>
    <row r="282" spans="1:34" s="132" customFormat="1" ht="99.75" customHeight="1" x14ac:dyDescent="0.2">
      <c r="A282" s="287"/>
      <c r="B282" s="430"/>
      <c r="C282" s="429"/>
      <c r="D282" s="427"/>
      <c r="E282" s="427">
        <v>1903</v>
      </c>
      <c r="F282" s="428" t="s">
        <v>1350</v>
      </c>
      <c r="G282" s="210" t="s">
        <v>933</v>
      </c>
      <c r="H282" s="427">
        <v>1903001</v>
      </c>
      <c r="I282" s="426" t="s">
        <v>516</v>
      </c>
      <c r="J282" s="210" t="s">
        <v>934</v>
      </c>
      <c r="K282" s="203" t="s">
        <v>935</v>
      </c>
      <c r="L282" s="435" t="s">
        <v>51</v>
      </c>
      <c r="M282" s="435">
        <v>1</v>
      </c>
      <c r="N282" s="427">
        <v>1</v>
      </c>
      <c r="O282" s="427">
        <v>1</v>
      </c>
      <c r="P282" s="479"/>
      <c r="Q282" s="477"/>
      <c r="R282" s="478"/>
      <c r="S282" s="2"/>
      <c r="T282" s="2"/>
      <c r="U282" s="2"/>
      <c r="V282" s="2"/>
      <c r="W282" s="2"/>
      <c r="X282" s="20"/>
      <c r="Y282" s="2"/>
      <c r="Z282" s="2"/>
      <c r="AA282" s="2"/>
      <c r="AB282" s="2"/>
      <c r="AC282" s="8"/>
      <c r="AD282" s="2"/>
      <c r="AE282" s="2"/>
      <c r="AF282" s="131">
        <f t="shared" si="101"/>
        <v>0</v>
      </c>
      <c r="AH282" s="398"/>
    </row>
    <row r="283" spans="1:34" s="132" customFormat="1" ht="71.25" customHeight="1" x14ac:dyDescent="0.2">
      <c r="A283" s="287"/>
      <c r="B283" s="430"/>
      <c r="C283" s="429"/>
      <c r="D283" s="427"/>
      <c r="E283" s="427">
        <v>1903</v>
      </c>
      <c r="F283" s="211" t="s">
        <v>971</v>
      </c>
      <c r="G283" s="210" t="s">
        <v>972</v>
      </c>
      <c r="H283" s="435">
        <v>1903010</v>
      </c>
      <c r="I283" s="211" t="s">
        <v>973</v>
      </c>
      <c r="J283" s="210" t="s">
        <v>974</v>
      </c>
      <c r="K283" s="211" t="s">
        <v>975</v>
      </c>
      <c r="L283" s="435" t="s">
        <v>51</v>
      </c>
      <c r="M283" s="435">
        <v>12</v>
      </c>
      <c r="N283" s="435">
        <v>12</v>
      </c>
      <c r="O283" s="435">
        <v>12</v>
      </c>
      <c r="P283" s="479"/>
      <c r="Q283" s="477"/>
      <c r="R283" s="478"/>
      <c r="S283" s="2"/>
      <c r="T283" s="2"/>
      <c r="U283" s="2"/>
      <c r="V283" s="2"/>
      <c r="W283" s="2"/>
      <c r="X283" s="20"/>
      <c r="Y283" s="2"/>
      <c r="Z283" s="2"/>
      <c r="AA283" s="2"/>
      <c r="AB283" s="2"/>
      <c r="AC283" s="8">
        <v>15000000</v>
      </c>
      <c r="AD283" s="2"/>
      <c r="AE283" s="2"/>
      <c r="AF283" s="131">
        <f t="shared" si="101"/>
        <v>15000000</v>
      </c>
      <c r="AH283" s="398"/>
    </row>
    <row r="284" spans="1:34" s="132" customFormat="1" ht="71.25" customHeight="1" x14ac:dyDescent="0.2">
      <c r="A284" s="287"/>
      <c r="B284" s="430"/>
      <c r="C284" s="432"/>
      <c r="D284" s="427"/>
      <c r="E284" s="427">
        <v>1903</v>
      </c>
      <c r="F284" s="428" t="s">
        <v>976</v>
      </c>
      <c r="G284" s="210" t="s">
        <v>929</v>
      </c>
      <c r="H284" s="427">
        <v>1903011</v>
      </c>
      <c r="I284" s="426" t="s">
        <v>930</v>
      </c>
      <c r="J284" s="210" t="s">
        <v>954</v>
      </c>
      <c r="K284" s="426" t="s">
        <v>955</v>
      </c>
      <c r="L284" s="435" t="s">
        <v>51</v>
      </c>
      <c r="M284" s="435">
        <v>12</v>
      </c>
      <c r="N284" s="435">
        <v>12</v>
      </c>
      <c r="O284" s="435">
        <v>8</v>
      </c>
      <c r="P284" s="479"/>
      <c r="Q284" s="477"/>
      <c r="R284" s="478"/>
      <c r="S284" s="2"/>
      <c r="T284" s="2"/>
      <c r="U284" s="2"/>
      <c r="V284" s="2"/>
      <c r="W284" s="2"/>
      <c r="X284" s="20"/>
      <c r="Y284" s="2"/>
      <c r="Z284" s="2"/>
      <c r="AA284" s="2"/>
      <c r="AB284" s="2"/>
      <c r="AC284" s="8">
        <v>15000000</v>
      </c>
      <c r="AD284" s="2"/>
      <c r="AE284" s="2"/>
      <c r="AF284" s="131">
        <f t="shared" si="101"/>
        <v>15000000</v>
      </c>
      <c r="AH284" s="398"/>
    </row>
    <row r="285" spans="1:34" s="132" customFormat="1" ht="66" customHeight="1" x14ac:dyDescent="0.2">
      <c r="A285" s="287"/>
      <c r="B285" s="430"/>
      <c r="C285" s="429"/>
      <c r="D285" s="427"/>
      <c r="E285" s="427">
        <v>1903</v>
      </c>
      <c r="F285" s="428" t="s">
        <v>977</v>
      </c>
      <c r="G285" s="209" t="s">
        <v>978</v>
      </c>
      <c r="H285" s="427">
        <v>1903047</v>
      </c>
      <c r="I285" s="426" t="s">
        <v>979</v>
      </c>
      <c r="J285" s="209" t="s">
        <v>980</v>
      </c>
      <c r="K285" s="203" t="s">
        <v>981</v>
      </c>
      <c r="L285" s="435" t="s">
        <v>51</v>
      </c>
      <c r="M285" s="435">
        <v>1</v>
      </c>
      <c r="N285" s="435">
        <v>1</v>
      </c>
      <c r="O285" s="435">
        <v>1</v>
      </c>
      <c r="P285" s="479" t="s">
        <v>150</v>
      </c>
      <c r="Q285" s="477" t="s">
        <v>982</v>
      </c>
      <c r="R285" s="478" t="s">
        <v>983</v>
      </c>
      <c r="S285" s="2"/>
      <c r="T285" s="2"/>
      <c r="U285" s="2"/>
      <c r="V285" s="2"/>
      <c r="W285" s="2"/>
      <c r="X285" s="399">
        <v>20000000</v>
      </c>
      <c r="Y285" s="2"/>
      <c r="Z285" s="2"/>
      <c r="AA285" s="2"/>
      <c r="AB285" s="2"/>
      <c r="AC285" s="8"/>
      <c r="AD285" s="2"/>
      <c r="AE285" s="2"/>
      <c r="AF285" s="131">
        <f t="shared" si="101"/>
        <v>20000000</v>
      </c>
      <c r="AH285" s="398"/>
    </row>
    <row r="286" spans="1:34" s="132" customFormat="1" ht="102" customHeight="1" x14ac:dyDescent="0.2">
      <c r="A286" s="287"/>
      <c r="B286" s="430"/>
      <c r="C286" s="429"/>
      <c r="D286" s="427"/>
      <c r="E286" s="427">
        <v>1903</v>
      </c>
      <c r="F286" s="428" t="s">
        <v>984</v>
      </c>
      <c r="G286" s="210" t="s">
        <v>985</v>
      </c>
      <c r="H286" s="427">
        <v>1903019</v>
      </c>
      <c r="I286" s="426" t="s">
        <v>986</v>
      </c>
      <c r="J286" s="210" t="s">
        <v>987</v>
      </c>
      <c r="K286" s="211" t="s">
        <v>988</v>
      </c>
      <c r="L286" s="435" t="s">
        <v>51</v>
      </c>
      <c r="M286" s="435">
        <v>75</v>
      </c>
      <c r="N286" s="435">
        <v>75</v>
      </c>
      <c r="O286" s="435">
        <v>60</v>
      </c>
      <c r="P286" s="479"/>
      <c r="Q286" s="477"/>
      <c r="R286" s="478"/>
      <c r="S286" s="2"/>
      <c r="T286" s="2"/>
      <c r="U286" s="2"/>
      <c r="V286" s="2"/>
      <c r="W286" s="2"/>
      <c r="X286" s="399">
        <f>90000000-78800000</f>
        <v>11200000</v>
      </c>
      <c r="Y286" s="2"/>
      <c r="Z286" s="2"/>
      <c r="AA286" s="2"/>
      <c r="AB286" s="2"/>
      <c r="AC286" s="8"/>
      <c r="AD286" s="2"/>
      <c r="AE286" s="2"/>
      <c r="AF286" s="131">
        <f t="shared" si="101"/>
        <v>11200000</v>
      </c>
      <c r="AH286" s="398"/>
    </row>
    <row r="287" spans="1:34" s="132" customFormat="1" ht="47.25" customHeight="1" x14ac:dyDescent="0.2">
      <c r="A287" s="287"/>
      <c r="B287" s="430"/>
      <c r="C287" s="429"/>
      <c r="D287" s="427"/>
      <c r="E287" s="427">
        <v>1903</v>
      </c>
      <c r="F287" s="428" t="s">
        <v>989</v>
      </c>
      <c r="G287" s="427" t="s">
        <v>1400</v>
      </c>
      <c r="H287" s="427">
        <v>1903028</v>
      </c>
      <c r="I287" s="426" t="s">
        <v>990</v>
      </c>
      <c r="J287" s="427" t="s">
        <v>991</v>
      </c>
      <c r="K287" s="426" t="s">
        <v>992</v>
      </c>
      <c r="L287" s="435" t="s">
        <v>51</v>
      </c>
      <c r="M287" s="435">
        <v>250</v>
      </c>
      <c r="N287" s="435">
        <v>250</v>
      </c>
      <c r="O287" s="435">
        <v>250</v>
      </c>
      <c r="P287" s="479"/>
      <c r="Q287" s="477"/>
      <c r="R287" s="478"/>
      <c r="S287" s="2"/>
      <c r="T287" s="2"/>
      <c r="U287" s="2"/>
      <c r="V287" s="2"/>
      <c r="W287" s="2"/>
      <c r="X287" s="399">
        <f>20000000-6000000</f>
        <v>14000000</v>
      </c>
      <c r="Y287" s="2"/>
      <c r="Z287" s="2"/>
      <c r="AA287" s="2"/>
      <c r="AB287" s="2"/>
      <c r="AC287" s="8"/>
      <c r="AD287" s="2"/>
      <c r="AE287" s="2"/>
      <c r="AF287" s="131">
        <f t="shared" si="101"/>
        <v>14000000</v>
      </c>
      <c r="AH287" s="398"/>
    </row>
    <row r="288" spans="1:34" s="132" customFormat="1" ht="85.5" customHeight="1" x14ac:dyDescent="0.2">
      <c r="A288" s="287"/>
      <c r="B288" s="430"/>
      <c r="C288" s="429"/>
      <c r="D288" s="427"/>
      <c r="E288" s="427">
        <v>1903</v>
      </c>
      <c r="F288" s="428" t="s">
        <v>938</v>
      </c>
      <c r="G288" s="209" t="s">
        <v>993</v>
      </c>
      <c r="H288" s="427">
        <v>1903025</v>
      </c>
      <c r="I288" s="426" t="s">
        <v>994</v>
      </c>
      <c r="J288" s="209" t="s">
        <v>995</v>
      </c>
      <c r="K288" s="203" t="s">
        <v>996</v>
      </c>
      <c r="L288" s="400" t="s">
        <v>51</v>
      </c>
      <c r="M288" s="427">
        <v>12</v>
      </c>
      <c r="N288" s="427">
        <v>12</v>
      </c>
      <c r="O288" s="427">
        <v>12</v>
      </c>
      <c r="P288" s="479"/>
      <c r="Q288" s="477"/>
      <c r="R288" s="478"/>
      <c r="S288" s="2"/>
      <c r="T288" s="2"/>
      <c r="U288" s="2"/>
      <c r="V288" s="2"/>
      <c r="W288" s="2"/>
      <c r="X288" s="399">
        <f>20000000+84800000</f>
        <v>104800000</v>
      </c>
      <c r="Y288" s="2"/>
      <c r="Z288" s="2"/>
      <c r="AA288" s="2"/>
      <c r="AB288" s="2"/>
      <c r="AC288" s="8"/>
      <c r="AD288" s="2"/>
      <c r="AE288" s="2"/>
      <c r="AF288" s="131">
        <f t="shared" si="101"/>
        <v>104800000</v>
      </c>
      <c r="AH288" s="398"/>
    </row>
    <row r="289" spans="1:34" ht="21.75" customHeight="1" x14ac:dyDescent="0.2">
      <c r="A289" s="281"/>
      <c r="B289" s="434"/>
      <c r="C289" s="126">
        <v>12</v>
      </c>
      <c r="D289" s="101">
        <v>1905</v>
      </c>
      <c r="E289" s="424" t="s">
        <v>719</v>
      </c>
      <c r="F289" s="100"/>
      <c r="G289" s="101"/>
      <c r="H289" s="102"/>
      <c r="I289" s="100"/>
      <c r="J289" s="101"/>
      <c r="K289" s="100"/>
      <c r="L289" s="103"/>
      <c r="M289" s="103"/>
      <c r="N289" s="101"/>
      <c r="O289" s="101"/>
      <c r="P289" s="104"/>
      <c r="Q289" s="101"/>
      <c r="R289" s="100"/>
      <c r="S289" s="230">
        <f>SUM(S290:S319)</f>
        <v>0</v>
      </c>
      <c r="T289" s="230">
        <f t="shared" ref="T289:AE289" si="102">SUM(T290:T319)</f>
        <v>0</v>
      </c>
      <c r="U289" s="230">
        <f t="shared" si="102"/>
        <v>0</v>
      </c>
      <c r="V289" s="230">
        <f t="shared" si="102"/>
        <v>0</v>
      </c>
      <c r="W289" s="230">
        <f t="shared" si="102"/>
        <v>2565952214.6300001</v>
      </c>
      <c r="X289" s="230">
        <f t="shared" si="102"/>
        <v>0</v>
      </c>
      <c r="Y289" s="230">
        <f t="shared" si="102"/>
        <v>0</v>
      </c>
      <c r="Z289" s="230">
        <f t="shared" si="102"/>
        <v>0</v>
      </c>
      <c r="AA289" s="230">
        <f t="shared" si="102"/>
        <v>0</v>
      </c>
      <c r="AB289" s="230">
        <f t="shared" si="102"/>
        <v>0</v>
      </c>
      <c r="AC289" s="230">
        <f t="shared" si="102"/>
        <v>3524870740</v>
      </c>
      <c r="AD289" s="230">
        <f t="shared" si="102"/>
        <v>0</v>
      </c>
      <c r="AE289" s="230">
        <f t="shared" si="102"/>
        <v>382592941.61000001</v>
      </c>
      <c r="AF289" s="230">
        <f>SUM(AF290:AF319)</f>
        <v>6473415896.2400007</v>
      </c>
      <c r="AH289" s="310"/>
    </row>
    <row r="290" spans="1:34" s="132" customFormat="1" ht="120" customHeight="1" x14ac:dyDescent="0.2">
      <c r="A290" s="287"/>
      <c r="B290" s="430"/>
      <c r="C290" s="432"/>
      <c r="D290" s="233"/>
      <c r="E290" s="427">
        <v>1905</v>
      </c>
      <c r="F290" s="428" t="s">
        <v>908</v>
      </c>
      <c r="G290" s="427" t="s">
        <v>1399</v>
      </c>
      <c r="H290" s="427">
        <v>1905028</v>
      </c>
      <c r="I290" s="426" t="s">
        <v>997</v>
      </c>
      <c r="J290" s="427" t="s">
        <v>998</v>
      </c>
      <c r="K290" s="426" t="s">
        <v>999</v>
      </c>
      <c r="L290" s="427" t="s">
        <v>51</v>
      </c>
      <c r="M290" s="427">
        <v>12</v>
      </c>
      <c r="N290" s="427">
        <v>12</v>
      </c>
      <c r="O290" s="427">
        <v>10</v>
      </c>
      <c r="P290" s="478" t="s">
        <v>150</v>
      </c>
      <c r="Q290" s="477" t="s">
        <v>901</v>
      </c>
      <c r="R290" s="478" t="s">
        <v>10</v>
      </c>
      <c r="S290" s="2"/>
      <c r="T290" s="2"/>
      <c r="U290" s="2"/>
      <c r="V290" s="2"/>
      <c r="W290" s="2">
        <v>40000000</v>
      </c>
      <c r="X290" s="2"/>
      <c r="Y290" s="2"/>
      <c r="Z290" s="2"/>
      <c r="AA290" s="2"/>
      <c r="AB290" s="2"/>
      <c r="AC290" s="8"/>
      <c r="AD290" s="2"/>
      <c r="AE290" s="2"/>
      <c r="AF290" s="131">
        <f t="shared" ref="AF290:AF319" si="103">+S290+T290+U290+V290+W290+X290+Y290+Z290+AA290+AB290+AC290+AD290+AE290</f>
        <v>40000000</v>
      </c>
      <c r="AH290" s="398"/>
    </row>
    <row r="291" spans="1:34" s="132" customFormat="1" ht="114.75" customHeight="1" x14ac:dyDescent="0.2">
      <c r="A291" s="287"/>
      <c r="B291" s="430"/>
      <c r="C291" s="432"/>
      <c r="D291" s="233"/>
      <c r="E291" s="427">
        <v>1905</v>
      </c>
      <c r="F291" s="428" t="s">
        <v>908</v>
      </c>
      <c r="G291" s="427" t="s">
        <v>1000</v>
      </c>
      <c r="H291" s="427">
        <v>1905031</v>
      </c>
      <c r="I291" s="426" t="s">
        <v>1001</v>
      </c>
      <c r="J291" s="427" t="s">
        <v>1002</v>
      </c>
      <c r="K291" s="426" t="s">
        <v>1003</v>
      </c>
      <c r="L291" s="435" t="s">
        <v>51</v>
      </c>
      <c r="M291" s="435">
        <v>12</v>
      </c>
      <c r="N291" s="435">
        <v>12</v>
      </c>
      <c r="O291" s="435">
        <v>8</v>
      </c>
      <c r="P291" s="478"/>
      <c r="Q291" s="477"/>
      <c r="R291" s="478"/>
      <c r="S291" s="2"/>
      <c r="T291" s="2"/>
      <c r="U291" s="2"/>
      <c r="V291" s="2"/>
      <c r="W291" s="2">
        <f>40000000-12000000</f>
        <v>28000000</v>
      </c>
      <c r="X291" s="2"/>
      <c r="Y291" s="2"/>
      <c r="Z291" s="2"/>
      <c r="AA291" s="2"/>
      <c r="AB291" s="2"/>
      <c r="AC291" s="8"/>
      <c r="AD291" s="2"/>
      <c r="AE291" s="2"/>
      <c r="AF291" s="131">
        <f t="shared" si="103"/>
        <v>28000000</v>
      </c>
      <c r="AH291" s="398"/>
    </row>
    <row r="292" spans="1:34" s="132" customFormat="1" ht="63.75" customHeight="1" x14ac:dyDescent="0.2">
      <c r="A292" s="287"/>
      <c r="B292" s="430"/>
      <c r="C292" s="432"/>
      <c r="D292" s="233"/>
      <c r="E292" s="427">
        <v>1905</v>
      </c>
      <c r="F292" s="428" t="s">
        <v>1004</v>
      </c>
      <c r="G292" s="427" t="s">
        <v>1398</v>
      </c>
      <c r="H292" s="427">
        <v>1905019</v>
      </c>
      <c r="I292" s="426" t="s">
        <v>1005</v>
      </c>
      <c r="J292" s="427" t="s">
        <v>1006</v>
      </c>
      <c r="K292" s="426" t="s">
        <v>334</v>
      </c>
      <c r="L292" s="435" t="s">
        <v>51</v>
      </c>
      <c r="M292" s="435">
        <v>60</v>
      </c>
      <c r="N292" s="435">
        <v>60</v>
      </c>
      <c r="O292" s="435">
        <v>60</v>
      </c>
      <c r="P292" s="478" t="s">
        <v>150</v>
      </c>
      <c r="Q292" s="477" t="s">
        <v>1007</v>
      </c>
      <c r="R292" s="478" t="s">
        <v>1008</v>
      </c>
      <c r="S292" s="2"/>
      <c r="T292" s="2"/>
      <c r="U292" s="2"/>
      <c r="V292" s="2"/>
      <c r="W292" s="21">
        <f>20000000-5000000</f>
        <v>15000000</v>
      </c>
      <c r="X292" s="2"/>
      <c r="Y292" s="2"/>
      <c r="Z292" s="2"/>
      <c r="AA292" s="2"/>
      <c r="AB292" s="2"/>
      <c r="AC292" s="8"/>
      <c r="AD292" s="2"/>
      <c r="AE292" s="2"/>
      <c r="AF292" s="131">
        <f t="shared" si="103"/>
        <v>15000000</v>
      </c>
      <c r="AH292" s="398"/>
    </row>
    <row r="293" spans="1:34" s="132" customFormat="1" ht="125.25" customHeight="1" x14ac:dyDescent="0.2">
      <c r="A293" s="287"/>
      <c r="B293" s="430"/>
      <c r="C293" s="432"/>
      <c r="D293" s="233"/>
      <c r="E293" s="427">
        <v>1905</v>
      </c>
      <c r="F293" s="426" t="s">
        <v>1009</v>
      </c>
      <c r="G293" s="427" t="s">
        <v>1010</v>
      </c>
      <c r="H293" s="427" t="s">
        <v>45</v>
      </c>
      <c r="I293" s="426" t="s">
        <v>1011</v>
      </c>
      <c r="J293" s="427" t="s">
        <v>1012</v>
      </c>
      <c r="K293" s="426" t="s">
        <v>1013</v>
      </c>
      <c r="L293" s="427" t="s">
        <v>51</v>
      </c>
      <c r="M293" s="427">
        <v>11</v>
      </c>
      <c r="N293" s="435">
        <v>11</v>
      </c>
      <c r="O293" s="435">
        <v>11</v>
      </c>
      <c r="P293" s="478"/>
      <c r="Q293" s="477"/>
      <c r="R293" s="478"/>
      <c r="S293" s="2"/>
      <c r="T293" s="2"/>
      <c r="U293" s="2"/>
      <c r="V293" s="2"/>
      <c r="W293" s="21">
        <f>20000000-5000000</f>
        <v>15000000</v>
      </c>
      <c r="X293" s="2"/>
      <c r="Y293" s="2"/>
      <c r="Z293" s="2"/>
      <c r="AA293" s="2"/>
      <c r="AB293" s="2"/>
      <c r="AC293" s="8"/>
      <c r="AD293" s="2"/>
      <c r="AE293" s="2"/>
      <c r="AF293" s="131">
        <f t="shared" si="103"/>
        <v>15000000</v>
      </c>
      <c r="AH293" s="398"/>
    </row>
    <row r="294" spans="1:34" s="132" customFormat="1" ht="93.75" customHeight="1" x14ac:dyDescent="0.2">
      <c r="A294" s="287"/>
      <c r="B294" s="430"/>
      <c r="C294" s="432"/>
      <c r="D294" s="233"/>
      <c r="E294" s="427">
        <v>1905</v>
      </c>
      <c r="F294" s="426" t="s">
        <v>1014</v>
      </c>
      <c r="G294" s="419" t="s">
        <v>1015</v>
      </c>
      <c r="H294" s="427" t="s">
        <v>45</v>
      </c>
      <c r="I294" s="426" t="s">
        <v>1016</v>
      </c>
      <c r="J294" s="419" t="s">
        <v>1017</v>
      </c>
      <c r="K294" s="203" t="s">
        <v>1390</v>
      </c>
      <c r="L294" s="435" t="s">
        <v>51</v>
      </c>
      <c r="M294" s="435">
        <v>1</v>
      </c>
      <c r="N294" s="435">
        <v>1</v>
      </c>
      <c r="O294" s="435">
        <v>0.3</v>
      </c>
      <c r="P294" s="478"/>
      <c r="Q294" s="477"/>
      <c r="R294" s="478"/>
      <c r="S294" s="2"/>
      <c r="T294" s="2"/>
      <c r="U294" s="2"/>
      <c r="V294" s="2"/>
      <c r="W294" s="21">
        <f>20000000-5000000</f>
        <v>15000000</v>
      </c>
      <c r="X294" s="2"/>
      <c r="Y294" s="2"/>
      <c r="Z294" s="2"/>
      <c r="AA294" s="2"/>
      <c r="AB294" s="2"/>
      <c r="AC294" s="8"/>
      <c r="AD294" s="2"/>
      <c r="AE294" s="2"/>
      <c r="AF294" s="131">
        <f t="shared" si="103"/>
        <v>15000000</v>
      </c>
      <c r="AH294" s="398"/>
    </row>
    <row r="295" spans="1:34" s="132" customFormat="1" ht="102.75" customHeight="1" x14ac:dyDescent="0.2">
      <c r="A295" s="287"/>
      <c r="B295" s="430"/>
      <c r="C295" s="432"/>
      <c r="D295" s="233"/>
      <c r="E295" s="427">
        <v>1905</v>
      </c>
      <c r="F295" s="428" t="s">
        <v>913</v>
      </c>
      <c r="G295" s="419" t="s">
        <v>1018</v>
      </c>
      <c r="H295" s="427" t="s">
        <v>45</v>
      </c>
      <c r="I295" s="426" t="s">
        <v>1019</v>
      </c>
      <c r="J295" s="419" t="s">
        <v>1020</v>
      </c>
      <c r="K295" s="203" t="s">
        <v>1021</v>
      </c>
      <c r="L295" s="435" t="s">
        <v>141</v>
      </c>
      <c r="M295" s="435">
        <v>11</v>
      </c>
      <c r="N295" s="435">
        <v>1</v>
      </c>
      <c r="O295" s="435">
        <v>0.6</v>
      </c>
      <c r="P295" s="478"/>
      <c r="Q295" s="477"/>
      <c r="R295" s="478"/>
      <c r="S295" s="2"/>
      <c r="T295" s="2"/>
      <c r="U295" s="2"/>
      <c r="V295" s="2"/>
      <c r="W295" s="21">
        <f>70000000-20000000</f>
        <v>50000000</v>
      </c>
      <c r="X295" s="2"/>
      <c r="Y295" s="2"/>
      <c r="Z295" s="2"/>
      <c r="AA295" s="2"/>
      <c r="AB295" s="2"/>
      <c r="AC295" s="8"/>
      <c r="AD295" s="2"/>
      <c r="AE295" s="2"/>
      <c r="AF295" s="131">
        <f t="shared" si="103"/>
        <v>50000000</v>
      </c>
      <c r="AH295" s="398"/>
    </row>
    <row r="296" spans="1:34" s="132" customFormat="1" ht="93.75" customHeight="1" x14ac:dyDescent="0.2">
      <c r="A296" s="287"/>
      <c r="B296" s="430"/>
      <c r="C296" s="432"/>
      <c r="D296" s="233"/>
      <c r="E296" s="427">
        <v>1905</v>
      </c>
      <c r="F296" s="428" t="s">
        <v>1022</v>
      </c>
      <c r="G296" s="419" t="s">
        <v>1023</v>
      </c>
      <c r="H296" s="427" t="s">
        <v>45</v>
      </c>
      <c r="I296" s="426" t="s">
        <v>1353</v>
      </c>
      <c r="J296" s="419" t="s">
        <v>1024</v>
      </c>
      <c r="K296" s="203" t="s">
        <v>1025</v>
      </c>
      <c r="L296" s="427" t="s">
        <v>1300</v>
      </c>
      <c r="M296" s="427">
        <v>12</v>
      </c>
      <c r="N296" s="391">
        <v>2</v>
      </c>
      <c r="O296" s="391">
        <v>1</v>
      </c>
      <c r="P296" s="478"/>
      <c r="Q296" s="477"/>
      <c r="R296" s="478"/>
      <c r="S296" s="2"/>
      <c r="T296" s="2"/>
      <c r="U296" s="2"/>
      <c r="V296" s="2"/>
      <c r="W296" s="21">
        <v>20000000</v>
      </c>
      <c r="X296" s="2"/>
      <c r="Y296" s="2"/>
      <c r="Z296" s="2"/>
      <c r="AA296" s="2"/>
      <c r="AB296" s="2"/>
      <c r="AC296" s="8"/>
      <c r="AD296" s="2"/>
      <c r="AE296" s="2"/>
      <c r="AF296" s="131">
        <f t="shared" si="103"/>
        <v>20000000</v>
      </c>
      <c r="AH296" s="398"/>
    </row>
    <row r="297" spans="1:34" s="132" customFormat="1" ht="151.5" customHeight="1" x14ac:dyDescent="0.2">
      <c r="A297" s="287"/>
      <c r="B297" s="430"/>
      <c r="C297" s="432"/>
      <c r="D297" s="233"/>
      <c r="E297" s="427">
        <v>1905</v>
      </c>
      <c r="F297" s="428" t="s">
        <v>913</v>
      </c>
      <c r="G297" s="419" t="s">
        <v>1026</v>
      </c>
      <c r="H297" s="427" t="s">
        <v>45</v>
      </c>
      <c r="I297" s="426" t="s">
        <v>1027</v>
      </c>
      <c r="J297" s="419" t="s">
        <v>1028</v>
      </c>
      <c r="K297" s="203" t="s">
        <v>1029</v>
      </c>
      <c r="L297" s="435" t="s">
        <v>51</v>
      </c>
      <c r="M297" s="435">
        <v>12</v>
      </c>
      <c r="N297" s="435">
        <v>12</v>
      </c>
      <c r="O297" s="435">
        <v>5</v>
      </c>
      <c r="P297" s="478"/>
      <c r="Q297" s="477"/>
      <c r="R297" s="478"/>
      <c r="S297" s="2"/>
      <c r="T297" s="2"/>
      <c r="U297" s="2"/>
      <c r="V297" s="2"/>
      <c r="W297" s="21">
        <f>30000000-10000000</f>
        <v>20000000</v>
      </c>
      <c r="X297" s="2"/>
      <c r="Y297" s="2"/>
      <c r="Z297" s="2"/>
      <c r="AA297" s="2"/>
      <c r="AB297" s="2"/>
      <c r="AC297" s="8"/>
      <c r="AD297" s="2"/>
      <c r="AE297" s="2"/>
      <c r="AF297" s="131">
        <f t="shared" si="103"/>
        <v>20000000</v>
      </c>
      <c r="AH297" s="398"/>
    </row>
    <row r="298" spans="1:34" s="132" customFormat="1" ht="93.75" customHeight="1" x14ac:dyDescent="0.2">
      <c r="A298" s="287"/>
      <c r="B298" s="430"/>
      <c r="C298" s="432"/>
      <c r="D298" s="233"/>
      <c r="E298" s="427">
        <v>1905</v>
      </c>
      <c r="F298" s="428" t="s">
        <v>1352</v>
      </c>
      <c r="G298" s="419" t="s">
        <v>1030</v>
      </c>
      <c r="H298" s="427" t="s">
        <v>45</v>
      </c>
      <c r="I298" s="426" t="s">
        <v>1031</v>
      </c>
      <c r="J298" s="419" t="s">
        <v>1032</v>
      </c>
      <c r="K298" s="203" t="s">
        <v>1033</v>
      </c>
      <c r="L298" s="435" t="s">
        <v>141</v>
      </c>
      <c r="M298" s="435">
        <v>12</v>
      </c>
      <c r="N298" s="435">
        <v>2</v>
      </c>
      <c r="O298" s="435">
        <v>2</v>
      </c>
      <c r="P298" s="478"/>
      <c r="Q298" s="477"/>
      <c r="R298" s="478"/>
      <c r="S298" s="2"/>
      <c r="T298" s="2"/>
      <c r="U298" s="2"/>
      <c r="V298" s="2"/>
      <c r="W298" s="21">
        <f>30000000-10000000</f>
        <v>20000000</v>
      </c>
      <c r="X298" s="2"/>
      <c r="Y298" s="2"/>
      <c r="Z298" s="2"/>
      <c r="AA298" s="2"/>
      <c r="AB298" s="2"/>
      <c r="AC298" s="8"/>
      <c r="AD298" s="2"/>
      <c r="AE298" s="2"/>
      <c r="AF298" s="131">
        <f t="shared" si="103"/>
        <v>20000000</v>
      </c>
      <c r="AH298" s="398"/>
    </row>
    <row r="299" spans="1:34" s="132" customFormat="1" ht="246.75" customHeight="1" x14ac:dyDescent="0.2">
      <c r="A299" s="287"/>
      <c r="B299" s="430"/>
      <c r="C299" s="432"/>
      <c r="D299" s="233"/>
      <c r="E299" s="427">
        <v>1905</v>
      </c>
      <c r="F299" s="426" t="s">
        <v>720</v>
      </c>
      <c r="G299" s="435" t="s">
        <v>721</v>
      </c>
      <c r="H299" s="427">
        <v>1905021</v>
      </c>
      <c r="I299" s="426" t="s">
        <v>722</v>
      </c>
      <c r="J299" s="435" t="s">
        <v>723</v>
      </c>
      <c r="K299" s="203" t="s">
        <v>724</v>
      </c>
      <c r="L299" s="427" t="s">
        <v>51</v>
      </c>
      <c r="M299" s="427">
        <v>12</v>
      </c>
      <c r="N299" s="435">
        <v>12</v>
      </c>
      <c r="O299" s="435">
        <v>12</v>
      </c>
      <c r="P299" s="479" t="s">
        <v>150</v>
      </c>
      <c r="Q299" s="477" t="s">
        <v>1034</v>
      </c>
      <c r="R299" s="478" t="s">
        <v>1035</v>
      </c>
      <c r="S299" s="2"/>
      <c r="T299" s="2"/>
      <c r="U299" s="2"/>
      <c r="V299" s="2"/>
      <c r="W299" s="21">
        <f>88000000-24000000</f>
        <v>64000000</v>
      </c>
      <c r="X299" s="2"/>
      <c r="Y299" s="2"/>
      <c r="Z299" s="2"/>
      <c r="AA299" s="2"/>
      <c r="AB299" s="2"/>
      <c r="AC299" s="8"/>
      <c r="AD299" s="2"/>
      <c r="AE299" s="2"/>
      <c r="AF299" s="131">
        <f t="shared" si="103"/>
        <v>64000000</v>
      </c>
      <c r="AH299" s="398"/>
    </row>
    <row r="300" spans="1:34" s="132" customFormat="1" ht="159" customHeight="1" x14ac:dyDescent="0.2">
      <c r="A300" s="287"/>
      <c r="B300" s="430"/>
      <c r="C300" s="432"/>
      <c r="D300" s="233"/>
      <c r="E300" s="427">
        <v>1905</v>
      </c>
      <c r="F300" s="426" t="s">
        <v>1009</v>
      </c>
      <c r="G300" s="427" t="s">
        <v>1010</v>
      </c>
      <c r="H300" s="427" t="s">
        <v>45</v>
      </c>
      <c r="I300" s="426" t="s">
        <v>1036</v>
      </c>
      <c r="J300" s="427" t="s">
        <v>1012</v>
      </c>
      <c r="K300" s="426" t="s">
        <v>1013</v>
      </c>
      <c r="L300" s="427" t="s">
        <v>51</v>
      </c>
      <c r="M300" s="427">
        <v>11</v>
      </c>
      <c r="N300" s="435">
        <v>11</v>
      </c>
      <c r="O300" s="435">
        <v>11</v>
      </c>
      <c r="P300" s="479"/>
      <c r="Q300" s="477"/>
      <c r="R300" s="478"/>
      <c r="S300" s="2"/>
      <c r="T300" s="2"/>
      <c r="U300" s="2"/>
      <c r="V300" s="2"/>
      <c r="W300" s="21">
        <f>60000000-6000000</f>
        <v>54000000</v>
      </c>
      <c r="X300" s="2"/>
      <c r="Y300" s="2"/>
      <c r="Z300" s="2"/>
      <c r="AA300" s="2"/>
      <c r="AB300" s="2"/>
      <c r="AC300" s="8"/>
      <c r="AD300" s="2"/>
      <c r="AE300" s="2"/>
      <c r="AF300" s="131">
        <f t="shared" si="103"/>
        <v>54000000</v>
      </c>
      <c r="AH300" s="398"/>
    </row>
    <row r="301" spans="1:34" s="132" customFormat="1" ht="103.5" customHeight="1" x14ac:dyDescent="0.2">
      <c r="A301" s="287"/>
      <c r="B301" s="430"/>
      <c r="C301" s="432"/>
      <c r="D301" s="233"/>
      <c r="E301" s="427">
        <v>1905</v>
      </c>
      <c r="F301" s="428" t="s">
        <v>938</v>
      </c>
      <c r="G301" s="435" t="s">
        <v>1037</v>
      </c>
      <c r="H301" s="151">
        <v>1905020</v>
      </c>
      <c r="I301" s="426" t="s">
        <v>1038</v>
      </c>
      <c r="J301" s="435" t="s">
        <v>1039</v>
      </c>
      <c r="K301" s="203" t="s">
        <v>1040</v>
      </c>
      <c r="L301" s="435" t="s">
        <v>51</v>
      </c>
      <c r="M301" s="435">
        <v>12</v>
      </c>
      <c r="N301" s="435">
        <v>12</v>
      </c>
      <c r="O301" s="435">
        <v>9</v>
      </c>
      <c r="P301" s="479" t="s">
        <v>150</v>
      </c>
      <c r="Q301" s="477" t="s">
        <v>1041</v>
      </c>
      <c r="R301" s="478" t="s">
        <v>1042</v>
      </c>
      <c r="S301" s="2"/>
      <c r="T301" s="2"/>
      <c r="U301" s="2"/>
      <c r="V301" s="2"/>
      <c r="W301" s="192">
        <f>40000000-7000000</f>
        <v>33000000</v>
      </c>
      <c r="X301" s="2"/>
      <c r="Y301" s="2"/>
      <c r="Z301" s="2"/>
      <c r="AA301" s="2"/>
      <c r="AB301" s="2"/>
      <c r="AC301" s="8"/>
      <c r="AD301" s="2"/>
      <c r="AE301" s="2"/>
      <c r="AF301" s="131">
        <f t="shared" si="103"/>
        <v>33000000</v>
      </c>
      <c r="AH301" s="398"/>
    </row>
    <row r="302" spans="1:34" s="132" customFormat="1" ht="176.25" customHeight="1" x14ac:dyDescent="0.2">
      <c r="A302" s="287"/>
      <c r="B302" s="430"/>
      <c r="C302" s="432"/>
      <c r="D302" s="233"/>
      <c r="E302" s="427">
        <v>1905</v>
      </c>
      <c r="F302" s="426" t="s">
        <v>1391</v>
      </c>
      <c r="G302" s="435" t="s">
        <v>727</v>
      </c>
      <c r="H302" s="151">
        <v>1905022</v>
      </c>
      <c r="I302" s="426" t="s">
        <v>728</v>
      </c>
      <c r="J302" s="435" t="s">
        <v>729</v>
      </c>
      <c r="K302" s="203" t="s">
        <v>730</v>
      </c>
      <c r="L302" s="435" t="s">
        <v>51</v>
      </c>
      <c r="M302" s="435">
        <v>12</v>
      </c>
      <c r="N302" s="435">
        <v>12</v>
      </c>
      <c r="O302" s="435">
        <v>12</v>
      </c>
      <c r="P302" s="479"/>
      <c r="Q302" s="477"/>
      <c r="R302" s="478"/>
      <c r="S302" s="2"/>
      <c r="T302" s="2"/>
      <c r="U302" s="2"/>
      <c r="V302" s="2"/>
      <c r="W302" s="192">
        <f>60000000-7500000</f>
        <v>52500000</v>
      </c>
      <c r="X302" s="2"/>
      <c r="Y302" s="2"/>
      <c r="Z302" s="2"/>
      <c r="AA302" s="2"/>
      <c r="AB302" s="2"/>
      <c r="AC302" s="8"/>
      <c r="AD302" s="2"/>
      <c r="AE302" s="2"/>
      <c r="AF302" s="131">
        <f t="shared" si="103"/>
        <v>52500000</v>
      </c>
      <c r="AH302" s="398"/>
    </row>
    <row r="303" spans="1:34" s="132" customFormat="1" ht="96" customHeight="1" x14ac:dyDescent="0.2">
      <c r="A303" s="287"/>
      <c r="B303" s="430"/>
      <c r="C303" s="432"/>
      <c r="D303" s="233"/>
      <c r="E303" s="427">
        <v>1905</v>
      </c>
      <c r="F303" s="428" t="s">
        <v>938</v>
      </c>
      <c r="G303" s="419" t="s">
        <v>1397</v>
      </c>
      <c r="H303" s="427" t="s">
        <v>45</v>
      </c>
      <c r="I303" s="426" t="s">
        <v>1043</v>
      </c>
      <c r="J303" s="419" t="s">
        <v>1044</v>
      </c>
      <c r="K303" s="203" t="s">
        <v>1045</v>
      </c>
      <c r="L303" s="435" t="s">
        <v>51</v>
      </c>
      <c r="M303" s="435">
        <v>1</v>
      </c>
      <c r="N303" s="435">
        <v>1</v>
      </c>
      <c r="O303" s="435">
        <v>0.3</v>
      </c>
      <c r="P303" s="479"/>
      <c r="Q303" s="477"/>
      <c r="R303" s="478"/>
      <c r="S303" s="2"/>
      <c r="T303" s="2"/>
      <c r="U303" s="2"/>
      <c r="V303" s="2"/>
      <c r="W303" s="192">
        <f>40000000-3000000</f>
        <v>37000000</v>
      </c>
      <c r="X303" s="2"/>
      <c r="Y303" s="2"/>
      <c r="Z303" s="2"/>
      <c r="AA303" s="2"/>
      <c r="AB303" s="2"/>
      <c r="AC303" s="8"/>
      <c r="AD303" s="2"/>
      <c r="AE303" s="2"/>
      <c r="AF303" s="131">
        <f t="shared" si="103"/>
        <v>37000000</v>
      </c>
      <c r="AH303" s="398"/>
    </row>
    <row r="304" spans="1:34" s="132" customFormat="1" ht="102.75" customHeight="1" x14ac:dyDescent="0.2">
      <c r="A304" s="287"/>
      <c r="B304" s="430"/>
      <c r="C304" s="432"/>
      <c r="D304" s="233"/>
      <c r="E304" s="427">
        <v>1905</v>
      </c>
      <c r="F304" s="426" t="s">
        <v>1354</v>
      </c>
      <c r="G304" s="401" t="s">
        <v>1046</v>
      </c>
      <c r="H304" s="427">
        <v>1905023</v>
      </c>
      <c r="I304" s="426" t="s">
        <v>1047</v>
      </c>
      <c r="J304" s="401" t="s">
        <v>1048</v>
      </c>
      <c r="K304" s="203" t="s">
        <v>1049</v>
      </c>
      <c r="L304" s="435" t="s">
        <v>51</v>
      </c>
      <c r="M304" s="435">
        <v>12</v>
      </c>
      <c r="N304" s="435">
        <v>12</v>
      </c>
      <c r="O304" s="435">
        <v>3</v>
      </c>
      <c r="P304" s="479" t="s">
        <v>150</v>
      </c>
      <c r="Q304" s="477" t="s">
        <v>1050</v>
      </c>
      <c r="R304" s="478" t="s">
        <v>1051</v>
      </c>
      <c r="S304" s="2"/>
      <c r="T304" s="2"/>
      <c r="U304" s="2"/>
      <c r="V304" s="2"/>
      <c r="W304" s="192">
        <v>110000000</v>
      </c>
      <c r="X304" s="2"/>
      <c r="Y304" s="2"/>
      <c r="Z304" s="2"/>
      <c r="AA304" s="2"/>
      <c r="AB304" s="2"/>
      <c r="AC304" s="8"/>
      <c r="AD304" s="2"/>
      <c r="AE304" s="2"/>
      <c r="AF304" s="131">
        <f t="shared" si="103"/>
        <v>110000000</v>
      </c>
      <c r="AH304" s="398"/>
    </row>
    <row r="305" spans="1:34" s="132" customFormat="1" ht="109.5" customHeight="1" x14ac:dyDescent="0.2">
      <c r="A305" s="287"/>
      <c r="B305" s="430"/>
      <c r="C305" s="432"/>
      <c r="D305" s="233"/>
      <c r="E305" s="427">
        <v>1905</v>
      </c>
      <c r="F305" s="428" t="s">
        <v>908</v>
      </c>
      <c r="G305" s="427" t="s">
        <v>1000</v>
      </c>
      <c r="H305" s="427">
        <v>1905031</v>
      </c>
      <c r="I305" s="426" t="s">
        <v>1001</v>
      </c>
      <c r="J305" s="427" t="s">
        <v>1002</v>
      </c>
      <c r="K305" s="426" t="s">
        <v>1003</v>
      </c>
      <c r="L305" s="435" t="s">
        <v>51</v>
      </c>
      <c r="M305" s="435">
        <v>12</v>
      </c>
      <c r="N305" s="435">
        <v>12</v>
      </c>
      <c r="O305" s="435">
        <v>3</v>
      </c>
      <c r="P305" s="479"/>
      <c r="Q305" s="477"/>
      <c r="R305" s="478"/>
      <c r="S305" s="2"/>
      <c r="T305" s="2"/>
      <c r="U305" s="2"/>
      <c r="V305" s="2"/>
      <c r="W305" s="192">
        <f>60000000-1000000</f>
        <v>59000000</v>
      </c>
      <c r="X305" s="2"/>
      <c r="Y305" s="2"/>
      <c r="Z305" s="2"/>
      <c r="AA305" s="2"/>
      <c r="AB305" s="2"/>
      <c r="AC305" s="8"/>
      <c r="AD305" s="2"/>
      <c r="AE305" s="2"/>
      <c r="AF305" s="131">
        <f t="shared" si="103"/>
        <v>59000000</v>
      </c>
      <c r="AH305" s="398"/>
    </row>
    <row r="306" spans="1:34" s="132" customFormat="1" ht="134.25" customHeight="1" x14ac:dyDescent="0.2">
      <c r="A306" s="287"/>
      <c r="B306" s="430"/>
      <c r="C306" s="432"/>
      <c r="D306" s="233"/>
      <c r="E306" s="427">
        <v>1905</v>
      </c>
      <c r="F306" s="426" t="s">
        <v>1052</v>
      </c>
      <c r="G306" s="435" t="s">
        <v>1053</v>
      </c>
      <c r="H306" s="427">
        <v>1905012</v>
      </c>
      <c r="I306" s="426" t="s">
        <v>1054</v>
      </c>
      <c r="J306" s="435" t="s">
        <v>1055</v>
      </c>
      <c r="K306" s="203" t="s">
        <v>1054</v>
      </c>
      <c r="L306" s="435" t="s">
        <v>51</v>
      </c>
      <c r="M306" s="435">
        <v>1</v>
      </c>
      <c r="N306" s="435">
        <v>1</v>
      </c>
      <c r="O306" s="435">
        <v>1</v>
      </c>
      <c r="P306" s="479" t="s">
        <v>150</v>
      </c>
      <c r="Q306" s="477" t="s">
        <v>1056</v>
      </c>
      <c r="R306" s="478" t="s">
        <v>1057</v>
      </c>
      <c r="S306" s="2"/>
      <c r="T306" s="2"/>
      <c r="U306" s="2"/>
      <c r="V306" s="2"/>
      <c r="W306" s="2">
        <v>20000000</v>
      </c>
      <c r="X306" s="2"/>
      <c r="Y306" s="2"/>
      <c r="Z306" s="2"/>
      <c r="AA306" s="2"/>
      <c r="AB306" s="2"/>
      <c r="AC306" s="8"/>
      <c r="AD306" s="2"/>
      <c r="AE306" s="249"/>
      <c r="AF306" s="131">
        <f t="shared" si="103"/>
        <v>20000000</v>
      </c>
      <c r="AH306" s="398"/>
    </row>
    <row r="307" spans="1:34" s="132" customFormat="1" ht="147" customHeight="1" x14ac:dyDescent="0.2">
      <c r="A307" s="287"/>
      <c r="B307" s="430"/>
      <c r="C307" s="432"/>
      <c r="D307" s="233"/>
      <c r="E307" s="427">
        <v>1905</v>
      </c>
      <c r="F307" s="426" t="s">
        <v>1058</v>
      </c>
      <c r="G307" s="419">
        <v>12.1</v>
      </c>
      <c r="H307" s="427">
        <v>1905026</v>
      </c>
      <c r="I307" s="426" t="s">
        <v>1060</v>
      </c>
      <c r="J307" s="419" t="s">
        <v>1061</v>
      </c>
      <c r="K307" s="203" t="s">
        <v>1062</v>
      </c>
      <c r="L307" s="427" t="s">
        <v>51</v>
      </c>
      <c r="M307" s="427">
        <v>12</v>
      </c>
      <c r="N307" s="427">
        <v>12</v>
      </c>
      <c r="O307" s="427">
        <v>12</v>
      </c>
      <c r="P307" s="479"/>
      <c r="Q307" s="477"/>
      <c r="R307" s="478"/>
      <c r="S307" s="2"/>
      <c r="T307" s="2"/>
      <c r="U307" s="2"/>
      <c r="V307" s="2"/>
      <c r="W307" s="2">
        <f>60000000-20000000</f>
        <v>40000000</v>
      </c>
      <c r="X307" s="2"/>
      <c r="Y307" s="2"/>
      <c r="Z307" s="2"/>
      <c r="AA307" s="2"/>
      <c r="AB307" s="2"/>
      <c r="AC307" s="8"/>
      <c r="AD307" s="2"/>
      <c r="AE307" s="249"/>
      <c r="AF307" s="131">
        <f t="shared" si="103"/>
        <v>40000000</v>
      </c>
      <c r="AH307" s="398"/>
    </row>
    <row r="308" spans="1:34" s="132" customFormat="1" ht="124.5" customHeight="1" x14ac:dyDescent="0.2">
      <c r="A308" s="287"/>
      <c r="B308" s="430"/>
      <c r="C308" s="432"/>
      <c r="D308" s="233"/>
      <c r="E308" s="427">
        <v>1905</v>
      </c>
      <c r="F308" s="426" t="s">
        <v>1052</v>
      </c>
      <c r="G308" s="427" t="s">
        <v>1063</v>
      </c>
      <c r="H308" s="427">
        <v>1905027</v>
      </c>
      <c r="I308" s="426" t="s">
        <v>1064</v>
      </c>
      <c r="J308" s="427" t="s">
        <v>1065</v>
      </c>
      <c r="K308" s="426" t="s">
        <v>1066</v>
      </c>
      <c r="L308" s="435" t="s">
        <v>51</v>
      </c>
      <c r="M308" s="435">
        <v>12</v>
      </c>
      <c r="N308" s="435">
        <v>12</v>
      </c>
      <c r="O308" s="435">
        <v>12</v>
      </c>
      <c r="P308" s="479"/>
      <c r="Q308" s="477"/>
      <c r="R308" s="478"/>
      <c r="S308" s="2"/>
      <c r="T308" s="2"/>
      <c r="U308" s="2"/>
      <c r="V308" s="2"/>
      <c r="W308" s="2">
        <v>60000000</v>
      </c>
      <c r="X308" s="145"/>
      <c r="Y308" s="2"/>
      <c r="Z308" s="2"/>
      <c r="AA308" s="2"/>
      <c r="AB308" s="2"/>
      <c r="AC308" s="8">
        <f>20000000-13438000-6562000</f>
        <v>0</v>
      </c>
      <c r="AD308" s="2"/>
      <c r="AE308" s="2"/>
      <c r="AF308" s="131">
        <f t="shared" si="103"/>
        <v>60000000</v>
      </c>
      <c r="AH308" s="398"/>
    </row>
    <row r="309" spans="1:34" s="132" customFormat="1" ht="84.75" customHeight="1" x14ac:dyDescent="0.2">
      <c r="A309" s="287"/>
      <c r="B309" s="430"/>
      <c r="C309" s="432"/>
      <c r="D309" s="233"/>
      <c r="E309" s="427">
        <v>1905</v>
      </c>
      <c r="F309" s="428" t="s">
        <v>1067</v>
      </c>
      <c r="G309" s="419" t="s">
        <v>1023</v>
      </c>
      <c r="H309" s="427" t="s">
        <v>45</v>
      </c>
      <c r="I309" s="426" t="s">
        <v>1068</v>
      </c>
      <c r="J309" s="419" t="s">
        <v>1024</v>
      </c>
      <c r="K309" s="203" t="s">
        <v>1025</v>
      </c>
      <c r="L309" s="427" t="s">
        <v>1300</v>
      </c>
      <c r="M309" s="427">
        <v>12</v>
      </c>
      <c r="N309" s="391">
        <v>2</v>
      </c>
      <c r="O309" s="391">
        <v>1</v>
      </c>
      <c r="P309" s="479" t="s">
        <v>150</v>
      </c>
      <c r="Q309" s="477" t="s">
        <v>1069</v>
      </c>
      <c r="R309" s="478" t="s">
        <v>1070</v>
      </c>
      <c r="S309" s="2"/>
      <c r="T309" s="2"/>
      <c r="U309" s="2"/>
      <c r="V309" s="2"/>
      <c r="W309" s="2">
        <f>100000000-25000000</f>
        <v>75000000</v>
      </c>
      <c r="X309" s="2"/>
      <c r="Y309" s="2"/>
      <c r="Z309" s="2"/>
      <c r="AA309" s="2"/>
      <c r="AB309" s="2"/>
      <c r="AC309" s="8">
        <f>75000000+55000000+15000000</f>
        <v>145000000</v>
      </c>
      <c r="AD309" s="2"/>
      <c r="AE309" s="2">
        <f>200991312+59118933-55519922</f>
        <v>204590323</v>
      </c>
      <c r="AF309" s="131">
        <f t="shared" si="103"/>
        <v>424590323</v>
      </c>
      <c r="AH309" s="398"/>
    </row>
    <row r="310" spans="1:34" s="132" customFormat="1" ht="159" customHeight="1" x14ac:dyDescent="0.2">
      <c r="A310" s="287"/>
      <c r="B310" s="430"/>
      <c r="C310" s="432"/>
      <c r="D310" s="233"/>
      <c r="E310" s="427">
        <v>1905</v>
      </c>
      <c r="F310" s="426" t="s">
        <v>1058</v>
      </c>
      <c r="G310" s="419" t="s">
        <v>1059</v>
      </c>
      <c r="H310" s="427">
        <v>1905026</v>
      </c>
      <c r="I310" s="426" t="s">
        <v>1060</v>
      </c>
      <c r="J310" s="419" t="s">
        <v>1061</v>
      </c>
      <c r="K310" s="203" t="s">
        <v>1062</v>
      </c>
      <c r="L310" s="427" t="s">
        <v>51</v>
      </c>
      <c r="M310" s="427">
        <v>12</v>
      </c>
      <c r="N310" s="427">
        <v>12</v>
      </c>
      <c r="O310" s="427">
        <v>11</v>
      </c>
      <c r="P310" s="479"/>
      <c r="Q310" s="477"/>
      <c r="R310" s="478"/>
      <c r="S310" s="2"/>
      <c r="T310" s="2"/>
      <c r="U310" s="2"/>
      <c r="V310" s="2"/>
      <c r="W310" s="2">
        <v>100000000</v>
      </c>
      <c r="X310" s="2"/>
      <c r="Y310" s="145"/>
      <c r="Z310" s="2"/>
      <c r="AA310" s="2"/>
      <c r="AB310" s="2"/>
      <c r="AC310" s="2"/>
      <c r="AD310" s="2"/>
      <c r="AE310" s="2">
        <f>340860.61+168116148+662000+158045-168116148</f>
        <v>1160905.6100000143</v>
      </c>
      <c r="AF310" s="131">
        <f t="shared" si="103"/>
        <v>101160905.61000001</v>
      </c>
      <c r="AH310" s="398"/>
    </row>
    <row r="311" spans="1:34" s="132" customFormat="1" ht="88.5" customHeight="1" x14ac:dyDescent="0.2">
      <c r="A311" s="287"/>
      <c r="B311" s="430"/>
      <c r="C311" s="432"/>
      <c r="D311" s="233"/>
      <c r="E311" s="427">
        <v>1905</v>
      </c>
      <c r="F311" s="428" t="s">
        <v>913</v>
      </c>
      <c r="G311" s="427" t="s">
        <v>1071</v>
      </c>
      <c r="H311" s="427">
        <v>1905014</v>
      </c>
      <c r="I311" s="426" t="s">
        <v>516</v>
      </c>
      <c r="J311" s="427" t="s">
        <v>1072</v>
      </c>
      <c r="K311" s="426" t="s">
        <v>538</v>
      </c>
      <c r="L311" s="435" t="s">
        <v>51</v>
      </c>
      <c r="M311" s="435">
        <v>12</v>
      </c>
      <c r="N311" s="435">
        <v>12</v>
      </c>
      <c r="O311" s="435">
        <v>12</v>
      </c>
      <c r="P311" s="479" t="s">
        <v>150</v>
      </c>
      <c r="Q311" s="477" t="s">
        <v>1073</v>
      </c>
      <c r="R311" s="478" t="s">
        <v>1074</v>
      </c>
      <c r="S311" s="2"/>
      <c r="T311" s="2"/>
      <c r="U311" s="2"/>
      <c r="V311" s="2"/>
      <c r="W311" s="2">
        <f>45000000-17185750</f>
        <v>27814250</v>
      </c>
      <c r="X311" s="2"/>
      <c r="Y311" s="2"/>
      <c r="Z311" s="2"/>
      <c r="AA311" s="2"/>
      <c r="AB311" s="2"/>
      <c r="AC311" s="8"/>
      <c r="AD311" s="2"/>
      <c r="AE311" s="2"/>
      <c r="AF311" s="131">
        <f t="shared" si="103"/>
        <v>27814250</v>
      </c>
      <c r="AH311" s="398"/>
    </row>
    <row r="312" spans="1:34" s="132" customFormat="1" ht="146.25" customHeight="1" x14ac:dyDescent="0.2">
      <c r="A312" s="287"/>
      <c r="B312" s="430"/>
      <c r="C312" s="432"/>
      <c r="D312" s="233"/>
      <c r="E312" s="427">
        <v>1905</v>
      </c>
      <c r="F312" s="428" t="s">
        <v>1058</v>
      </c>
      <c r="G312" s="419" t="s">
        <v>1059</v>
      </c>
      <c r="H312" s="427">
        <v>1905026</v>
      </c>
      <c r="I312" s="426" t="s">
        <v>1075</v>
      </c>
      <c r="J312" s="419" t="s">
        <v>1061</v>
      </c>
      <c r="K312" s="203" t="s">
        <v>1062</v>
      </c>
      <c r="L312" s="427" t="s">
        <v>51</v>
      </c>
      <c r="M312" s="427">
        <v>12</v>
      </c>
      <c r="N312" s="427">
        <v>12</v>
      </c>
      <c r="O312" s="427">
        <v>8</v>
      </c>
      <c r="P312" s="479"/>
      <c r="Q312" s="477"/>
      <c r="R312" s="478"/>
      <c r="S312" s="2"/>
      <c r="T312" s="2"/>
      <c r="U312" s="2"/>
      <c r="V312" s="2"/>
      <c r="W312" s="2">
        <v>17185750</v>
      </c>
      <c r="X312" s="2"/>
      <c r="Y312" s="2"/>
      <c r="Z312" s="2"/>
      <c r="AA312" s="2"/>
      <c r="AB312" s="2"/>
      <c r="AC312" s="8"/>
      <c r="AD312" s="2"/>
      <c r="AE312" s="8">
        <f>155911553+22308240+3163033-4541113</f>
        <v>176841713</v>
      </c>
      <c r="AF312" s="131">
        <f t="shared" si="103"/>
        <v>194027463</v>
      </c>
      <c r="AH312" s="398"/>
    </row>
    <row r="313" spans="1:34" s="132" customFormat="1" ht="155.25" customHeight="1" x14ac:dyDescent="0.2">
      <c r="A313" s="287"/>
      <c r="B313" s="430"/>
      <c r="C313" s="432"/>
      <c r="D313" s="233"/>
      <c r="E313" s="427">
        <v>1905</v>
      </c>
      <c r="F313" s="428" t="s">
        <v>1058</v>
      </c>
      <c r="G313" s="419" t="s">
        <v>1059</v>
      </c>
      <c r="H313" s="427">
        <v>1905026</v>
      </c>
      <c r="I313" s="426" t="s">
        <v>1060</v>
      </c>
      <c r="J313" s="419" t="s">
        <v>1061</v>
      </c>
      <c r="K313" s="203" t="s">
        <v>1062</v>
      </c>
      <c r="L313" s="427" t="s">
        <v>51</v>
      </c>
      <c r="M313" s="427">
        <v>12</v>
      </c>
      <c r="N313" s="427">
        <v>12</v>
      </c>
      <c r="O313" s="427">
        <v>12</v>
      </c>
      <c r="P313" s="428" t="s">
        <v>150</v>
      </c>
      <c r="Q313" s="427" t="s">
        <v>1076</v>
      </c>
      <c r="R313" s="426" t="s">
        <v>1077</v>
      </c>
      <c r="S313" s="2"/>
      <c r="T313" s="2"/>
      <c r="U313" s="2"/>
      <c r="V313" s="2"/>
      <c r="W313" s="2"/>
      <c r="X313" s="399"/>
      <c r="Y313" s="2"/>
      <c r="Z313" s="2"/>
      <c r="AA313" s="2"/>
      <c r="AB313" s="2"/>
      <c r="AC313" s="8">
        <v>2929870740</v>
      </c>
      <c r="AD313" s="2"/>
      <c r="AE313" s="2">
        <v>0</v>
      </c>
      <c r="AF313" s="131">
        <f t="shared" si="103"/>
        <v>2929870740</v>
      </c>
      <c r="AH313" s="398"/>
    </row>
    <row r="314" spans="1:34" s="132" customFormat="1" ht="174" customHeight="1" x14ac:dyDescent="0.2">
      <c r="A314" s="287"/>
      <c r="B314" s="430"/>
      <c r="C314" s="432"/>
      <c r="D314" s="233"/>
      <c r="E314" s="427">
        <v>1905</v>
      </c>
      <c r="F314" s="428" t="s">
        <v>1058</v>
      </c>
      <c r="G314" s="419" t="s">
        <v>1059</v>
      </c>
      <c r="H314" s="427">
        <v>1905026</v>
      </c>
      <c r="I314" s="426" t="s">
        <v>1060</v>
      </c>
      <c r="J314" s="419" t="s">
        <v>1061</v>
      </c>
      <c r="K314" s="203" t="s">
        <v>1062</v>
      </c>
      <c r="L314" s="427" t="s">
        <v>51</v>
      </c>
      <c r="M314" s="427">
        <v>12</v>
      </c>
      <c r="N314" s="427">
        <v>12</v>
      </c>
      <c r="O314" s="427">
        <v>12</v>
      </c>
      <c r="P314" s="428" t="s">
        <v>150</v>
      </c>
      <c r="Q314" s="477" t="s">
        <v>1082</v>
      </c>
      <c r="R314" s="487" t="s">
        <v>1083</v>
      </c>
      <c r="S314" s="2"/>
      <c r="T314" s="2"/>
      <c r="U314" s="2"/>
      <c r="V314" s="2"/>
      <c r="W314" s="2">
        <f>10000000-2000000</f>
        <v>8000000</v>
      </c>
      <c r="X314" s="399"/>
      <c r="Y314" s="2"/>
      <c r="Z314" s="2"/>
      <c r="AA314" s="2"/>
      <c r="AB314" s="2"/>
      <c r="AC314" s="8"/>
      <c r="AD314" s="2"/>
      <c r="AE314" s="2"/>
      <c r="AF314" s="131">
        <f t="shared" si="103"/>
        <v>8000000</v>
      </c>
      <c r="AH314" s="398"/>
    </row>
    <row r="315" spans="1:34" s="132" customFormat="1" ht="80.25" customHeight="1" x14ac:dyDescent="0.2">
      <c r="A315" s="287"/>
      <c r="B315" s="430"/>
      <c r="C315" s="432"/>
      <c r="D315" s="233"/>
      <c r="E315" s="427">
        <v>1905</v>
      </c>
      <c r="F315" s="428" t="s">
        <v>918</v>
      </c>
      <c r="G315" s="419" t="s">
        <v>1078</v>
      </c>
      <c r="H315" s="427">
        <v>1905029</v>
      </c>
      <c r="I315" s="426" t="s">
        <v>1079</v>
      </c>
      <c r="J315" s="419" t="s">
        <v>1080</v>
      </c>
      <c r="K315" s="203" t="s">
        <v>1081</v>
      </c>
      <c r="L315" s="435" t="s">
        <v>51</v>
      </c>
      <c r="M315" s="435">
        <v>60</v>
      </c>
      <c r="N315" s="435">
        <v>60</v>
      </c>
      <c r="O315" s="435">
        <v>45</v>
      </c>
      <c r="P315" s="428" t="s">
        <v>150</v>
      </c>
      <c r="Q315" s="477"/>
      <c r="R315" s="487"/>
      <c r="S315" s="2"/>
      <c r="T315" s="2"/>
      <c r="U315" s="2"/>
      <c r="V315" s="2"/>
      <c r="W315" s="2">
        <f>10000000</f>
        <v>10000000</v>
      </c>
      <c r="X315" s="2"/>
      <c r="Y315" s="2"/>
      <c r="Z315" s="2"/>
      <c r="AA315" s="2"/>
      <c r="AB315" s="2"/>
      <c r="AC315" s="8"/>
      <c r="AD315" s="2"/>
      <c r="AE315" s="2"/>
      <c r="AF315" s="131">
        <f t="shared" si="103"/>
        <v>10000000</v>
      </c>
      <c r="AH315" s="398"/>
    </row>
    <row r="316" spans="1:34" s="132" customFormat="1" ht="93.75" customHeight="1" x14ac:dyDescent="0.2">
      <c r="A316" s="287"/>
      <c r="B316" s="430"/>
      <c r="C316" s="432"/>
      <c r="D316" s="233"/>
      <c r="E316" s="427">
        <v>1905</v>
      </c>
      <c r="F316" s="428" t="s">
        <v>977</v>
      </c>
      <c r="G316" s="419" t="s">
        <v>1084</v>
      </c>
      <c r="H316" s="427">
        <v>1905025</v>
      </c>
      <c r="I316" s="426" t="s">
        <v>1085</v>
      </c>
      <c r="J316" s="419" t="s">
        <v>1086</v>
      </c>
      <c r="K316" s="203" t="s">
        <v>1087</v>
      </c>
      <c r="L316" s="435" t="s">
        <v>51</v>
      </c>
      <c r="M316" s="435">
        <v>12</v>
      </c>
      <c r="N316" s="435">
        <v>12</v>
      </c>
      <c r="O316" s="435">
        <v>12</v>
      </c>
      <c r="P316" s="428" t="s">
        <v>150</v>
      </c>
      <c r="Q316" s="427" t="s">
        <v>1088</v>
      </c>
      <c r="R316" s="426" t="s">
        <v>1089</v>
      </c>
      <c r="S316" s="2"/>
      <c r="T316" s="2"/>
      <c r="U316" s="2"/>
      <c r="V316" s="2"/>
      <c r="W316" s="2">
        <f>76000000-800000</f>
        <v>75200000</v>
      </c>
      <c r="X316" s="2"/>
      <c r="Y316" s="2"/>
      <c r="Z316" s="2"/>
      <c r="AA316" s="2"/>
      <c r="AB316" s="2"/>
      <c r="AC316" s="8"/>
      <c r="AD316" s="2"/>
      <c r="AE316" s="2"/>
      <c r="AF316" s="131">
        <f t="shared" si="103"/>
        <v>75200000</v>
      </c>
      <c r="AH316" s="398"/>
    </row>
    <row r="317" spans="1:34" s="132" customFormat="1" ht="96" customHeight="1" x14ac:dyDescent="0.2">
      <c r="A317" s="287"/>
      <c r="B317" s="430"/>
      <c r="C317" s="432"/>
      <c r="D317" s="233"/>
      <c r="E317" s="427">
        <v>1905</v>
      </c>
      <c r="F317" s="428" t="s">
        <v>928</v>
      </c>
      <c r="G317" s="427">
        <v>12.3</v>
      </c>
      <c r="H317" s="427">
        <v>1905015</v>
      </c>
      <c r="I317" s="426" t="s">
        <v>423</v>
      </c>
      <c r="J317" s="427" t="s">
        <v>1090</v>
      </c>
      <c r="K317" s="426" t="s">
        <v>1091</v>
      </c>
      <c r="L317" s="435" t="s">
        <v>51</v>
      </c>
      <c r="M317" s="435">
        <v>15</v>
      </c>
      <c r="N317" s="435">
        <v>15</v>
      </c>
      <c r="O317" s="435">
        <v>7</v>
      </c>
      <c r="P317" s="428" t="s">
        <v>150</v>
      </c>
      <c r="Q317" s="427" t="s">
        <v>959</v>
      </c>
      <c r="R317" s="426" t="s">
        <v>960</v>
      </c>
      <c r="S317" s="2"/>
      <c r="T317" s="2"/>
      <c r="U317" s="2"/>
      <c r="V317" s="2"/>
      <c r="W317" s="20">
        <f>100126107.49-0.35-70700000</f>
        <v>29426107.140000001</v>
      </c>
      <c r="X317" s="2"/>
      <c r="Y317" s="2"/>
      <c r="Z317" s="2"/>
      <c r="AA317" s="2"/>
      <c r="AB317" s="2"/>
      <c r="AC317" s="8"/>
      <c r="AD317" s="2"/>
      <c r="AE317" s="2"/>
      <c r="AF317" s="131">
        <f t="shared" si="103"/>
        <v>29426107.140000001</v>
      </c>
      <c r="AH317" s="398"/>
    </row>
    <row r="318" spans="1:34" s="132" customFormat="1" ht="89.25" customHeight="1" x14ac:dyDescent="0.2">
      <c r="A318" s="287"/>
      <c r="B318" s="430"/>
      <c r="C318" s="429"/>
      <c r="D318" s="427"/>
      <c r="E318" s="427">
        <v>1905</v>
      </c>
      <c r="F318" s="428" t="s">
        <v>1092</v>
      </c>
      <c r="G318" s="436" t="s">
        <v>1093</v>
      </c>
      <c r="H318" s="427" t="s">
        <v>45</v>
      </c>
      <c r="I318" s="428" t="s">
        <v>1094</v>
      </c>
      <c r="J318" s="436" t="s">
        <v>1095</v>
      </c>
      <c r="K318" s="428" t="s">
        <v>1096</v>
      </c>
      <c r="L318" s="435" t="s">
        <v>51</v>
      </c>
      <c r="M318" s="435">
        <v>1</v>
      </c>
      <c r="N318" s="435">
        <v>1</v>
      </c>
      <c r="O318" s="435">
        <v>1</v>
      </c>
      <c r="P318" s="428" t="s">
        <v>150</v>
      </c>
      <c r="Q318" s="427" t="s">
        <v>1097</v>
      </c>
      <c r="R318" s="426" t="s">
        <v>1098</v>
      </c>
      <c r="S318" s="2"/>
      <c r="T318" s="2"/>
      <c r="U318" s="2"/>
      <c r="V318" s="2"/>
      <c r="W318" s="2"/>
      <c r="X318" s="21"/>
      <c r="Y318" s="2"/>
      <c r="Z318" s="2"/>
      <c r="AA318" s="2"/>
      <c r="AB318" s="2"/>
      <c r="AC318" s="8">
        <f>161000000+139000000+150000000</f>
        <v>450000000</v>
      </c>
      <c r="AD318" s="2"/>
      <c r="AE318" s="2"/>
      <c r="AF318" s="131">
        <f t="shared" si="103"/>
        <v>450000000</v>
      </c>
      <c r="AH318" s="398"/>
    </row>
    <row r="319" spans="1:34" s="132" customFormat="1" ht="79.5" customHeight="1" x14ac:dyDescent="0.2">
      <c r="A319" s="287"/>
      <c r="B319" s="430"/>
      <c r="C319" s="432"/>
      <c r="D319" s="233"/>
      <c r="E319" s="427">
        <v>1905</v>
      </c>
      <c r="F319" s="428" t="s">
        <v>1389</v>
      </c>
      <c r="G319" s="427" t="s">
        <v>1000</v>
      </c>
      <c r="H319" s="151">
        <v>1905031</v>
      </c>
      <c r="I319" s="426" t="s">
        <v>1001</v>
      </c>
      <c r="J319" s="427" t="s">
        <v>1002</v>
      </c>
      <c r="K319" s="426" t="s">
        <v>1003</v>
      </c>
      <c r="L319" s="435" t="s">
        <v>51</v>
      </c>
      <c r="M319" s="435">
        <v>12</v>
      </c>
      <c r="N319" s="435">
        <v>12</v>
      </c>
      <c r="O319" s="435">
        <v>11</v>
      </c>
      <c r="P319" s="428" t="s">
        <v>150</v>
      </c>
      <c r="Q319" s="427" t="s">
        <v>1099</v>
      </c>
      <c r="R319" s="426" t="s">
        <v>11</v>
      </c>
      <c r="S319" s="2"/>
      <c r="T319" s="2"/>
      <c r="U319" s="2"/>
      <c r="V319" s="2"/>
      <c r="W319" s="2">
        <f>1300000000+100126107.49+70700000</f>
        <v>1470826107.49</v>
      </c>
      <c r="X319" s="2"/>
      <c r="Y319" s="2"/>
      <c r="Z319" s="2"/>
      <c r="AA319" s="2"/>
      <c r="AB319" s="2"/>
      <c r="AC319" s="8"/>
      <c r="AD319" s="2"/>
      <c r="AE319" s="2"/>
      <c r="AF319" s="131">
        <f t="shared" si="103"/>
        <v>1470826107.49</v>
      </c>
      <c r="AH319" s="398"/>
    </row>
    <row r="320" spans="1:34" ht="24.75" customHeight="1" x14ac:dyDescent="0.2">
      <c r="A320" s="281"/>
      <c r="B320" s="434"/>
      <c r="C320" s="126">
        <v>13</v>
      </c>
      <c r="D320" s="101">
        <v>1906</v>
      </c>
      <c r="E320" s="424" t="s">
        <v>144</v>
      </c>
      <c r="F320" s="100"/>
      <c r="G320" s="101"/>
      <c r="H320" s="102"/>
      <c r="I320" s="100"/>
      <c r="J320" s="101"/>
      <c r="K320" s="100"/>
      <c r="L320" s="103"/>
      <c r="M320" s="103"/>
      <c r="N320" s="101"/>
      <c r="O320" s="101"/>
      <c r="P320" s="274"/>
      <c r="Q320" s="101"/>
      <c r="R320" s="100"/>
      <c r="S320" s="105">
        <f t="shared" ref="S320:AF320" si="104">SUM(S321:S327)</f>
        <v>0</v>
      </c>
      <c r="T320" s="105">
        <f t="shared" si="104"/>
        <v>0</v>
      </c>
      <c r="U320" s="105">
        <f t="shared" si="104"/>
        <v>0</v>
      </c>
      <c r="V320" s="105">
        <f t="shared" si="104"/>
        <v>400000000</v>
      </c>
      <c r="W320" s="105">
        <f t="shared" si="104"/>
        <v>2194512076.8699999</v>
      </c>
      <c r="X320" s="105">
        <f t="shared" si="104"/>
        <v>28909593479.660004</v>
      </c>
      <c r="Y320" s="105">
        <f t="shared" si="104"/>
        <v>0</v>
      </c>
      <c r="Z320" s="105">
        <f t="shared" si="104"/>
        <v>0</v>
      </c>
      <c r="AA320" s="105">
        <f t="shared" si="104"/>
        <v>0</v>
      </c>
      <c r="AB320" s="105">
        <f t="shared" si="104"/>
        <v>0</v>
      </c>
      <c r="AC320" s="105">
        <f t="shared" si="104"/>
        <v>941590000</v>
      </c>
      <c r="AD320" s="105">
        <f t="shared" si="104"/>
        <v>5475600892</v>
      </c>
      <c r="AE320" s="105">
        <f t="shared" si="104"/>
        <v>1413975883.6900001</v>
      </c>
      <c r="AF320" s="105">
        <f t="shared" si="104"/>
        <v>39335272332.220001</v>
      </c>
      <c r="AH320" s="310"/>
    </row>
    <row r="321" spans="1:35" s="132" customFormat="1" ht="76.5" customHeight="1" x14ac:dyDescent="0.2">
      <c r="A321" s="287"/>
      <c r="B321" s="430"/>
      <c r="C321" s="432"/>
      <c r="D321" s="233"/>
      <c r="E321" s="427">
        <v>1906</v>
      </c>
      <c r="F321" s="428" t="s">
        <v>977</v>
      </c>
      <c r="G321" s="427" t="s">
        <v>1100</v>
      </c>
      <c r="H321" s="427">
        <v>1906032</v>
      </c>
      <c r="I321" s="426" t="s">
        <v>1101</v>
      </c>
      <c r="J321" s="427" t="s">
        <v>1102</v>
      </c>
      <c r="K321" s="426" t="s">
        <v>1103</v>
      </c>
      <c r="L321" s="435" t="s">
        <v>141</v>
      </c>
      <c r="M321" s="435">
        <v>3000</v>
      </c>
      <c r="N321" s="435">
        <v>1500</v>
      </c>
      <c r="O321" s="435">
        <v>12709</v>
      </c>
      <c r="P321" s="479" t="s">
        <v>150</v>
      </c>
      <c r="Q321" s="477" t="s">
        <v>1104</v>
      </c>
      <c r="R321" s="478" t="s">
        <v>1105</v>
      </c>
      <c r="S321" s="2"/>
      <c r="T321" s="2"/>
      <c r="U321" s="2"/>
      <c r="V321" s="2"/>
      <c r="W321" s="2"/>
      <c r="X321" s="20"/>
      <c r="Y321" s="2"/>
      <c r="Z321" s="2"/>
      <c r="AA321" s="2"/>
      <c r="AB321" s="2"/>
      <c r="AC321" s="8"/>
      <c r="AD321" s="2"/>
      <c r="AE321" s="2"/>
      <c r="AF321" s="131">
        <f>+S321+T321+U321+V321+W321+X321+Y321+Z321+AA321+AB321+AC321+AD321+AE321</f>
        <v>0</v>
      </c>
      <c r="AH321" s="398"/>
    </row>
    <row r="322" spans="1:35" s="132" customFormat="1" ht="71.25" customHeight="1" x14ac:dyDescent="0.2">
      <c r="A322" s="287"/>
      <c r="B322" s="430"/>
      <c r="C322" s="432"/>
      <c r="D322" s="233"/>
      <c r="E322" s="427">
        <v>1906</v>
      </c>
      <c r="F322" s="428" t="s">
        <v>1106</v>
      </c>
      <c r="G322" s="427" t="s">
        <v>1107</v>
      </c>
      <c r="H322" s="427" t="s">
        <v>45</v>
      </c>
      <c r="I322" s="426"/>
      <c r="J322" s="427" t="s">
        <v>1108</v>
      </c>
      <c r="K322" s="426" t="s">
        <v>1109</v>
      </c>
      <c r="L322" s="435" t="s">
        <v>51</v>
      </c>
      <c r="M322" s="435">
        <v>19899</v>
      </c>
      <c r="N322" s="435">
        <v>19899</v>
      </c>
      <c r="O322" s="435">
        <v>13465</v>
      </c>
      <c r="P322" s="479"/>
      <c r="Q322" s="477"/>
      <c r="R322" s="478"/>
      <c r="S322" s="2"/>
      <c r="T322" s="2"/>
      <c r="U322" s="2"/>
      <c r="V322" s="2"/>
      <c r="W322" s="2"/>
      <c r="X322" s="2">
        <f>21634597197+14825685-3.96+328917668.24+103767173.07+2028615750+299873439.13</f>
        <v>24410596908.480003</v>
      </c>
      <c r="Y322" s="2"/>
      <c r="Z322" s="2"/>
      <c r="AA322" s="2"/>
      <c r="AB322" s="2"/>
      <c r="AC322" s="8">
        <v>11200000</v>
      </c>
      <c r="AD322" s="2"/>
      <c r="AE322" s="2"/>
      <c r="AF322" s="131">
        <f>+S322+T322+U322+V322+W322+X322+Y322+Z322+AA322+AB322+AC322+AD322+AE322</f>
        <v>24421796908.480003</v>
      </c>
      <c r="AH322" s="398"/>
    </row>
    <row r="323" spans="1:35" s="132" customFormat="1" ht="82.5" customHeight="1" x14ac:dyDescent="0.2">
      <c r="A323" s="287"/>
      <c r="B323" s="430"/>
      <c r="C323" s="429"/>
      <c r="D323" s="427"/>
      <c r="E323" s="427">
        <v>1906</v>
      </c>
      <c r="F323" s="270" t="s">
        <v>949</v>
      </c>
      <c r="G323" s="485" t="s">
        <v>1110</v>
      </c>
      <c r="H323" s="477" t="s">
        <v>45</v>
      </c>
      <c r="I323" s="478" t="s">
        <v>1111</v>
      </c>
      <c r="J323" s="435" t="s">
        <v>1112</v>
      </c>
      <c r="K323" s="203" t="s">
        <v>1113</v>
      </c>
      <c r="L323" s="435" t="s">
        <v>51</v>
      </c>
      <c r="M323" s="435">
        <v>60</v>
      </c>
      <c r="N323" s="427">
        <v>60</v>
      </c>
      <c r="O323" s="427">
        <v>33</v>
      </c>
      <c r="P323" s="479" t="s">
        <v>150</v>
      </c>
      <c r="Q323" s="477" t="s">
        <v>1114</v>
      </c>
      <c r="R323" s="478" t="s">
        <v>1115</v>
      </c>
      <c r="S323" s="2"/>
      <c r="T323" s="2"/>
      <c r="U323" s="2"/>
      <c r="V323" s="2">
        <v>400000000</v>
      </c>
      <c r="W323" s="2"/>
      <c r="X323" s="2"/>
      <c r="Y323" s="2"/>
      <c r="Z323" s="2"/>
      <c r="AA323" s="2"/>
      <c r="AB323" s="2"/>
      <c r="AC323" s="8"/>
      <c r="AD323" s="2"/>
      <c r="AE323" s="2">
        <f>1530716729+39149969-208772729-24042969</f>
        <v>1337051000</v>
      </c>
      <c r="AF323" s="131">
        <f>+S323+T323+U323+V323+W323+X323+Y323+Z323+AA323+AB323+AC323+AD323+AE323</f>
        <v>1737051000</v>
      </c>
      <c r="AH323" s="398"/>
    </row>
    <row r="324" spans="1:35" s="132" customFormat="1" ht="69" customHeight="1" x14ac:dyDescent="0.2">
      <c r="A324" s="287"/>
      <c r="B324" s="430"/>
      <c r="C324" s="429"/>
      <c r="D324" s="427"/>
      <c r="E324" s="427">
        <v>1906</v>
      </c>
      <c r="F324" s="402" t="s">
        <v>1106</v>
      </c>
      <c r="G324" s="485"/>
      <c r="H324" s="477"/>
      <c r="I324" s="478"/>
      <c r="J324" s="435" t="s">
        <v>1116</v>
      </c>
      <c r="K324" s="203" t="s">
        <v>1117</v>
      </c>
      <c r="L324" s="435" t="s">
        <v>51</v>
      </c>
      <c r="M324" s="435">
        <v>40</v>
      </c>
      <c r="N324" s="427">
        <v>40</v>
      </c>
      <c r="O324" s="427">
        <v>0</v>
      </c>
      <c r="P324" s="479"/>
      <c r="Q324" s="477"/>
      <c r="R324" s="478"/>
      <c r="S324" s="2"/>
      <c r="T324" s="2"/>
      <c r="U324" s="2"/>
      <c r="V324" s="2"/>
      <c r="W324" s="2"/>
      <c r="X324" s="2"/>
      <c r="Y324" s="2"/>
      <c r="Z324" s="2"/>
      <c r="AA324" s="2"/>
      <c r="AB324" s="2"/>
      <c r="AC324" s="8"/>
      <c r="AD324" s="2"/>
      <c r="AE324" s="2"/>
      <c r="AF324" s="131"/>
      <c r="AH324" s="398"/>
    </row>
    <row r="325" spans="1:35" s="132" customFormat="1" ht="84" customHeight="1" x14ac:dyDescent="0.2">
      <c r="A325" s="287"/>
      <c r="B325" s="430"/>
      <c r="C325" s="429"/>
      <c r="D325" s="427"/>
      <c r="E325" s="427">
        <v>1906</v>
      </c>
      <c r="F325" s="428" t="s">
        <v>1106</v>
      </c>
      <c r="G325" s="435" t="s">
        <v>1396</v>
      </c>
      <c r="H325" s="427" t="s">
        <v>45</v>
      </c>
      <c r="I325" s="426" t="s">
        <v>1118</v>
      </c>
      <c r="J325" s="435" t="s">
        <v>1119</v>
      </c>
      <c r="K325" s="203" t="s">
        <v>1120</v>
      </c>
      <c r="L325" s="435" t="s">
        <v>51</v>
      </c>
      <c r="M325" s="435">
        <v>100</v>
      </c>
      <c r="N325" s="427">
        <v>100</v>
      </c>
      <c r="O325" s="427">
        <v>100</v>
      </c>
      <c r="P325" s="479"/>
      <c r="Q325" s="477"/>
      <c r="R325" s="478"/>
      <c r="S325" s="2"/>
      <c r="T325" s="2"/>
      <c r="U325" s="2"/>
      <c r="V325" s="2"/>
      <c r="W325" s="2">
        <f>1514260580-1496346983-0.13-17913596.87+1496346983+1496346983-1496346983</f>
        <v>1496346983</v>
      </c>
      <c r="X325" s="2"/>
      <c r="Y325" s="2"/>
      <c r="Z325" s="2"/>
      <c r="AA325" s="2"/>
      <c r="AB325" s="2"/>
      <c r="AC325" s="8"/>
      <c r="AD325" s="2"/>
      <c r="AE325" s="2"/>
      <c r="AF325" s="131">
        <f>+S325+T325+U325+V325+W325+X325+Y325+Z325+AA325+AB325+AC325+AD325+AE325</f>
        <v>1496346983</v>
      </c>
      <c r="AH325" s="398"/>
    </row>
    <row r="326" spans="1:35" s="132" customFormat="1" ht="75.75" customHeight="1" x14ac:dyDescent="0.2">
      <c r="A326" s="287"/>
      <c r="B326" s="430"/>
      <c r="C326" s="429"/>
      <c r="D326" s="427"/>
      <c r="E326" s="427">
        <v>1906</v>
      </c>
      <c r="F326" s="428" t="s">
        <v>1106</v>
      </c>
      <c r="G326" s="419" t="s">
        <v>1121</v>
      </c>
      <c r="H326" s="427" t="s">
        <v>45</v>
      </c>
      <c r="I326" s="426" t="s">
        <v>1122</v>
      </c>
      <c r="J326" s="419" t="s">
        <v>1123</v>
      </c>
      <c r="K326" s="203" t="s">
        <v>1124</v>
      </c>
      <c r="L326" s="435" t="s">
        <v>51</v>
      </c>
      <c r="M326" s="435">
        <v>100</v>
      </c>
      <c r="N326" s="435">
        <v>100</v>
      </c>
      <c r="O326" s="435">
        <v>81</v>
      </c>
      <c r="P326" s="479"/>
      <c r="Q326" s="477"/>
      <c r="R326" s="478"/>
      <c r="S326" s="2"/>
      <c r="T326" s="2"/>
      <c r="U326" s="2"/>
      <c r="V326" s="2"/>
      <c r="W326" s="2">
        <f>680251497+17913596.87</f>
        <v>698165093.87</v>
      </c>
      <c r="X326" s="2">
        <f>1200096.53+4427083.08+6409080.2+3298588097+241539752.22+428092534.45+51987321.83-772313.93-21080.2</f>
        <v>4031450571.1799998</v>
      </c>
      <c r="Y326" s="2"/>
      <c r="Z326" s="2"/>
      <c r="AA326" s="2"/>
      <c r="AB326" s="2"/>
      <c r="AC326" s="8"/>
      <c r="AD326" s="2">
        <f>0+5305232892</f>
        <v>5305232892</v>
      </c>
      <c r="AE326" s="2">
        <f>68256639+7852620.44+815624.25</f>
        <v>76924883.689999998</v>
      </c>
      <c r="AF326" s="131">
        <f>+S326+T326+U326+V326+W326+X326+Y326+Z326+AA326+AB326+AC326+AD326+AE326</f>
        <v>10111773440.74</v>
      </c>
      <c r="AH326" s="398"/>
    </row>
    <row r="327" spans="1:35" s="132" customFormat="1" ht="69" customHeight="1" x14ac:dyDescent="0.2">
      <c r="A327" s="302"/>
      <c r="B327" s="431"/>
      <c r="C327" s="429"/>
      <c r="D327" s="427"/>
      <c r="E327" s="427">
        <v>1906</v>
      </c>
      <c r="F327" s="428" t="s">
        <v>1125</v>
      </c>
      <c r="G327" s="435" t="s">
        <v>1126</v>
      </c>
      <c r="H327" s="427">
        <v>1906029</v>
      </c>
      <c r="I327" s="426" t="s">
        <v>1127</v>
      </c>
      <c r="J327" s="435" t="s">
        <v>1128</v>
      </c>
      <c r="K327" s="203" t="s">
        <v>1129</v>
      </c>
      <c r="L327" s="435" t="s">
        <v>51</v>
      </c>
      <c r="M327" s="435">
        <v>40</v>
      </c>
      <c r="N327" s="435">
        <v>40</v>
      </c>
      <c r="O327" s="435">
        <v>40</v>
      </c>
      <c r="P327" s="428" t="s">
        <v>150</v>
      </c>
      <c r="Q327" s="427" t="s">
        <v>1130</v>
      </c>
      <c r="R327" s="426" t="s">
        <v>1131</v>
      </c>
      <c r="S327" s="2"/>
      <c r="T327" s="2"/>
      <c r="U327" s="2"/>
      <c r="V327" s="2"/>
      <c r="W327" s="2">
        <f>1496346983-1496346983</f>
        <v>0</v>
      </c>
      <c r="X327" s="20">
        <v>467546000</v>
      </c>
      <c r="Y327" s="2"/>
      <c r="Z327" s="2"/>
      <c r="AA327" s="2"/>
      <c r="AB327" s="2"/>
      <c r="AC327" s="8">
        <f>161590000-11200000+780000000</f>
        <v>930390000</v>
      </c>
      <c r="AD327" s="2">
        <v>170368000</v>
      </c>
      <c r="AE327" s="2"/>
      <c r="AF327" s="131">
        <f>+S327+T327+U327+V327+W327+X327+Y327+Z327+AA327+AB327+AC327+AD327+AE327</f>
        <v>1568304000</v>
      </c>
      <c r="AH327" s="398"/>
    </row>
    <row r="328" spans="1:35" s="92" customFormat="1" ht="19.5" customHeight="1" x14ac:dyDescent="0.25">
      <c r="A328" s="135" t="s">
        <v>1394</v>
      </c>
      <c r="B328" s="135"/>
      <c r="C328" s="135"/>
      <c r="D328" s="136"/>
      <c r="E328" s="136"/>
      <c r="F328" s="137"/>
      <c r="G328" s="138"/>
      <c r="H328" s="90"/>
      <c r="I328" s="137"/>
      <c r="J328" s="138"/>
      <c r="K328" s="137"/>
      <c r="L328" s="90"/>
      <c r="M328" s="90"/>
      <c r="N328" s="138"/>
      <c r="O328" s="138"/>
      <c r="P328" s="275"/>
      <c r="Q328" s="138"/>
      <c r="R328" s="137"/>
      <c r="S328" s="119">
        <f t="shared" ref="S328:AF328" si="105">+S329+S335+S340</f>
        <v>0</v>
      </c>
      <c r="T328" s="119">
        <f t="shared" si="105"/>
        <v>0</v>
      </c>
      <c r="U328" s="119">
        <f t="shared" si="105"/>
        <v>0</v>
      </c>
      <c r="V328" s="119">
        <f t="shared" si="105"/>
        <v>0</v>
      </c>
      <c r="W328" s="119">
        <f t="shared" si="105"/>
        <v>0</v>
      </c>
      <c r="X328" s="119">
        <f t="shared" si="105"/>
        <v>0</v>
      </c>
      <c r="Y328" s="119">
        <f t="shared" si="105"/>
        <v>0</v>
      </c>
      <c r="Z328" s="119">
        <f t="shared" si="105"/>
        <v>0</v>
      </c>
      <c r="AA328" s="119">
        <f t="shared" si="105"/>
        <v>0</v>
      </c>
      <c r="AB328" s="119">
        <f t="shared" si="105"/>
        <v>0</v>
      </c>
      <c r="AC328" s="119">
        <f t="shared" si="105"/>
        <v>632885000</v>
      </c>
      <c r="AD328" s="119">
        <f t="shared" si="105"/>
        <v>0</v>
      </c>
      <c r="AE328" s="119">
        <f t="shared" si="105"/>
        <v>0</v>
      </c>
      <c r="AF328" s="119">
        <f t="shared" si="105"/>
        <v>632885000</v>
      </c>
      <c r="AG328" s="310"/>
      <c r="AH328" s="310"/>
      <c r="AI328" s="310"/>
    </row>
    <row r="329" spans="1:35" s="92" customFormat="1" ht="15.75" x14ac:dyDescent="0.25">
      <c r="A329" s="280"/>
      <c r="B329" s="170">
        <v>1</v>
      </c>
      <c r="C329" s="93" t="s">
        <v>1</v>
      </c>
      <c r="D329" s="94"/>
      <c r="E329" s="94"/>
      <c r="F329" s="95"/>
      <c r="G329" s="96"/>
      <c r="H329" s="97"/>
      <c r="I329" s="95"/>
      <c r="J329" s="96"/>
      <c r="K329" s="95"/>
      <c r="L329" s="98"/>
      <c r="M329" s="98"/>
      <c r="N329" s="96"/>
      <c r="O329" s="96"/>
      <c r="P329" s="276"/>
      <c r="Q329" s="96"/>
      <c r="R329" s="95"/>
      <c r="S329" s="262">
        <f t="shared" ref="S329:AF329" si="106">+S330+S333</f>
        <v>0</v>
      </c>
      <c r="T329" s="262">
        <f t="shared" si="106"/>
        <v>0</v>
      </c>
      <c r="U329" s="262">
        <f t="shared" si="106"/>
        <v>0</v>
      </c>
      <c r="V329" s="262">
        <f t="shared" si="106"/>
        <v>0</v>
      </c>
      <c r="W329" s="262">
        <f t="shared" si="106"/>
        <v>0</v>
      </c>
      <c r="X329" s="262">
        <f t="shared" si="106"/>
        <v>0</v>
      </c>
      <c r="Y329" s="262">
        <f t="shared" si="106"/>
        <v>0</v>
      </c>
      <c r="Z329" s="262">
        <f t="shared" si="106"/>
        <v>0</v>
      </c>
      <c r="AA329" s="262">
        <f t="shared" si="106"/>
        <v>0</v>
      </c>
      <c r="AB329" s="262">
        <f t="shared" si="106"/>
        <v>0</v>
      </c>
      <c r="AC329" s="262">
        <f t="shared" si="106"/>
        <v>207164000</v>
      </c>
      <c r="AD329" s="262">
        <f t="shared" si="106"/>
        <v>0</v>
      </c>
      <c r="AE329" s="262">
        <f t="shared" si="106"/>
        <v>0</v>
      </c>
      <c r="AF329" s="262">
        <f t="shared" si="106"/>
        <v>207164000</v>
      </c>
      <c r="AH329" s="310"/>
    </row>
    <row r="330" spans="1:35" s="92" customFormat="1" ht="15.75" x14ac:dyDescent="0.25">
      <c r="A330" s="280"/>
      <c r="B330" s="484"/>
      <c r="C330" s="424">
        <v>16</v>
      </c>
      <c r="D330" s="104">
        <v>2301</v>
      </c>
      <c r="E330" s="424" t="s">
        <v>1355</v>
      </c>
      <c r="F330" s="100"/>
      <c r="G330" s="101"/>
      <c r="H330" s="102"/>
      <c r="I330" s="100"/>
      <c r="J330" s="101"/>
      <c r="K330" s="100"/>
      <c r="L330" s="103"/>
      <c r="M330" s="103"/>
      <c r="N330" s="101"/>
      <c r="O330" s="101"/>
      <c r="P330" s="274"/>
      <c r="Q330" s="101"/>
      <c r="R330" s="100"/>
      <c r="S330" s="105">
        <f t="shared" ref="S330:AF330" si="107">SUM(S331:S332)</f>
        <v>0</v>
      </c>
      <c r="T330" s="105">
        <f t="shared" si="107"/>
        <v>0</v>
      </c>
      <c r="U330" s="105">
        <f t="shared" si="107"/>
        <v>0</v>
      </c>
      <c r="V330" s="105">
        <f t="shared" si="107"/>
        <v>0</v>
      </c>
      <c r="W330" s="105">
        <f t="shared" si="107"/>
        <v>0</v>
      </c>
      <c r="X330" s="105">
        <f t="shared" si="107"/>
        <v>0</v>
      </c>
      <c r="Y330" s="105">
        <f t="shared" si="107"/>
        <v>0</v>
      </c>
      <c r="Z330" s="105">
        <f t="shared" si="107"/>
        <v>0</v>
      </c>
      <c r="AA330" s="105">
        <f t="shared" si="107"/>
        <v>0</v>
      </c>
      <c r="AB330" s="105">
        <f t="shared" si="107"/>
        <v>0</v>
      </c>
      <c r="AC330" s="105">
        <f t="shared" si="107"/>
        <v>200000000</v>
      </c>
      <c r="AD330" s="105">
        <f t="shared" si="107"/>
        <v>0</v>
      </c>
      <c r="AE330" s="105">
        <f t="shared" si="107"/>
        <v>0</v>
      </c>
      <c r="AF330" s="105">
        <f t="shared" si="107"/>
        <v>200000000</v>
      </c>
      <c r="AH330" s="310"/>
    </row>
    <row r="331" spans="1:35" s="132" customFormat="1" ht="75" customHeight="1" x14ac:dyDescent="0.2">
      <c r="A331" s="287"/>
      <c r="B331" s="474"/>
      <c r="C331" s="476"/>
      <c r="D331" s="233"/>
      <c r="E331" s="427">
        <v>2301</v>
      </c>
      <c r="F331" s="426" t="s">
        <v>1133</v>
      </c>
      <c r="G331" s="427" t="s">
        <v>1134</v>
      </c>
      <c r="H331" s="263">
        <v>2301024</v>
      </c>
      <c r="I331" s="263" t="s">
        <v>1135</v>
      </c>
      <c r="J331" s="427" t="s">
        <v>1136</v>
      </c>
      <c r="K331" s="426" t="s">
        <v>1137</v>
      </c>
      <c r="L331" s="427" t="s">
        <v>141</v>
      </c>
      <c r="M331" s="427">
        <v>12</v>
      </c>
      <c r="N331" s="427">
        <v>1</v>
      </c>
      <c r="O331" s="253">
        <v>1</v>
      </c>
      <c r="P331" s="486" t="s">
        <v>186</v>
      </c>
      <c r="Q331" s="470" t="s">
        <v>1138</v>
      </c>
      <c r="R331" s="471" t="s">
        <v>1139</v>
      </c>
      <c r="S331" s="2"/>
      <c r="T331" s="2"/>
      <c r="U331" s="2"/>
      <c r="V331" s="131"/>
      <c r="W331" s="131"/>
      <c r="X331" s="131"/>
      <c r="Y331" s="131"/>
      <c r="Z331" s="131"/>
      <c r="AA331" s="131"/>
      <c r="AB331" s="131"/>
      <c r="AC331" s="237">
        <f>152024000+17384534+6432536</f>
        <v>175841070</v>
      </c>
      <c r="AD331" s="131"/>
      <c r="AE331" s="131"/>
      <c r="AF331" s="131">
        <f>+S331+T331+U331+V331+W331+X331+Y331+Z331+AA331+AB331+AC331+AD331+AE331</f>
        <v>175841070</v>
      </c>
      <c r="AH331" s="310"/>
    </row>
    <row r="332" spans="1:35" ht="97.5" customHeight="1" x14ac:dyDescent="0.2">
      <c r="A332" s="281"/>
      <c r="B332" s="474"/>
      <c r="C332" s="476"/>
      <c r="D332" s="421"/>
      <c r="E332" s="412">
        <v>2301</v>
      </c>
      <c r="F332" s="410" t="s">
        <v>1140</v>
      </c>
      <c r="G332" s="412" t="s">
        <v>1403</v>
      </c>
      <c r="H332" s="412">
        <v>2301030</v>
      </c>
      <c r="I332" s="410" t="s">
        <v>1141</v>
      </c>
      <c r="J332" s="412" t="s">
        <v>1142</v>
      </c>
      <c r="K332" s="410" t="s">
        <v>1143</v>
      </c>
      <c r="L332" s="412" t="s">
        <v>141</v>
      </c>
      <c r="M332" s="412">
        <v>17000</v>
      </c>
      <c r="N332" s="412">
        <v>500</v>
      </c>
      <c r="O332" s="412">
        <v>500</v>
      </c>
      <c r="P332" s="486"/>
      <c r="Q332" s="470"/>
      <c r="R332" s="471"/>
      <c r="S332" s="2"/>
      <c r="T332" s="2"/>
      <c r="U332" s="2"/>
      <c r="V332" s="106"/>
      <c r="W332" s="106"/>
      <c r="X332" s="106"/>
      <c r="Y332" s="106"/>
      <c r="Z332" s="106"/>
      <c r="AA332" s="106"/>
      <c r="AB332" s="106"/>
      <c r="AC332" s="106">
        <f>47976000-17384534-6432536</f>
        <v>24158930</v>
      </c>
      <c r="AD332" s="106"/>
      <c r="AE332" s="106"/>
      <c r="AF332" s="106">
        <f>+S332+T332+U332+V332+W332+X332+Y332+Z332+AA332+AB332+AC332+AD332+AE332</f>
        <v>24158930</v>
      </c>
      <c r="AH332" s="310"/>
    </row>
    <row r="333" spans="1:35" s="92" customFormat="1" ht="23.25" customHeight="1" x14ac:dyDescent="0.25">
      <c r="A333" s="293"/>
      <c r="B333" s="434"/>
      <c r="C333" s="424">
        <v>17</v>
      </c>
      <c r="D333" s="104">
        <v>2302</v>
      </c>
      <c r="E333" s="424" t="s">
        <v>1356</v>
      </c>
      <c r="F333" s="100"/>
      <c r="G333" s="101"/>
      <c r="H333" s="102"/>
      <c r="I333" s="100"/>
      <c r="J333" s="101"/>
      <c r="K333" s="100"/>
      <c r="L333" s="103"/>
      <c r="M333" s="103"/>
      <c r="N333" s="101"/>
      <c r="O333" s="101"/>
      <c r="P333" s="274"/>
      <c r="Q333" s="101"/>
      <c r="R333" s="100"/>
      <c r="S333" s="105">
        <f t="shared" ref="S333:AF333" si="108">+S334</f>
        <v>0</v>
      </c>
      <c r="T333" s="105">
        <f t="shared" si="108"/>
        <v>0</v>
      </c>
      <c r="U333" s="105">
        <f t="shared" si="108"/>
        <v>0</v>
      </c>
      <c r="V333" s="105">
        <f t="shared" si="108"/>
        <v>0</v>
      </c>
      <c r="W333" s="105">
        <f t="shared" si="108"/>
        <v>0</v>
      </c>
      <c r="X333" s="105">
        <f t="shared" si="108"/>
        <v>0</v>
      </c>
      <c r="Y333" s="105">
        <f t="shared" si="108"/>
        <v>0</v>
      </c>
      <c r="Z333" s="105">
        <f t="shared" si="108"/>
        <v>0</v>
      </c>
      <c r="AA333" s="105">
        <f t="shared" si="108"/>
        <v>0</v>
      </c>
      <c r="AB333" s="105">
        <f t="shared" si="108"/>
        <v>0</v>
      </c>
      <c r="AC333" s="105">
        <f t="shared" si="108"/>
        <v>7164000</v>
      </c>
      <c r="AD333" s="105">
        <f t="shared" si="108"/>
        <v>0</v>
      </c>
      <c r="AE333" s="105">
        <f t="shared" si="108"/>
        <v>0</v>
      </c>
      <c r="AF333" s="105">
        <f t="shared" si="108"/>
        <v>7164000</v>
      </c>
      <c r="AH333" s="310"/>
    </row>
    <row r="334" spans="1:35" s="132" customFormat="1" ht="84" customHeight="1" x14ac:dyDescent="0.2">
      <c r="A334" s="287"/>
      <c r="B334" s="431"/>
      <c r="C334" s="432"/>
      <c r="D334" s="233"/>
      <c r="E334" s="427">
        <v>2302</v>
      </c>
      <c r="F334" s="426" t="s">
        <v>1133</v>
      </c>
      <c r="G334" s="427" t="s">
        <v>1145</v>
      </c>
      <c r="H334" s="427">
        <v>2302042</v>
      </c>
      <c r="I334" s="426" t="s">
        <v>1146</v>
      </c>
      <c r="J334" s="427" t="s">
        <v>1147</v>
      </c>
      <c r="K334" s="426" t="s">
        <v>1148</v>
      </c>
      <c r="L334" s="427" t="s">
        <v>141</v>
      </c>
      <c r="M334" s="427">
        <v>3</v>
      </c>
      <c r="N334" s="427">
        <v>1</v>
      </c>
      <c r="O334" s="427">
        <v>1</v>
      </c>
      <c r="P334" s="428" t="s">
        <v>186</v>
      </c>
      <c r="Q334" s="427" t="s">
        <v>1149</v>
      </c>
      <c r="R334" s="426" t="s">
        <v>1150</v>
      </c>
      <c r="S334" s="2"/>
      <c r="T334" s="2"/>
      <c r="U334" s="2"/>
      <c r="V334" s="131"/>
      <c r="W334" s="131"/>
      <c r="X334" s="131"/>
      <c r="Y334" s="131"/>
      <c r="Z334" s="131"/>
      <c r="AA334" s="131"/>
      <c r="AB334" s="131"/>
      <c r="AC334" s="131">
        <v>7164000</v>
      </c>
      <c r="AD334" s="131"/>
      <c r="AE334" s="131"/>
      <c r="AF334" s="131">
        <f>+S334+T334+U334+V334+W334+X334+Y334+Z334+AA334+AB334+AC334+AD334+AE334</f>
        <v>7164000</v>
      </c>
      <c r="AH334" s="310"/>
    </row>
    <row r="335" spans="1:35" s="92" customFormat="1" ht="15.75" x14ac:dyDescent="0.25">
      <c r="A335" s="293"/>
      <c r="B335" s="170">
        <v>2</v>
      </c>
      <c r="C335" s="93" t="s">
        <v>1151</v>
      </c>
      <c r="D335" s="94"/>
      <c r="E335" s="94"/>
      <c r="F335" s="95"/>
      <c r="G335" s="96"/>
      <c r="H335" s="97"/>
      <c r="I335" s="95"/>
      <c r="J335" s="96"/>
      <c r="K335" s="95"/>
      <c r="L335" s="98"/>
      <c r="M335" s="98"/>
      <c r="N335" s="96"/>
      <c r="O335" s="96"/>
      <c r="P335" s="276"/>
      <c r="Q335" s="96"/>
      <c r="R335" s="95"/>
      <c r="S335" s="262">
        <f t="shared" ref="S335:AF335" si="109">+S336+S338</f>
        <v>0</v>
      </c>
      <c r="T335" s="262">
        <f t="shared" si="109"/>
        <v>0</v>
      </c>
      <c r="U335" s="262">
        <f t="shared" si="109"/>
        <v>0</v>
      </c>
      <c r="V335" s="262">
        <f t="shared" si="109"/>
        <v>0</v>
      </c>
      <c r="W335" s="262">
        <f t="shared" si="109"/>
        <v>0</v>
      </c>
      <c r="X335" s="262">
        <f t="shared" si="109"/>
        <v>0</v>
      </c>
      <c r="Y335" s="262">
        <f t="shared" si="109"/>
        <v>0</v>
      </c>
      <c r="Z335" s="262">
        <f t="shared" si="109"/>
        <v>0</v>
      </c>
      <c r="AA335" s="262">
        <f t="shared" si="109"/>
        <v>0</v>
      </c>
      <c r="AB335" s="262">
        <f t="shared" si="109"/>
        <v>0</v>
      </c>
      <c r="AC335" s="262">
        <f t="shared" si="109"/>
        <v>72000000</v>
      </c>
      <c r="AD335" s="262">
        <f t="shared" si="109"/>
        <v>0</v>
      </c>
      <c r="AE335" s="262">
        <f t="shared" si="109"/>
        <v>0</v>
      </c>
      <c r="AF335" s="262">
        <f t="shared" si="109"/>
        <v>72000000</v>
      </c>
      <c r="AH335" s="310"/>
    </row>
    <row r="336" spans="1:35" s="92" customFormat="1" ht="15.75" x14ac:dyDescent="0.25">
      <c r="A336" s="293"/>
      <c r="B336" s="433"/>
      <c r="C336" s="424">
        <v>31</v>
      </c>
      <c r="D336" s="104" t="s">
        <v>1152</v>
      </c>
      <c r="E336" s="424" t="s">
        <v>1153</v>
      </c>
      <c r="F336" s="100"/>
      <c r="G336" s="101"/>
      <c r="H336" s="102"/>
      <c r="I336" s="100"/>
      <c r="J336" s="101"/>
      <c r="K336" s="100"/>
      <c r="L336" s="103"/>
      <c r="M336" s="103"/>
      <c r="N336" s="101"/>
      <c r="O336" s="101"/>
      <c r="P336" s="274"/>
      <c r="Q336" s="101"/>
      <c r="R336" s="100"/>
      <c r="S336" s="105">
        <f t="shared" ref="S336:AB336" si="110">+S337</f>
        <v>0</v>
      </c>
      <c r="T336" s="105">
        <f t="shared" si="110"/>
        <v>0</v>
      </c>
      <c r="U336" s="105">
        <f t="shared" si="110"/>
        <v>0</v>
      </c>
      <c r="V336" s="105">
        <f t="shared" si="110"/>
        <v>0</v>
      </c>
      <c r="W336" s="105">
        <f t="shared" si="110"/>
        <v>0</v>
      </c>
      <c r="X336" s="105">
        <f t="shared" si="110"/>
        <v>0</v>
      </c>
      <c r="Y336" s="105">
        <f t="shared" si="110"/>
        <v>0</v>
      </c>
      <c r="Z336" s="105">
        <f t="shared" si="110"/>
        <v>0</v>
      </c>
      <c r="AA336" s="105">
        <f t="shared" si="110"/>
        <v>0</v>
      </c>
      <c r="AB336" s="105">
        <f t="shared" si="110"/>
        <v>0</v>
      </c>
      <c r="AC336" s="105">
        <f>SUM(AC337:AC337)</f>
        <v>54000000</v>
      </c>
      <c r="AD336" s="105">
        <f>SUM(AD337:AD337)</f>
        <v>0</v>
      </c>
      <c r="AE336" s="105">
        <f>SUM(AE337:AE337)</f>
        <v>0</v>
      </c>
      <c r="AF336" s="105">
        <f>SUM(AF337:AF337)</f>
        <v>54000000</v>
      </c>
      <c r="AH336" s="310"/>
    </row>
    <row r="337" spans="1:35" ht="60" customHeight="1" x14ac:dyDescent="0.2">
      <c r="A337" s="281"/>
      <c r="B337" s="434"/>
      <c r="C337" s="423"/>
      <c r="D337" s="421"/>
      <c r="E337" s="412">
        <v>3903</v>
      </c>
      <c r="F337" s="411" t="s">
        <v>1154</v>
      </c>
      <c r="G337" s="316" t="s">
        <v>1155</v>
      </c>
      <c r="H337" s="412">
        <v>3903005</v>
      </c>
      <c r="I337" s="410" t="s">
        <v>1156</v>
      </c>
      <c r="J337" s="195" t="s">
        <v>1157</v>
      </c>
      <c r="K337" s="200" t="s">
        <v>1158</v>
      </c>
      <c r="L337" s="412" t="s">
        <v>51</v>
      </c>
      <c r="M337" s="412">
        <v>1</v>
      </c>
      <c r="N337" s="412">
        <v>1</v>
      </c>
      <c r="O337" s="412">
        <v>1</v>
      </c>
      <c r="P337" s="411" t="s">
        <v>186</v>
      </c>
      <c r="Q337" s="412" t="s">
        <v>1159</v>
      </c>
      <c r="R337" s="410" t="s">
        <v>1357</v>
      </c>
      <c r="S337" s="2"/>
      <c r="T337" s="2"/>
      <c r="U337" s="2"/>
      <c r="V337" s="106"/>
      <c r="W337" s="106"/>
      <c r="X337" s="106"/>
      <c r="Y337" s="106"/>
      <c r="Z337" s="106"/>
      <c r="AA337" s="106"/>
      <c r="AB337" s="106"/>
      <c r="AC337" s="106">
        <f>21000000+25000000+8000000</f>
        <v>54000000</v>
      </c>
      <c r="AD337" s="106"/>
      <c r="AE337" s="106"/>
      <c r="AF337" s="106">
        <f>+S337+T337+U337+V337+W337+X337+Y337+Z337+AA337+AB337+AC337+AD337+AE337</f>
        <v>54000000</v>
      </c>
      <c r="AH337" s="310"/>
    </row>
    <row r="338" spans="1:35" s="92" customFormat="1" ht="15.75" x14ac:dyDescent="0.25">
      <c r="A338" s="293"/>
      <c r="B338" s="434"/>
      <c r="C338" s="424">
        <v>32</v>
      </c>
      <c r="D338" s="104">
        <v>3904</v>
      </c>
      <c r="E338" s="424" t="s">
        <v>1161</v>
      </c>
      <c r="F338" s="100"/>
      <c r="G338" s="101"/>
      <c r="H338" s="102"/>
      <c r="I338" s="100"/>
      <c r="J338" s="101"/>
      <c r="K338" s="100"/>
      <c r="L338" s="103"/>
      <c r="M338" s="103"/>
      <c r="N338" s="101"/>
      <c r="O338" s="101"/>
      <c r="P338" s="274"/>
      <c r="Q338" s="101"/>
      <c r="R338" s="100"/>
      <c r="S338" s="105">
        <f t="shared" ref="S338:AF338" si="111">+S339</f>
        <v>0</v>
      </c>
      <c r="T338" s="105">
        <f t="shared" si="111"/>
        <v>0</v>
      </c>
      <c r="U338" s="105">
        <f t="shared" si="111"/>
        <v>0</v>
      </c>
      <c r="V338" s="105">
        <f t="shared" si="111"/>
        <v>0</v>
      </c>
      <c r="W338" s="105">
        <f t="shared" si="111"/>
        <v>0</v>
      </c>
      <c r="X338" s="105">
        <f t="shared" si="111"/>
        <v>0</v>
      </c>
      <c r="Y338" s="105">
        <f t="shared" si="111"/>
        <v>0</v>
      </c>
      <c r="Z338" s="105">
        <f t="shared" si="111"/>
        <v>0</v>
      </c>
      <c r="AA338" s="105">
        <f t="shared" si="111"/>
        <v>0</v>
      </c>
      <c r="AB338" s="105">
        <f t="shared" si="111"/>
        <v>0</v>
      </c>
      <c r="AC338" s="105">
        <f t="shared" si="111"/>
        <v>18000000</v>
      </c>
      <c r="AD338" s="105">
        <f t="shared" si="111"/>
        <v>0</v>
      </c>
      <c r="AE338" s="105">
        <f t="shared" si="111"/>
        <v>0</v>
      </c>
      <c r="AF338" s="105">
        <f t="shared" si="111"/>
        <v>18000000</v>
      </c>
      <c r="AH338" s="310"/>
    </row>
    <row r="339" spans="1:35" s="132" customFormat="1" ht="94.5" customHeight="1" x14ac:dyDescent="0.2">
      <c r="A339" s="287"/>
      <c r="B339" s="431"/>
      <c r="C339" s="432"/>
      <c r="D339" s="233"/>
      <c r="E339" s="427">
        <v>3904</v>
      </c>
      <c r="F339" s="428" t="s">
        <v>1358</v>
      </c>
      <c r="G339" s="436" t="s">
        <v>1162</v>
      </c>
      <c r="H339" s="436">
        <v>3904018</v>
      </c>
      <c r="I339" s="428" t="s">
        <v>1163</v>
      </c>
      <c r="J339" s="436" t="s">
        <v>1164</v>
      </c>
      <c r="K339" s="428" t="s">
        <v>1165</v>
      </c>
      <c r="L339" s="427" t="s">
        <v>141</v>
      </c>
      <c r="M339" s="427">
        <v>20</v>
      </c>
      <c r="N339" s="427">
        <v>1</v>
      </c>
      <c r="O339" s="427">
        <v>0</v>
      </c>
      <c r="P339" s="428" t="s">
        <v>186</v>
      </c>
      <c r="Q339" s="427" t="s">
        <v>1166</v>
      </c>
      <c r="R339" s="426" t="s">
        <v>1359</v>
      </c>
      <c r="S339" s="2"/>
      <c r="T339" s="2"/>
      <c r="U339" s="2"/>
      <c r="V339" s="131"/>
      <c r="W339" s="131"/>
      <c r="X339" s="131"/>
      <c r="Y339" s="131"/>
      <c r="Z339" s="131"/>
      <c r="AA339" s="131"/>
      <c r="AB339" s="131"/>
      <c r="AC339" s="131">
        <v>18000000</v>
      </c>
      <c r="AD339" s="131"/>
      <c r="AE339" s="131"/>
      <c r="AF339" s="131">
        <f>+S339+T339+U339+V339+W339+X339+Y339+Z339+AA339+AB339+AC339+AD339+AE339</f>
        <v>18000000</v>
      </c>
      <c r="AH339" s="310"/>
    </row>
    <row r="340" spans="1:35" s="92" customFormat="1" ht="21" customHeight="1" x14ac:dyDescent="0.25">
      <c r="A340" s="293"/>
      <c r="B340" s="170">
        <v>4</v>
      </c>
      <c r="C340" s="93" t="s">
        <v>70</v>
      </c>
      <c r="D340" s="94"/>
      <c r="E340" s="94"/>
      <c r="F340" s="95"/>
      <c r="G340" s="96"/>
      <c r="H340" s="97"/>
      <c r="I340" s="95"/>
      <c r="J340" s="96"/>
      <c r="K340" s="95"/>
      <c r="L340" s="98"/>
      <c r="M340" s="98"/>
      <c r="N340" s="96"/>
      <c r="O340" s="96"/>
      <c r="P340" s="276"/>
      <c r="Q340" s="96"/>
      <c r="R340" s="95"/>
      <c r="S340" s="99">
        <f t="shared" ref="S340:AF340" si="112">+S341</f>
        <v>0</v>
      </c>
      <c r="T340" s="99">
        <f t="shared" si="112"/>
        <v>0</v>
      </c>
      <c r="U340" s="99">
        <f t="shared" si="112"/>
        <v>0</v>
      </c>
      <c r="V340" s="99">
        <f t="shared" si="112"/>
        <v>0</v>
      </c>
      <c r="W340" s="99">
        <f t="shared" si="112"/>
        <v>0</v>
      </c>
      <c r="X340" s="99">
        <f t="shared" si="112"/>
        <v>0</v>
      </c>
      <c r="Y340" s="99">
        <f t="shared" si="112"/>
        <v>0</v>
      </c>
      <c r="Z340" s="99">
        <f t="shared" si="112"/>
        <v>0</v>
      </c>
      <c r="AA340" s="99">
        <f t="shared" si="112"/>
        <v>0</v>
      </c>
      <c r="AB340" s="99">
        <f t="shared" si="112"/>
        <v>0</v>
      </c>
      <c r="AC340" s="99">
        <f t="shared" si="112"/>
        <v>353721000</v>
      </c>
      <c r="AD340" s="99">
        <f t="shared" si="112"/>
        <v>0</v>
      </c>
      <c r="AE340" s="99">
        <f t="shared" si="112"/>
        <v>0</v>
      </c>
      <c r="AF340" s="99">
        <f t="shared" si="112"/>
        <v>353721000</v>
      </c>
      <c r="AH340" s="310"/>
    </row>
    <row r="341" spans="1:35" s="92" customFormat="1" ht="21.75" customHeight="1" x14ac:dyDescent="0.25">
      <c r="A341" s="293"/>
      <c r="B341" s="433"/>
      <c r="C341" s="424">
        <v>17</v>
      </c>
      <c r="D341" s="104">
        <v>2302</v>
      </c>
      <c r="E341" s="424" t="s">
        <v>1356</v>
      </c>
      <c r="F341" s="100"/>
      <c r="G341" s="101"/>
      <c r="H341" s="102"/>
      <c r="I341" s="100"/>
      <c r="J341" s="101"/>
      <c r="K341" s="100"/>
      <c r="L341" s="103"/>
      <c r="M341" s="103"/>
      <c r="N341" s="101"/>
      <c r="O341" s="101"/>
      <c r="P341" s="274"/>
      <c r="Q341" s="101"/>
      <c r="R341" s="100"/>
      <c r="S341" s="105">
        <f t="shared" ref="S341:AF341" si="113">SUM(S342:S343)</f>
        <v>0</v>
      </c>
      <c r="T341" s="105">
        <f t="shared" si="113"/>
        <v>0</v>
      </c>
      <c r="U341" s="105">
        <f t="shared" si="113"/>
        <v>0</v>
      </c>
      <c r="V341" s="105">
        <f t="shared" si="113"/>
        <v>0</v>
      </c>
      <c r="W341" s="105">
        <f t="shared" si="113"/>
        <v>0</v>
      </c>
      <c r="X341" s="105">
        <f t="shared" si="113"/>
        <v>0</v>
      </c>
      <c r="Y341" s="105">
        <f t="shared" si="113"/>
        <v>0</v>
      </c>
      <c r="Z341" s="105">
        <f t="shared" si="113"/>
        <v>0</v>
      </c>
      <c r="AA341" s="105">
        <f t="shared" si="113"/>
        <v>0</v>
      </c>
      <c r="AB341" s="105">
        <f t="shared" si="113"/>
        <v>0</v>
      </c>
      <c r="AC341" s="105">
        <f t="shared" si="113"/>
        <v>353721000</v>
      </c>
      <c r="AD341" s="105">
        <f t="shared" si="113"/>
        <v>0</v>
      </c>
      <c r="AE341" s="105">
        <f t="shared" si="113"/>
        <v>0</v>
      </c>
      <c r="AF341" s="105">
        <f t="shared" si="113"/>
        <v>353721000</v>
      </c>
      <c r="AH341" s="310"/>
    </row>
    <row r="342" spans="1:35" s="132" customFormat="1" ht="91.5" customHeight="1" x14ac:dyDescent="0.2">
      <c r="A342" s="287"/>
      <c r="B342" s="481"/>
      <c r="C342" s="483"/>
      <c r="D342" s="233"/>
      <c r="E342" s="427">
        <v>2302</v>
      </c>
      <c r="F342" s="426" t="s">
        <v>1168</v>
      </c>
      <c r="G342" s="427" t="s">
        <v>1169</v>
      </c>
      <c r="H342" s="427">
        <v>2302033</v>
      </c>
      <c r="I342" s="426" t="s">
        <v>1170</v>
      </c>
      <c r="J342" s="427" t="s">
        <v>1171</v>
      </c>
      <c r="K342" s="426" t="s">
        <v>1172</v>
      </c>
      <c r="L342" s="427" t="s">
        <v>51</v>
      </c>
      <c r="M342" s="427">
        <v>100</v>
      </c>
      <c r="N342" s="427">
        <v>100</v>
      </c>
      <c r="O342" s="427">
        <v>100</v>
      </c>
      <c r="P342" s="478" t="s">
        <v>52</v>
      </c>
      <c r="Q342" s="477" t="s">
        <v>1173</v>
      </c>
      <c r="R342" s="478" t="s">
        <v>1174</v>
      </c>
      <c r="S342" s="2"/>
      <c r="T342" s="2"/>
      <c r="U342" s="2"/>
      <c r="V342" s="131"/>
      <c r="W342" s="131"/>
      <c r="X342" s="131"/>
      <c r="Y342" s="131"/>
      <c r="Z342" s="131"/>
      <c r="AA342" s="131"/>
      <c r="AB342" s="131"/>
      <c r="AC342" s="131">
        <v>263401000</v>
      </c>
      <c r="AD342" s="131"/>
      <c r="AE342" s="131"/>
      <c r="AF342" s="131">
        <f>+S342+T342+U342+V342+W342+X342+Y342+Z342+AA342+AB342+AC342+AD342+AE342</f>
        <v>263401000</v>
      </c>
      <c r="AH342" s="310"/>
    </row>
    <row r="343" spans="1:35" s="132" customFormat="1" ht="72" customHeight="1" x14ac:dyDescent="0.2">
      <c r="A343" s="302"/>
      <c r="B343" s="482"/>
      <c r="C343" s="483"/>
      <c r="D343" s="233"/>
      <c r="E343" s="427">
        <v>2302</v>
      </c>
      <c r="F343" s="426" t="s">
        <v>1168</v>
      </c>
      <c r="G343" s="427" t="s">
        <v>1175</v>
      </c>
      <c r="H343" s="427">
        <v>2302066</v>
      </c>
      <c r="I343" s="426" t="s">
        <v>1176</v>
      </c>
      <c r="J343" s="427" t="s">
        <v>1177</v>
      </c>
      <c r="K343" s="426" t="s">
        <v>1178</v>
      </c>
      <c r="L343" s="427" t="s">
        <v>141</v>
      </c>
      <c r="M343" s="427">
        <v>200</v>
      </c>
      <c r="N343" s="427">
        <v>30</v>
      </c>
      <c r="O343" s="427">
        <v>30</v>
      </c>
      <c r="P343" s="478"/>
      <c r="Q343" s="477"/>
      <c r="R343" s="478"/>
      <c r="S343" s="2"/>
      <c r="T343" s="2"/>
      <c r="U343" s="2"/>
      <c r="V343" s="131"/>
      <c r="W343" s="131"/>
      <c r="X343" s="131"/>
      <c r="Y343" s="131"/>
      <c r="Z343" s="131"/>
      <c r="AA343" s="131"/>
      <c r="AB343" s="131"/>
      <c r="AC343" s="131">
        <f>14320000+76000000</f>
        <v>90320000</v>
      </c>
      <c r="AD343" s="131"/>
      <c r="AE343" s="131"/>
      <c r="AF343" s="131">
        <f>+S343+T343+U343+V343+W343+X343+Y343+Z343+AA343+AB343+AC343+AD343+AE343</f>
        <v>90320000</v>
      </c>
      <c r="AH343" s="310"/>
    </row>
    <row r="344" spans="1:35" s="163" customFormat="1" ht="38.25" customHeight="1" x14ac:dyDescent="0.25">
      <c r="A344" s="264" t="s">
        <v>1179</v>
      </c>
      <c r="B344" s="265"/>
      <c r="C344" s="265"/>
      <c r="D344" s="265"/>
      <c r="E344" s="265"/>
      <c r="F344" s="265"/>
      <c r="G344" s="265"/>
      <c r="H344" s="265"/>
      <c r="I344" s="265"/>
      <c r="J344" s="160"/>
      <c r="K344" s="161"/>
      <c r="L344" s="160"/>
      <c r="M344" s="160"/>
      <c r="N344" s="160"/>
      <c r="O344" s="160"/>
      <c r="P344" s="161"/>
      <c r="Q344" s="160"/>
      <c r="R344" s="161"/>
      <c r="S344" s="162">
        <f t="shared" ref="S344:AF344" si="114">+S328+S263+S220+S193+S186+S139+S123+S111+S74+S34+S29+S13+S6</f>
        <v>8373731127.0799999</v>
      </c>
      <c r="T344" s="162">
        <f t="shared" si="114"/>
        <v>2192073558.0099998</v>
      </c>
      <c r="U344" s="162">
        <f t="shared" si="114"/>
        <v>184304077.94</v>
      </c>
      <c r="V344" s="162">
        <f t="shared" si="114"/>
        <v>2849173512.6999998</v>
      </c>
      <c r="W344" s="162">
        <f t="shared" si="114"/>
        <v>6648246009.5</v>
      </c>
      <c r="X344" s="162">
        <f t="shared" si="114"/>
        <v>30215921696.520004</v>
      </c>
      <c r="Y344" s="162">
        <f t="shared" si="114"/>
        <v>132182386450.42001</v>
      </c>
      <c r="Z344" s="162">
        <f t="shared" si="114"/>
        <v>23036771417</v>
      </c>
      <c r="AA344" s="162">
        <f t="shared" si="114"/>
        <v>14695615717.32</v>
      </c>
      <c r="AB344" s="162">
        <f t="shared" si="114"/>
        <v>2780436507.1199999</v>
      </c>
      <c r="AC344" s="162">
        <f t="shared" si="114"/>
        <v>21978559403.320004</v>
      </c>
      <c r="AD344" s="162">
        <f t="shared" si="114"/>
        <v>6395977028.1100006</v>
      </c>
      <c r="AE344" s="162">
        <f t="shared" si="114"/>
        <v>4189275355.3000002</v>
      </c>
      <c r="AF344" s="162">
        <f t="shared" si="114"/>
        <v>255722471860.34</v>
      </c>
      <c r="AG344" s="310"/>
      <c r="AH344" s="310"/>
      <c r="AI344" s="310"/>
    </row>
    <row r="345" spans="1:35" ht="29.25" customHeight="1" x14ac:dyDescent="0.2">
      <c r="A345" s="135" t="s">
        <v>1180</v>
      </c>
      <c r="B345" s="135"/>
      <c r="C345" s="135"/>
      <c r="D345" s="136"/>
      <c r="E345" s="136"/>
      <c r="F345" s="137"/>
      <c r="G345" s="138"/>
      <c r="H345" s="90"/>
      <c r="I345" s="137"/>
      <c r="J345" s="138"/>
      <c r="K345" s="137"/>
      <c r="L345" s="90"/>
      <c r="M345" s="90"/>
      <c r="N345" s="138"/>
      <c r="O345" s="138"/>
      <c r="P345" s="275"/>
      <c r="Q345" s="138"/>
      <c r="R345" s="137"/>
      <c r="S345" s="119">
        <f t="shared" ref="S345:AB345" si="115">+S346</f>
        <v>0</v>
      </c>
      <c r="T345" s="119">
        <f t="shared" si="115"/>
        <v>0</v>
      </c>
      <c r="U345" s="119">
        <f t="shared" si="115"/>
        <v>0</v>
      </c>
      <c r="V345" s="119">
        <f t="shared" si="115"/>
        <v>0</v>
      </c>
      <c r="W345" s="119">
        <f t="shared" si="115"/>
        <v>0</v>
      </c>
      <c r="X345" s="119">
        <f t="shared" si="115"/>
        <v>0</v>
      </c>
      <c r="Y345" s="119">
        <f t="shared" si="115"/>
        <v>0</v>
      </c>
      <c r="Z345" s="119">
        <f t="shared" si="115"/>
        <v>0</v>
      </c>
      <c r="AA345" s="119">
        <f t="shared" si="115"/>
        <v>0</v>
      </c>
      <c r="AB345" s="119">
        <f t="shared" si="115"/>
        <v>0</v>
      </c>
      <c r="AC345" s="119">
        <f t="shared" ref="AC345:AE345" si="116">+AC346</f>
        <v>756759724.86000001</v>
      </c>
      <c r="AD345" s="119">
        <f t="shared" si="116"/>
        <v>2835805757.9200001</v>
      </c>
      <c r="AE345" s="119">
        <f t="shared" si="116"/>
        <v>748923828</v>
      </c>
      <c r="AF345" s="119">
        <f>AF346</f>
        <v>4341489310.7799997</v>
      </c>
      <c r="AG345" s="310"/>
      <c r="AH345" s="310"/>
      <c r="AI345" s="310"/>
    </row>
    <row r="346" spans="1:35" ht="22.5" customHeight="1" x14ac:dyDescent="0.2">
      <c r="A346" s="283"/>
      <c r="B346" s="170">
        <v>1</v>
      </c>
      <c r="C346" s="93" t="s">
        <v>1</v>
      </c>
      <c r="D346" s="94"/>
      <c r="E346" s="94"/>
      <c r="F346" s="95"/>
      <c r="G346" s="96"/>
      <c r="H346" s="97"/>
      <c r="I346" s="95"/>
      <c r="J346" s="96"/>
      <c r="K346" s="95"/>
      <c r="L346" s="98"/>
      <c r="M346" s="98"/>
      <c r="N346" s="96"/>
      <c r="O346" s="96"/>
      <c r="P346" s="276"/>
      <c r="Q346" s="96"/>
      <c r="R346" s="95"/>
      <c r="S346" s="99">
        <f t="shared" ref="S346:AB346" si="117">S347+S360</f>
        <v>0</v>
      </c>
      <c r="T346" s="99">
        <f t="shared" si="117"/>
        <v>0</v>
      </c>
      <c r="U346" s="99">
        <f t="shared" si="117"/>
        <v>0</v>
      </c>
      <c r="V346" s="99">
        <f t="shared" si="117"/>
        <v>0</v>
      </c>
      <c r="W346" s="99">
        <f t="shared" si="117"/>
        <v>0</v>
      </c>
      <c r="X346" s="99">
        <f t="shared" si="117"/>
        <v>0</v>
      </c>
      <c r="Y346" s="99">
        <f t="shared" si="117"/>
        <v>0</v>
      </c>
      <c r="Z346" s="99">
        <f t="shared" si="117"/>
        <v>0</v>
      </c>
      <c r="AA346" s="99">
        <f t="shared" si="117"/>
        <v>0</v>
      </c>
      <c r="AB346" s="99">
        <f t="shared" si="117"/>
        <v>0</v>
      </c>
      <c r="AC346" s="99">
        <f t="shared" ref="AC346:AE346" si="118">AC347+AC360</f>
        <v>756759724.86000001</v>
      </c>
      <c r="AD346" s="99">
        <f t="shared" si="118"/>
        <v>2835805757.9200001</v>
      </c>
      <c r="AE346" s="99">
        <f t="shared" si="118"/>
        <v>748923828</v>
      </c>
      <c r="AF346" s="99">
        <f>AF347+AF360</f>
        <v>4341489310.7799997</v>
      </c>
      <c r="AH346" s="310"/>
    </row>
    <row r="347" spans="1:35" ht="20.25" customHeight="1" x14ac:dyDescent="0.2">
      <c r="A347" s="281"/>
      <c r="B347" s="433"/>
      <c r="C347" s="126">
        <v>39</v>
      </c>
      <c r="D347" s="101">
        <v>4301</v>
      </c>
      <c r="E347" s="424" t="s">
        <v>170</v>
      </c>
      <c r="F347" s="144"/>
      <c r="G347" s="143"/>
      <c r="H347" s="143"/>
      <c r="I347" s="144"/>
      <c r="J347" s="143"/>
      <c r="K347" s="144"/>
      <c r="L347" s="102"/>
      <c r="M347" s="102"/>
      <c r="N347" s="143"/>
      <c r="O347" s="143"/>
      <c r="P347" s="261"/>
      <c r="Q347" s="143"/>
      <c r="R347" s="144"/>
      <c r="S347" s="22">
        <f t="shared" ref="S347:AB347" si="119">SUM(S348:S355)</f>
        <v>0</v>
      </c>
      <c r="T347" s="22">
        <f t="shared" si="119"/>
        <v>0</v>
      </c>
      <c r="U347" s="22">
        <f t="shared" si="119"/>
        <v>0</v>
      </c>
      <c r="V347" s="22">
        <f t="shared" si="119"/>
        <v>0</v>
      </c>
      <c r="W347" s="22">
        <f t="shared" si="119"/>
        <v>0</v>
      </c>
      <c r="X347" s="22">
        <f t="shared" si="119"/>
        <v>0</v>
      </c>
      <c r="Y347" s="22">
        <f t="shared" si="119"/>
        <v>0</v>
      </c>
      <c r="Z347" s="22">
        <f t="shared" si="119"/>
        <v>0</v>
      </c>
      <c r="AA347" s="22">
        <f t="shared" si="119"/>
        <v>0</v>
      </c>
      <c r="AB347" s="22">
        <f t="shared" si="119"/>
        <v>0</v>
      </c>
      <c r="AC347" s="22">
        <f>SUM(AC348:AC359)</f>
        <v>182933997.86000001</v>
      </c>
      <c r="AD347" s="22">
        <f t="shared" ref="AD347:AE347" si="120">SUM(AD348:AD359)</f>
        <v>2144642882.9200001</v>
      </c>
      <c r="AE347" s="22">
        <f t="shared" si="120"/>
        <v>748923828</v>
      </c>
      <c r="AF347" s="22">
        <f>SUM(AF348:AF359)</f>
        <v>3076500708.7799997</v>
      </c>
      <c r="AH347" s="310"/>
    </row>
    <row r="348" spans="1:35" s="132" customFormat="1" ht="122.25" customHeight="1" x14ac:dyDescent="0.2">
      <c r="A348" s="287"/>
      <c r="B348" s="430"/>
      <c r="C348" s="432"/>
      <c r="D348" s="432"/>
      <c r="E348" s="427">
        <v>4301</v>
      </c>
      <c r="F348" s="379" t="s">
        <v>1410</v>
      </c>
      <c r="G348" s="427" t="s">
        <v>1181</v>
      </c>
      <c r="H348" s="427">
        <v>4301007</v>
      </c>
      <c r="I348" s="426" t="s">
        <v>1182</v>
      </c>
      <c r="J348" s="427" t="s">
        <v>1183</v>
      </c>
      <c r="K348" s="426" t="s">
        <v>1184</v>
      </c>
      <c r="L348" s="151" t="s">
        <v>51</v>
      </c>
      <c r="M348" s="151">
        <v>12</v>
      </c>
      <c r="N348" s="427">
        <v>12</v>
      </c>
      <c r="O348" s="427">
        <v>12</v>
      </c>
      <c r="P348" s="479" t="s">
        <v>176</v>
      </c>
      <c r="Q348" s="477" t="s">
        <v>1185</v>
      </c>
      <c r="R348" s="478" t="s">
        <v>1186</v>
      </c>
      <c r="S348" s="2"/>
      <c r="T348" s="2"/>
      <c r="U348" s="2"/>
      <c r="V348" s="2"/>
      <c r="W348" s="2"/>
      <c r="X348" s="251"/>
      <c r="Y348" s="2"/>
      <c r="Z348" s="2"/>
      <c r="AA348" s="2"/>
      <c r="AB348" s="2"/>
      <c r="AC348" s="23"/>
      <c r="AD348" s="380">
        <f>47740000+18240000+96129000</f>
        <v>162109000</v>
      </c>
      <c r="AE348" s="2"/>
      <c r="AF348" s="131">
        <f t="shared" ref="AF348:AF359" si="121">+S348+T348+U348+V348+W348+X348+Y348+Z348+AA348+AB348+AC348+AD348+AE348</f>
        <v>162109000</v>
      </c>
      <c r="AH348" s="310"/>
    </row>
    <row r="349" spans="1:35" s="132" customFormat="1" ht="120" customHeight="1" x14ac:dyDescent="0.2">
      <c r="A349" s="287"/>
      <c r="B349" s="430"/>
      <c r="C349" s="432"/>
      <c r="D349" s="432"/>
      <c r="E349" s="427">
        <v>4301</v>
      </c>
      <c r="F349" s="379" t="s">
        <v>1410</v>
      </c>
      <c r="G349" s="427">
        <v>39.200000000000003</v>
      </c>
      <c r="H349" s="427">
        <v>4301037</v>
      </c>
      <c r="I349" s="426" t="s">
        <v>1188</v>
      </c>
      <c r="J349" s="427" t="s">
        <v>1191</v>
      </c>
      <c r="K349" s="426" t="s">
        <v>1192</v>
      </c>
      <c r="L349" s="435" t="s">
        <v>51</v>
      </c>
      <c r="M349" s="435">
        <v>12</v>
      </c>
      <c r="N349" s="435">
        <v>12</v>
      </c>
      <c r="O349" s="435">
        <v>12</v>
      </c>
      <c r="P349" s="479"/>
      <c r="Q349" s="477"/>
      <c r="R349" s="478"/>
      <c r="S349" s="2"/>
      <c r="T349" s="2"/>
      <c r="U349" s="2"/>
      <c r="V349" s="2"/>
      <c r="W349" s="2"/>
      <c r="X349" s="2"/>
      <c r="Y349" s="2"/>
      <c r="Z349" s="2"/>
      <c r="AA349" s="2"/>
      <c r="AB349" s="2"/>
      <c r="AC349" s="380">
        <v>3480000</v>
      </c>
      <c r="AD349" s="380">
        <f>10000000</f>
        <v>10000000</v>
      </c>
      <c r="AE349" s="24"/>
      <c r="AF349" s="131">
        <f t="shared" si="121"/>
        <v>13480000</v>
      </c>
      <c r="AH349" s="310"/>
    </row>
    <row r="350" spans="1:35" s="132" customFormat="1" ht="134.25" customHeight="1" x14ac:dyDescent="0.2">
      <c r="A350" s="287"/>
      <c r="B350" s="430"/>
      <c r="C350" s="432"/>
      <c r="D350" s="432"/>
      <c r="E350" s="427">
        <v>4301</v>
      </c>
      <c r="F350" s="379" t="s">
        <v>1410</v>
      </c>
      <c r="G350" s="427" t="s">
        <v>1187</v>
      </c>
      <c r="H350" s="427">
        <v>4301037</v>
      </c>
      <c r="I350" s="426" t="s">
        <v>1188</v>
      </c>
      <c r="J350" s="427" t="s">
        <v>1189</v>
      </c>
      <c r="K350" s="426" t="s">
        <v>1190</v>
      </c>
      <c r="L350" s="435" t="s">
        <v>51</v>
      </c>
      <c r="M350" s="435">
        <v>12</v>
      </c>
      <c r="N350" s="435">
        <v>12</v>
      </c>
      <c r="O350" s="435">
        <v>11</v>
      </c>
      <c r="P350" s="428" t="s">
        <v>176</v>
      </c>
      <c r="Q350" s="427" t="s">
        <v>1193</v>
      </c>
      <c r="R350" s="426" t="s">
        <v>1360</v>
      </c>
      <c r="S350" s="2"/>
      <c r="T350" s="2"/>
      <c r="U350" s="2"/>
      <c r="V350" s="2"/>
      <c r="W350" s="2"/>
      <c r="X350" s="2"/>
      <c r="Y350" s="2"/>
      <c r="Z350" s="2"/>
      <c r="AA350" s="2"/>
      <c r="AB350" s="2"/>
      <c r="AC350" s="380">
        <v>2227426</v>
      </c>
      <c r="AD350" s="380">
        <f>7000000+40000000</f>
        <v>47000000</v>
      </c>
      <c r="AE350" s="2"/>
      <c r="AF350" s="131">
        <f t="shared" si="121"/>
        <v>49227426</v>
      </c>
      <c r="AH350" s="310"/>
    </row>
    <row r="351" spans="1:35" s="132" customFormat="1" ht="120.75" customHeight="1" x14ac:dyDescent="0.2">
      <c r="A351" s="287"/>
      <c r="B351" s="430"/>
      <c r="C351" s="432"/>
      <c r="D351" s="432"/>
      <c r="E351" s="427">
        <v>4301</v>
      </c>
      <c r="F351" s="379" t="s">
        <v>1410</v>
      </c>
      <c r="G351" s="427" t="s">
        <v>1187</v>
      </c>
      <c r="H351" s="427">
        <v>4301037</v>
      </c>
      <c r="I351" s="426" t="s">
        <v>1188</v>
      </c>
      <c r="J351" s="427" t="s">
        <v>1191</v>
      </c>
      <c r="K351" s="426" t="s">
        <v>1192</v>
      </c>
      <c r="L351" s="435" t="s">
        <v>51</v>
      </c>
      <c r="M351" s="435">
        <v>12</v>
      </c>
      <c r="N351" s="435">
        <v>12</v>
      </c>
      <c r="O351" s="435">
        <v>12</v>
      </c>
      <c r="P351" s="479" t="s">
        <v>176</v>
      </c>
      <c r="Q351" s="477" t="s">
        <v>1195</v>
      </c>
      <c r="R351" s="478" t="s">
        <v>1196</v>
      </c>
      <c r="S351" s="2"/>
      <c r="T351" s="2"/>
      <c r="U351" s="2"/>
      <c r="V351" s="2"/>
      <c r="W351" s="2"/>
      <c r="X351" s="2"/>
      <c r="Y351" s="2"/>
      <c r="Z351" s="2"/>
      <c r="AA351" s="2"/>
      <c r="AB351" s="2"/>
      <c r="AC351" s="381"/>
      <c r="AD351" s="313">
        <f>13800000+24000000</f>
        <v>37800000</v>
      </c>
      <c r="AE351" s="2"/>
      <c r="AF351" s="131">
        <f t="shared" si="121"/>
        <v>37800000</v>
      </c>
      <c r="AH351" s="310"/>
    </row>
    <row r="352" spans="1:35" s="132" customFormat="1" ht="127.5" customHeight="1" x14ac:dyDescent="0.2">
      <c r="A352" s="287"/>
      <c r="B352" s="430"/>
      <c r="C352" s="432"/>
      <c r="D352" s="432"/>
      <c r="E352" s="427">
        <v>4301</v>
      </c>
      <c r="F352" s="426" t="s">
        <v>1410</v>
      </c>
      <c r="G352" s="427" t="s">
        <v>1197</v>
      </c>
      <c r="H352" s="427" t="s">
        <v>45</v>
      </c>
      <c r="I352" s="426" t="s">
        <v>1198</v>
      </c>
      <c r="J352" s="427" t="s">
        <v>1199</v>
      </c>
      <c r="K352" s="426" t="s">
        <v>1412</v>
      </c>
      <c r="L352" s="151" t="s">
        <v>51</v>
      </c>
      <c r="M352" s="151">
        <v>1</v>
      </c>
      <c r="N352" s="427">
        <v>1</v>
      </c>
      <c r="O352" s="427">
        <v>0.25</v>
      </c>
      <c r="P352" s="479"/>
      <c r="Q352" s="477"/>
      <c r="R352" s="478"/>
      <c r="S352" s="2"/>
      <c r="T352" s="2"/>
      <c r="U352" s="2"/>
      <c r="V352" s="2"/>
      <c r="W352" s="2"/>
      <c r="X352" s="2"/>
      <c r="Y352" s="2"/>
      <c r="Z352" s="2"/>
      <c r="AA352" s="2"/>
      <c r="AB352" s="2"/>
      <c r="AC352" s="15"/>
      <c r="AD352" s="213">
        <f>19500000+12000000</f>
        <v>31500000</v>
      </c>
      <c r="AE352" s="382"/>
      <c r="AF352" s="131">
        <f t="shared" si="121"/>
        <v>31500000</v>
      </c>
      <c r="AH352" s="310"/>
    </row>
    <row r="353" spans="1:35" s="132" customFormat="1" ht="129.75" customHeight="1" x14ac:dyDescent="0.2">
      <c r="A353" s="287"/>
      <c r="B353" s="430"/>
      <c r="C353" s="432"/>
      <c r="D353" s="432"/>
      <c r="E353" s="427">
        <v>4301</v>
      </c>
      <c r="F353" s="379" t="s">
        <v>1410</v>
      </c>
      <c r="G353" s="427" t="s">
        <v>1181</v>
      </c>
      <c r="H353" s="427">
        <v>4301007</v>
      </c>
      <c r="I353" s="426" t="s">
        <v>1182</v>
      </c>
      <c r="J353" s="427" t="s">
        <v>1183</v>
      </c>
      <c r="K353" s="426" t="s">
        <v>1184</v>
      </c>
      <c r="L353" s="151" t="s">
        <v>51</v>
      </c>
      <c r="M353" s="151">
        <v>12</v>
      </c>
      <c r="N353" s="427">
        <v>12</v>
      </c>
      <c r="O353" s="427">
        <v>12</v>
      </c>
      <c r="P353" s="428" t="s">
        <v>176</v>
      </c>
      <c r="Q353" s="477" t="s">
        <v>1200</v>
      </c>
      <c r="R353" s="478" t="s">
        <v>1361</v>
      </c>
      <c r="S353" s="2"/>
      <c r="T353" s="2"/>
      <c r="U353" s="2"/>
      <c r="V353" s="2"/>
      <c r="W353" s="2"/>
      <c r="X353" s="2"/>
      <c r="Y353" s="2"/>
      <c r="Z353" s="2"/>
      <c r="AA353" s="2"/>
      <c r="AB353" s="2"/>
      <c r="AC353" s="15"/>
      <c r="AD353" s="313">
        <v>348605598</v>
      </c>
      <c r="AE353" s="382"/>
      <c r="AF353" s="131">
        <f t="shared" si="121"/>
        <v>348605598</v>
      </c>
      <c r="AH353" s="310"/>
    </row>
    <row r="354" spans="1:35" s="132" customFormat="1" ht="119.25" customHeight="1" x14ac:dyDescent="0.2">
      <c r="A354" s="287"/>
      <c r="B354" s="430"/>
      <c r="C354" s="432"/>
      <c r="D354" s="432"/>
      <c r="E354" s="427">
        <v>4301</v>
      </c>
      <c r="F354" s="379" t="s">
        <v>1410</v>
      </c>
      <c r="G354" s="427" t="s">
        <v>1187</v>
      </c>
      <c r="H354" s="427">
        <v>4301037</v>
      </c>
      <c r="I354" s="426" t="s">
        <v>1188</v>
      </c>
      <c r="J354" s="427" t="s">
        <v>1191</v>
      </c>
      <c r="K354" s="426" t="s">
        <v>1192</v>
      </c>
      <c r="L354" s="435" t="s">
        <v>51</v>
      </c>
      <c r="M354" s="435">
        <v>12</v>
      </c>
      <c r="N354" s="435">
        <v>12</v>
      </c>
      <c r="O354" s="435">
        <v>12</v>
      </c>
      <c r="P354" s="428" t="s">
        <v>176</v>
      </c>
      <c r="Q354" s="477"/>
      <c r="R354" s="478"/>
      <c r="S354" s="2"/>
      <c r="T354" s="2"/>
      <c r="U354" s="2"/>
      <c r="V354" s="2"/>
      <c r="W354" s="2"/>
      <c r="X354" s="2"/>
      <c r="Y354" s="2"/>
      <c r="Z354" s="2"/>
      <c r="AA354" s="2"/>
      <c r="AB354" s="2"/>
      <c r="AC354" s="213">
        <v>18480000</v>
      </c>
      <c r="AD354" s="383"/>
      <c r="AE354" s="382"/>
      <c r="AF354" s="131">
        <f t="shared" si="121"/>
        <v>18480000</v>
      </c>
      <c r="AH354" s="310"/>
    </row>
    <row r="355" spans="1:35" s="132" customFormat="1" ht="113.25" customHeight="1" x14ac:dyDescent="0.2">
      <c r="A355" s="287"/>
      <c r="B355" s="430"/>
      <c r="C355" s="432"/>
      <c r="D355" s="432"/>
      <c r="E355" s="427">
        <v>4301</v>
      </c>
      <c r="F355" s="379" t="s">
        <v>1410</v>
      </c>
      <c r="G355" s="427" t="s">
        <v>1187</v>
      </c>
      <c r="H355" s="427">
        <v>4301037</v>
      </c>
      <c r="I355" s="426" t="s">
        <v>1188</v>
      </c>
      <c r="J355" s="427" t="s">
        <v>1191</v>
      </c>
      <c r="K355" s="426" t="s">
        <v>1192</v>
      </c>
      <c r="L355" s="435" t="s">
        <v>51</v>
      </c>
      <c r="M355" s="435">
        <v>12</v>
      </c>
      <c r="N355" s="435">
        <v>12</v>
      </c>
      <c r="O355" s="435">
        <v>12</v>
      </c>
      <c r="P355" s="428" t="s">
        <v>176</v>
      </c>
      <c r="Q355" s="427" t="s">
        <v>1202</v>
      </c>
      <c r="R355" s="426" t="s">
        <v>1362</v>
      </c>
      <c r="S355" s="2"/>
      <c r="T355" s="2"/>
      <c r="U355" s="2"/>
      <c r="V355" s="2"/>
      <c r="W355" s="2"/>
      <c r="X355" s="2"/>
      <c r="Y355" s="2"/>
      <c r="Z355" s="2"/>
      <c r="AA355" s="2"/>
      <c r="AB355" s="2"/>
      <c r="AC355" s="213">
        <v>359648</v>
      </c>
      <c r="AD355" s="383">
        <f>30633333+60592102</f>
        <v>91225435</v>
      </c>
      <c r="AE355" s="382"/>
      <c r="AF355" s="131">
        <f t="shared" si="121"/>
        <v>91585083</v>
      </c>
      <c r="AH355" s="310"/>
    </row>
    <row r="356" spans="1:35" s="132" customFormat="1" ht="109.5" customHeight="1" x14ac:dyDescent="0.2">
      <c r="A356" s="287"/>
      <c r="B356" s="430"/>
      <c r="C356" s="432"/>
      <c r="D356" s="432"/>
      <c r="E356" s="427">
        <v>4301</v>
      </c>
      <c r="F356" s="379" t="s">
        <v>1410</v>
      </c>
      <c r="G356" s="427" t="s">
        <v>1181</v>
      </c>
      <c r="H356" s="427">
        <v>4301007</v>
      </c>
      <c r="I356" s="426" t="s">
        <v>1182</v>
      </c>
      <c r="J356" s="427" t="s">
        <v>1183</v>
      </c>
      <c r="K356" s="426" t="s">
        <v>1184</v>
      </c>
      <c r="L356" s="151" t="s">
        <v>51</v>
      </c>
      <c r="M356" s="151">
        <v>12</v>
      </c>
      <c r="N356" s="427">
        <v>12</v>
      </c>
      <c r="O356" s="427">
        <v>12</v>
      </c>
      <c r="P356" s="479" t="s">
        <v>176</v>
      </c>
      <c r="Q356" s="480" t="s">
        <v>1212</v>
      </c>
      <c r="R356" s="479" t="s">
        <v>1409</v>
      </c>
      <c r="S356" s="2"/>
      <c r="T356" s="2"/>
      <c r="U356" s="2"/>
      <c r="V356" s="2"/>
      <c r="W356" s="2"/>
      <c r="X356" s="2"/>
      <c r="Y356" s="2"/>
      <c r="Z356" s="2"/>
      <c r="AA356" s="2"/>
      <c r="AB356" s="2"/>
      <c r="AC356" s="213"/>
      <c r="AD356" s="383">
        <f>730678430+35631000</f>
        <v>766309430</v>
      </c>
      <c r="AE356" s="324">
        <v>224301000</v>
      </c>
      <c r="AF356" s="131">
        <f t="shared" si="121"/>
        <v>990610430</v>
      </c>
      <c r="AH356" s="310"/>
    </row>
    <row r="357" spans="1:35" s="132" customFormat="1" ht="114.75" customHeight="1" x14ac:dyDescent="0.2">
      <c r="A357" s="287"/>
      <c r="B357" s="430"/>
      <c r="C357" s="432"/>
      <c r="D357" s="432"/>
      <c r="E357" s="427">
        <v>4301</v>
      </c>
      <c r="F357" s="379" t="s">
        <v>1410</v>
      </c>
      <c r="G357" s="477" t="s">
        <v>1187</v>
      </c>
      <c r="H357" s="477">
        <v>4301037</v>
      </c>
      <c r="I357" s="478" t="s">
        <v>1188</v>
      </c>
      <c r="J357" s="427" t="s">
        <v>1189</v>
      </c>
      <c r="K357" s="426" t="s">
        <v>1190</v>
      </c>
      <c r="L357" s="435" t="s">
        <v>51</v>
      </c>
      <c r="M357" s="435">
        <v>12</v>
      </c>
      <c r="N357" s="435">
        <v>12</v>
      </c>
      <c r="O357" s="435">
        <v>11</v>
      </c>
      <c r="P357" s="479"/>
      <c r="Q357" s="480"/>
      <c r="R357" s="479"/>
      <c r="S357" s="2"/>
      <c r="T357" s="2"/>
      <c r="U357" s="2"/>
      <c r="V357" s="2"/>
      <c r="W357" s="2"/>
      <c r="X357" s="2"/>
      <c r="Y357" s="2"/>
      <c r="Z357" s="2"/>
      <c r="AA357" s="2"/>
      <c r="AB357" s="2"/>
      <c r="AC357" s="15">
        <v>77772574</v>
      </c>
      <c r="AD357" s="384">
        <v>113000000</v>
      </c>
      <c r="AE357" s="324">
        <v>140758086</v>
      </c>
      <c r="AF357" s="131">
        <f t="shared" si="121"/>
        <v>331530660</v>
      </c>
      <c r="AH357" s="310"/>
    </row>
    <row r="358" spans="1:35" s="132" customFormat="1" ht="124.5" customHeight="1" x14ac:dyDescent="0.2">
      <c r="A358" s="287"/>
      <c r="B358" s="430"/>
      <c r="C358" s="432"/>
      <c r="D358" s="432"/>
      <c r="E358" s="427">
        <v>4301</v>
      </c>
      <c r="F358" s="379" t="s">
        <v>1410</v>
      </c>
      <c r="G358" s="477"/>
      <c r="H358" s="477">
        <v>4301037</v>
      </c>
      <c r="I358" s="478" t="s">
        <v>1188</v>
      </c>
      <c r="J358" s="427" t="s">
        <v>1191</v>
      </c>
      <c r="K358" s="426" t="s">
        <v>1192</v>
      </c>
      <c r="L358" s="435" t="s">
        <v>51</v>
      </c>
      <c r="M358" s="435">
        <v>12</v>
      </c>
      <c r="N358" s="435">
        <v>12</v>
      </c>
      <c r="O358" s="435">
        <v>12</v>
      </c>
      <c r="P358" s="479"/>
      <c r="Q358" s="480"/>
      <c r="R358" s="479"/>
      <c r="S358" s="2"/>
      <c r="T358" s="2"/>
      <c r="U358" s="2"/>
      <c r="V358" s="2"/>
      <c r="W358" s="2"/>
      <c r="X358" s="2"/>
      <c r="Y358" s="2"/>
      <c r="Z358" s="2"/>
      <c r="AA358" s="2"/>
      <c r="AB358" s="2"/>
      <c r="AC358" s="15">
        <f>37040000+43574349.86</f>
        <v>80614349.859999999</v>
      </c>
      <c r="AD358" s="385">
        <f>162119520+319473899.92</f>
        <v>481593419.92000002</v>
      </c>
      <c r="AE358" s="324">
        <v>383864742</v>
      </c>
      <c r="AF358" s="131">
        <f t="shared" si="121"/>
        <v>946072511.77999997</v>
      </c>
      <c r="AH358" s="310"/>
    </row>
    <row r="359" spans="1:35" s="132" customFormat="1" ht="122.25" customHeight="1" x14ac:dyDescent="0.2">
      <c r="A359" s="287"/>
      <c r="B359" s="430"/>
      <c r="C359" s="432"/>
      <c r="D359" s="432"/>
      <c r="E359" s="427">
        <v>4301</v>
      </c>
      <c r="F359" s="426" t="s">
        <v>1410</v>
      </c>
      <c r="G359" s="427" t="s">
        <v>1197</v>
      </c>
      <c r="H359" s="427" t="s">
        <v>45</v>
      </c>
      <c r="I359" s="426" t="s">
        <v>1198</v>
      </c>
      <c r="J359" s="427" t="s">
        <v>1199</v>
      </c>
      <c r="K359" s="426" t="s">
        <v>1412</v>
      </c>
      <c r="L359" s="151" t="s">
        <v>51</v>
      </c>
      <c r="M359" s="151">
        <v>1</v>
      </c>
      <c r="N359" s="427">
        <v>1</v>
      </c>
      <c r="O359" s="427">
        <v>1</v>
      </c>
      <c r="P359" s="479"/>
      <c r="Q359" s="480"/>
      <c r="R359" s="479"/>
      <c r="S359" s="2"/>
      <c r="T359" s="2"/>
      <c r="U359" s="2"/>
      <c r="V359" s="2"/>
      <c r="W359" s="2"/>
      <c r="X359" s="2"/>
      <c r="Y359" s="2"/>
      <c r="Z359" s="2"/>
      <c r="AA359" s="2"/>
      <c r="AB359" s="2"/>
      <c r="AC359" s="386"/>
      <c r="AD359" s="213">
        <v>55500000</v>
      </c>
      <c r="AE359" s="382"/>
      <c r="AF359" s="131">
        <f t="shared" si="121"/>
        <v>55500000</v>
      </c>
      <c r="AH359" s="310"/>
    </row>
    <row r="360" spans="1:35" ht="25.5" customHeight="1" x14ac:dyDescent="0.2">
      <c r="A360" s="281"/>
      <c r="B360" s="434"/>
      <c r="C360" s="126">
        <v>40</v>
      </c>
      <c r="D360" s="101">
        <v>4302</v>
      </c>
      <c r="E360" s="424" t="s">
        <v>177</v>
      </c>
      <c r="F360" s="100"/>
      <c r="G360" s="100"/>
      <c r="H360" s="102"/>
      <c r="I360" s="100"/>
      <c r="J360" s="101"/>
      <c r="K360" s="100"/>
      <c r="L360" s="103"/>
      <c r="M360" s="103"/>
      <c r="N360" s="101"/>
      <c r="O360" s="101"/>
      <c r="P360" s="274"/>
      <c r="Q360" s="101"/>
      <c r="R360" s="100"/>
      <c r="S360" s="105">
        <f t="shared" ref="S360:AB360" si="122">+S361+S363</f>
        <v>0</v>
      </c>
      <c r="T360" s="105">
        <f t="shared" si="122"/>
        <v>0</v>
      </c>
      <c r="U360" s="105">
        <f t="shared" si="122"/>
        <v>0</v>
      </c>
      <c r="V360" s="105">
        <f t="shared" si="122"/>
        <v>0</v>
      </c>
      <c r="W360" s="105">
        <f t="shared" si="122"/>
        <v>0</v>
      </c>
      <c r="X360" s="105">
        <f t="shared" si="122"/>
        <v>0</v>
      </c>
      <c r="Y360" s="105">
        <f t="shared" si="122"/>
        <v>0</v>
      </c>
      <c r="Z360" s="105">
        <f t="shared" si="122"/>
        <v>0</v>
      </c>
      <c r="AA360" s="105">
        <f t="shared" si="122"/>
        <v>0</v>
      </c>
      <c r="AB360" s="105">
        <f t="shared" si="122"/>
        <v>0</v>
      </c>
      <c r="AC360" s="105">
        <f>+AC361+AC363+AC362</f>
        <v>573825727</v>
      </c>
      <c r="AD360" s="105">
        <f t="shared" ref="AD360:AF360" si="123">+AD361+AD363+AD362</f>
        <v>691162875</v>
      </c>
      <c r="AE360" s="105">
        <f t="shared" si="123"/>
        <v>0</v>
      </c>
      <c r="AF360" s="105">
        <f t="shared" si="123"/>
        <v>1264988602</v>
      </c>
      <c r="AH360" s="310"/>
    </row>
    <row r="361" spans="1:35" s="132" customFormat="1" ht="91.5" customHeight="1" x14ac:dyDescent="0.2">
      <c r="A361" s="287"/>
      <c r="B361" s="430"/>
      <c r="C361" s="432"/>
      <c r="D361" s="432"/>
      <c r="E361" s="387">
        <v>4302</v>
      </c>
      <c r="F361" s="426" t="s">
        <v>1302</v>
      </c>
      <c r="G361" s="198" t="s">
        <v>1204</v>
      </c>
      <c r="H361" s="206">
        <v>4302075</v>
      </c>
      <c r="I361" s="426" t="s">
        <v>1205</v>
      </c>
      <c r="J361" s="198" t="s">
        <v>1206</v>
      </c>
      <c r="K361" s="203" t="s">
        <v>1207</v>
      </c>
      <c r="L361" s="151" t="s">
        <v>51</v>
      </c>
      <c r="M361" s="151">
        <v>25</v>
      </c>
      <c r="N361" s="427">
        <v>25</v>
      </c>
      <c r="O361" s="427">
        <v>26</v>
      </c>
      <c r="P361" s="428" t="s">
        <v>176</v>
      </c>
      <c r="Q361" s="427" t="s">
        <v>1208</v>
      </c>
      <c r="R361" s="388" t="s">
        <v>1209</v>
      </c>
      <c r="S361" s="2"/>
      <c r="T361" s="2"/>
      <c r="U361" s="2"/>
      <c r="V361" s="2"/>
      <c r="W361" s="2"/>
      <c r="X361" s="2"/>
      <c r="Y361" s="2"/>
      <c r="Z361" s="2"/>
      <c r="AA361" s="2"/>
      <c r="AB361" s="2"/>
      <c r="AC361" s="389">
        <v>110883174</v>
      </c>
      <c r="AD361" s="389">
        <v>102415591</v>
      </c>
      <c r="AE361" s="2"/>
      <c r="AF361" s="131">
        <f>+S361+T361+U361+V361+W361+X361+Y361+Z361+AA361+AB361+AC361+AD361+AE361</f>
        <v>213298765</v>
      </c>
      <c r="AH361" s="310"/>
    </row>
    <row r="362" spans="1:35" s="132" customFormat="1" ht="91.5" customHeight="1" x14ac:dyDescent="0.2">
      <c r="A362" s="287"/>
      <c r="B362" s="430"/>
      <c r="C362" s="432"/>
      <c r="D362" s="432"/>
      <c r="E362" s="387">
        <v>4302</v>
      </c>
      <c r="F362" s="426" t="s">
        <v>1302</v>
      </c>
      <c r="G362" s="198" t="s">
        <v>1204</v>
      </c>
      <c r="H362" s="206">
        <v>4302075</v>
      </c>
      <c r="I362" s="426" t="s">
        <v>1205</v>
      </c>
      <c r="J362" s="198" t="s">
        <v>1206</v>
      </c>
      <c r="K362" s="203" t="s">
        <v>1207</v>
      </c>
      <c r="L362" s="151" t="s">
        <v>51</v>
      </c>
      <c r="M362" s="151">
        <v>25</v>
      </c>
      <c r="N362" s="427">
        <v>25</v>
      </c>
      <c r="O362" s="427">
        <v>26</v>
      </c>
      <c r="P362" s="428" t="s">
        <v>176</v>
      </c>
      <c r="Q362" s="427" t="s">
        <v>1279</v>
      </c>
      <c r="R362" s="390" t="s">
        <v>1411</v>
      </c>
      <c r="S362" s="2"/>
      <c r="T362" s="2"/>
      <c r="U362" s="2"/>
      <c r="V362" s="2"/>
      <c r="W362" s="2"/>
      <c r="X362" s="2"/>
      <c r="Y362" s="2"/>
      <c r="Z362" s="2"/>
      <c r="AA362" s="2"/>
      <c r="AB362" s="2"/>
      <c r="AC362" s="131">
        <v>432942553</v>
      </c>
      <c r="AD362" s="389">
        <f>148924918+58059026+381763340</f>
        <v>588747284</v>
      </c>
      <c r="AE362" s="2"/>
      <c r="AF362" s="131">
        <f>+S362+T362+U362+V362+W362+X362+Y362+Z362+AA362+AB362+AC362+AD362+AE362</f>
        <v>1021689837</v>
      </c>
      <c r="AH362" s="310"/>
    </row>
    <row r="363" spans="1:35" s="132" customFormat="1" ht="97.5" customHeight="1" x14ac:dyDescent="0.2">
      <c r="A363" s="302"/>
      <c r="B363" s="431"/>
      <c r="C363" s="432"/>
      <c r="D363" s="432"/>
      <c r="E363" s="387">
        <v>4302</v>
      </c>
      <c r="F363" s="426" t="s">
        <v>1302</v>
      </c>
      <c r="G363" s="198" t="s">
        <v>1204</v>
      </c>
      <c r="H363" s="206">
        <v>4302075</v>
      </c>
      <c r="I363" s="426" t="s">
        <v>1205</v>
      </c>
      <c r="J363" s="198" t="s">
        <v>1210</v>
      </c>
      <c r="K363" s="203" t="s">
        <v>1211</v>
      </c>
      <c r="L363" s="151" t="s">
        <v>51</v>
      </c>
      <c r="M363" s="151">
        <v>1</v>
      </c>
      <c r="N363" s="427">
        <v>1</v>
      </c>
      <c r="O363" s="427">
        <v>1</v>
      </c>
      <c r="P363" s="428" t="s">
        <v>176</v>
      </c>
      <c r="Q363" s="427" t="s">
        <v>1303</v>
      </c>
      <c r="R363" s="426" t="s">
        <v>1213</v>
      </c>
      <c r="S363" s="2"/>
      <c r="T363" s="2"/>
      <c r="U363" s="2"/>
      <c r="V363" s="2"/>
      <c r="W363" s="2"/>
      <c r="X363" s="2"/>
      <c r="Y363" s="2"/>
      <c r="Z363" s="2"/>
      <c r="AA363" s="2"/>
      <c r="AB363" s="2"/>
      <c r="AC363" s="131">
        <v>30000000</v>
      </c>
      <c r="AD363" s="392"/>
      <c r="AE363" s="2"/>
      <c r="AF363" s="131">
        <f>+S363+T363+U363+V363+W363+X363+Y363+Z363+AA363+AB363+AC363+AD363+AE363</f>
        <v>30000000</v>
      </c>
      <c r="AH363" s="310"/>
    </row>
    <row r="364" spans="1:35" s="110" customFormat="1" ht="18" customHeight="1" x14ac:dyDescent="0.2">
      <c r="A364" s="135" t="s">
        <v>1214</v>
      </c>
      <c r="B364" s="135"/>
      <c r="C364" s="135"/>
      <c r="D364" s="136"/>
      <c r="E364" s="136"/>
      <c r="F364" s="137"/>
      <c r="G364" s="138"/>
      <c r="H364" s="90"/>
      <c r="I364" s="137"/>
      <c r="J364" s="138"/>
      <c r="K364" s="137"/>
      <c r="L364" s="90"/>
      <c r="M364" s="90"/>
      <c r="N364" s="138"/>
      <c r="O364" s="138"/>
      <c r="P364" s="275"/>
      <c r="Q364" s="138"/>
      <c r="R364" s="137"/>
      <c r="S364" s="119">
        <f t="shared" ref="S364:AF364" si="124">S365+S370+S378</f>
        <v>966927089.5</v>
      </c>
      <c r="T364" s="119">
        <f t="shared" si="124"/>
        <v>0</v>
      </c>
      <c r="U364" s="119">
        <f t="shared" si="124"/>
        <v>0</v>
      </c>
      <c r="V364" s="119">
        <f t="shared" si="124"/>
        <v>0</v>
      </c>
      <c r="W364" s="119">
        <f t="shared" si="124"/>
        <v>0</v>
      </c>
      <c r="X364" s="119">
        <f t="shared" si="124"/>
        <v>0</v>
      </c>
      <c r="Y364" s="119">
        <f t="shared" si="124"/>
        <v>0</v>
      </c>
      <c r="Z364" s="119">
        <f t="shared" si="124"/>
        <v>0</v>
      </c>
      <c r="AA364" s="119">
        <f t="shared" si="124"/>
        <v>0</v>
      </c>
      <c r="AB364" s="119">
        <f t="shared" si="124"/>
        <v>0</v>
      </c>
      <c r="AC364" s="119">
        <f t="shared" si="124"/>
        <v>0</v>
      </c>
      <c r="AD364" s="119">
        <f t="shared" si="124"/>
        <v>742152000</v>
      </c>
      <c r="AE364" s="119">
        <f t="shared" si="124"/>
        <v>0</v>
      </c>
      <c r="AF364" s="119">
        <f t="shared" si="124"/>
        <v>1709079089.5</v>
      </c>
      <c r="AG364" s="310"/>
      <c r="AH364" s="310"/>
      <c r="AI364" s="310"/>
    </row>
    <row r="365" spans="1:35" s="110" customFormat="1" ht="15.75" customHeight="1" x14ac:dyDescent="0.2">
      <c r="A365" s="299"/>
      <c r="B365" s="170">
        <v>1</v>
      </c>
      <c r="C365" s="93" t="s">
        <v>1</v>
      </c>
      <c r="D365" s="93"/>
      <c r="E365" s="93"/>
      <c r="F365" s="93"/>
      <c r="G365" s="94"/>
      <c r="H365" s="266"/>
      <c r="I365" s="95"/>
      <c r="J365" s="96"/>
      <c r="K365" s="95"/>
      <c r="L365" s="267"/>
      <c r="M365" s="267"/>
      <c r="N365" s="96"/>
      <c r="O365" s="96"/>
      <c r="P365" s="95"/>
      <c r="Q365" s="96"/>
      <c r="R365" s="95"/>
      <c r="S365" s="164">
        <f t="shared" ref="S365:AF365" si="125">S367+S369</f>
        <v>745140660</v>
      </c>
      <c r="T365" s="164">
        <f t="shared" si="125"/>
        <v>0</v>
      </c>
      <c r="U365" s="164">
        <f t="shared" si="125"/>
        <v>0</v>
      </c>
      <c r="V365" s="164">
        <f t="shared" si="125"/>
        <v>0</v>
      </c>
      <c r="W365" s="164">
        <f t="shared" si="125"/>
        <v>0</v>
      </c>
      <c r="X365" s="164">
        <f t="shared" si="125"/>
        <v>0</v>
      </c>
      <c r="Y365" s="164">
        <f t="shared" si="125"/>
        <v>0</v>
      </c>
      <c r="Z365" s="164">
        <f t="shared" si="125"/>
        <v>0</v>
      </c>
      <c r="AA365" s="164">
        <f t="shared" si="125"/>
        <v>0</v>
      </c>
      <c r="AB365" s="164">
        <f t="shared" si="125"/>
        <v>0</v>
      </c>
      <c r="AC365" s="164">
        <f t="shared" si="125"/>
        <v>0</v>
      </c>
      <c r="AD365" s="164">
        <f t="shared" si="125"/>
        <v>145520000</v>
      </c>
      <c r="AE365" s="164">
        <f t="shared" si="125"/>
        <v>0</v>
      </c>
      <c r="AF365" s="164">
        <f t="shared" si="125"/>
        <v>890660660</v>
      </c>
      <c r="AH365" s="310"/>
    </row>
    <row r="366" spans="1:35" s="110" customFormat="1" ht="15.75" x14ac:dyDescent="0.2">
      <c r="A366" s="284"/>
      <c r="B366" s="472"/>
      <c r="C366" s="126">
        <v>39</v>
      </c>
      <c r="D366" s="101">
        <v>4301</v>
      </c>
      <c r="E366" s="424" t="s">
        <v>170</v>
      </c>
      <c r="F366" s="100"/>
      <c r="G366" s="101"/>
      <c r="H366" s="143"/>
      <c r="I366" s="133"/>
      <c r="J366" s="165"/>
      <c r="K366" s="133"/>
      <c r="L366" s="166"/>
      <c r="M366" s="167"/>
      <c r="N366" s="101"/>
      <c r="O366" s="101"/>
      <c r="P366" s="133"/>
      <c r="Q366" s="165"/>
      <c r="R366" s="133"/>
      <c r="S366" s="168">
        <f t="shared" ref="S366:AF366" si="126">S367</f>
        <v>372570330</v>
      </c>
      <c r="T366" s="168">
        <f t="shared" si="126"/>
        <v>0</v>
      </c>
      <c r="U366" s="168">
        <f t="shared" si="126"/>
        <v>0</v>
      </c>
      <c r="V366" s="168">
        <f t="shared" si="126"/>
        <v>0</v>
      </c>
      <c r="W366" s="168">
        <f t="shared" si="126"/>
        <v>0</v>
      </c>
      <c r="X366" s="168">
        <f t="shared" si="126"/>
        <v>0</v>
      </c>
      <c r="Y366" s="168">
        <f t="shared" si="126"/>
        <v>0</v>
      </c>
      <c r="Z366" s="168">
        <f t="shared" si="126"/>
        <v>0</v>
      </c>
      <c r="AA366" s="168">
        <f t="shared" si="126"/>
        <v>0</v>
      </c>
      <c r="AB366" s="168">
        <f t="shared" si="126"/>
        <v>0</v>
      </c>
      <c r="AC366" s="168">
        <f t="shared" si="126"/>
        <v>0</v>
      </c>
      <c r="AD366" s="168">
        <f t="shared" si="126"/>
        <v>0</v>
      </c>
      <c r="AE366" s="168">
        <f t="shared" si="126"/>
        <v>0</v>
      </c>
      <c r="AF366" s="168">
        <f t="shared" si="126"/>
        <v>372570330</v>
      </c>
      <c r="AH366" s="310"/>
    </row>
    <row r="367" spans="1:35" s="110" customFormat="1" ht="197.25" customHeight="1" x14ac:dyDescent="0.2">
      <c r="A367" s="284"/>
      <c r="B367" s="473"/>
      <c r="C367" s="423"/>
      <c r="D367" s="421"/>
      <c r="E367" s="235">
        <v>4301</v>
      </c>
      <c r="F367" s="124" t="s">
        <v>171</v>
      </c>
      <c r="G367" s="272" t="s">
        <v>172</v>
      </c>
      <c r="H367" s="412" t="s">
        <v>45</v>
      </c>
      <c r="I367" s="6" t="s">
        <v>173</v>
      </c>
      <c r="J367" s="129" t="s">
        <v>174</v>
      </c>
      <c r="K367" s="6" t="s">
        <v>1393</v>
      </c>
      <c r="L367" s="412" t="s">
        <v>141</v>
      </c>
      <c r="M367" s="412">
        <v>12</v>
      </c>
      <c r="N367" s="129">
        <v>3</v>
      </c>
      <c r="O367" s="129">
        <v>5</v>
      </c>
      <c r="P367" s="410" t="s">
        <v>176</v>
      </c>
      <c r="Q367" s="412" t="s">
        <v>1215</v>
      </c>
      <c r="R367" s="437" t="s">
        <v>1363</v>
      </c>
      <c r="S367" s="128">
        <f>413967000-41396670</f>
        <v>372570330</v>
      </c>
      <c r="T367" s="2"/>
      <c r="U367" s="2"/>
      <c r="V367" s="2"/>
      <c r="W367" s="2"/>
      <c r="X367" s="2"/>
      <c r="Y367" s="2"/>
      <c r="Z367" s="2"/>
      <c r="AA367" s="2"/>
      <c r="AB367" s="2"/>
      <c r="AC367" s="20"/>
      <c r="AD367" s="268"/>
      <c r="AE367" s="2"/>
      <c r="AF367" s="106">
        <f>+S367+T367+U367+V367+W367+X367+Y367+Z367+AA367+AB367+AC367+AD367+AE367</f>
        <v>372570330</v>
      </c>
      <c r="AH367" s="310"/>
    </row>
    <row r="368" spans="1:35" s="110" customFormat="1" ht="15.75" customHeight="1" x14ac:dyDescent="0.2">
      <c r="A368" s="284"/>
      <c r="B368" s="440"/>
      <c r="C368" s="126">
        <v>15</v>
      </c>
      <c r="D368" s="101">
        <v>2201</v>
      </c>
      <c r="E368" s="424" t="s">
        <v>153</v>
      </c>
      <c r="F368" s="424"/>
      <c r="G368" s="104"/>
      <c r="H368" s="143"/>
      <c r="I368" s="100"/>
      <c r="J368" s="101"/>
      <c r="K368" s="100"/>
      <c r="L368" s="167"/>
      <c r="M368" s="167"/>
      <c r="N368" s="101"/>
      <c r="O368" s="101"/>
      <c r="P368" s="100"/>
      <c r="Q368" s="101"/>
      <c r="R368" s="100"/>
      <c r="S368" s="168">
        <f t="shared" ref="S368:AF368" si="127">S369</f>
        <v>372570330</v>
      </c>
      <c r="T368" s="168">
        <f t="shared" si="127"/>
        <v>0</v>
      </c>
      <c r="U368" s="168">
        <f t="shared" si="127"/>
        <v>0</v>
      </c>
      <c r="V368" s="168">
        <f t="shared" si="127"/>
        <v>0</v>
      </c>
      <c r="W368" s="168">
        <f t="shared" si="127"/>
        <v>0</v>
      </c>
      <c r="X368" s="168">
        <f t="shared" si="127"/>
        <v>0</v>
      </c>
      <c r="Y368" s="168">
        <f t="shared" si="127"/>
        <v>0</v>
      </c>
      <c r="Z368" s="168">
        <f t="shared" si="127"/>
        <v>0</v>
      </c>
      <c r="AA368" s="168">
        <f t="shared" si="127"/>
        <v>0</v>
      </c>
      <c r="AB368" s="168">
        <f t="shared" si="127"/>
        <v>0</v>
      </c>
      <c r="AC368" s="168">
        <f t="shared" si="127"/>
        <v>0</v>
      </c>
      <c r="AD368" s="168">
        <f t="shared" si="127"/>
        <v>145520000</v>
      </c>
      <c r="AE368" s="168">
        <f t="shared" si="127"/>
        <v>0</v>
      </c>
      <c r="AF368" s="168">
        <f t="shared" si="127"/>
        <v>518090330</v>
      </c>
      <c r="AH368" s="310"/>
    </row>
    <row r="369" spans="1:35" s="110" customFormat="1" ht="99.75" customHeight="1" x14ac:dyDescent="0.2">
      <c r="A369" s="284"/>
      <c r="B369" s="441"/>
      <c r="C369" s="423"/>
      <c r="D369" s="421"/>
      <c r="E369" s="235">
        <v>2201</v>
      </c>
      <c r="F369" s="411" t="s">
        <v>155</v>
      </c>
      <c r="G369" s="223" t="s">
        <v>156</v>
      </c>
      <c r="H369" s="129" t="s">
        <v>45</v>
      </c>
      <c r="I369" s="410" t="s">
        <v>157</v>
      </c>
      <c r="J369" s="427" t="s">
        <v>158</v>
      </c>
      <c r="K369" s="410" t="s">
        <v>159</v>
      </c>
      <c r="L369" s="412" t="s">
        <v>141</v>
      </c>
      <c r="M369" s="412">
        <v>54</v>
      </c>
      <c r="N369" s="412">
        <v>9</v>
      </c>
      <c r="O369" s="412">
        <v>15</v>
      </c>
      <c r="P369" s="438" t="s">
        <v>160</v>
      </c>
      <c r="Q369" s="412" t="s">
        <v>1215</v>
      </c>
      <c r="R369" s="437" t="s">
        <v>1363</v>
      </c>
      <c r="S369" s="128">
        <f>413967000-41396670</f>
        <v>372570330</v>
      </c>
      <c r="T369" s="2"/>
      <c r="U369" s="2"/>
      <c r="V369" s="2"/>
      <c r="W369" s="2"/>
      <c r="X369" s="2"/>
      <c r="Y369" s="2"/>
      <c r="Z369" s="2"/>
      <c r="AA369" s="2"/>
      <c r="AB369" s="2"/>
      <c r="AC369" s="20"/>
      <c r="AD369" s="2">
        <v>145520000</v>
      </c>
      <c r="AE369" s="5"/>
      <c r="AF369" s="106">
        <f>+S369+T369+U369+V369+W369+X369+Y369+Z369+AA369+AB369+AC369+AD369+AE369</f>
        <v>518090330</v>
      </c>
      <c r="AH369" s="310"/>
    </row>
    <row r="370" spans="1:35" s="110" customFormat="1" ht="15.75" customHeight="1" x14ac:dyDescent="0.2">
      <c r="A370" s="284"/>
      <c r="B370" s="170">
        <v>3</v>
      </c>
      <c r="C370" s="93" t="s">
        <v>3</v>
      </c>
      <c r="D370" s="93"/>
      <c r="E370" s="93"/>
      <c r="F370" s="93"/>
      <c r="G370" s="94"/>
      <c r="H370" s="266"/>
      <c r="I370" s="95"/>
      <c r="J370" s="96"/>
      <c r="K370" s="95"/>
      <c r="L370" s="267"/>
      <c r="M370" s="267"/>
      <c r="N370" s="96"/>
      <c r="O370" s="96"/>
      <c r="P370" s="95"/>
      <c r="Q370" s="96"/>
      <c r="R370" s="95"/>
      <c r="S370" s="164">
        <f t="shared" ref="S370:AF370" si="128">S371+S373</f>
        <v>221786429.5</v>
      </c>
      <c r="T370" s="164">
        <f t="shared" si="128"/>
        <v>0</v>
      </c>
      <c r="U370" s="164">
        <f t="shared" si="128"/>
        <v>0</v>
      </c>
      <c r="V370" s="164">
        <f t="shared" si="128"/>
        <v>0</v>
      </c>
      <c r="W370" s="164">
        <f t="shared" si="128"/>
        <v>0</v>
      </c>
      <c r="X370" s="164">
        <f t="shared" si="128"/>
        <v>0</v>
      </c>
      <c r="Y370" s="164">
        <f t="shared" si="128"/>
        <v>0</v>
      </c>
      <c r="Z370" s="164">
        <f t="shared" si="128"/>
        <v>0</v>
      </c>
      <c r="AA370" s="164">
        <f t="shared" si="128"/>
        <v>0</v>
      </c>
      <c r="AB370" s="164">
        <f t="shared" si="128"/>
        <v>0</v>
      </c>
      <c r="AC370" s="164">
        <f t="shared" si="128"/>
        <v>0</v>
      </c>
      <c r="AD370" s="164">
        <f t="shared" si="128"/>
        <v>407456000</v>
      </c>
      <c r="AE370" s="164">
        <f t="shared" si="128"/>
        <v>0</v>
      </c>
      <c r="AF370" s="164">
        <f t="shared" si="128"/>
        <v>629242429.5</v>
      </c>
      <c r="AH370" s="310"/>
    </row>
    <row r="371" spans="1:35" s="110" customFormat="1" ht="18.75" customHeight="1" x14ac:dyDescent="0.2">
      <c r="A371" s="284"/>
      <c r="B371" s="472"/>
      <c r="C371" s="126">
        <v>18</v>
      </c>
      <c r="D371" s="101">
        <v>2402</v>
      </c>
      <c r="E371" s="424" t="s">
        <v>194</v>
      </c>
      <c r="F371" s="424"/>
      <c r="G371" s="104"/>
      <c r="H371" s="143"/>
      <c r="I371" s="100"/>
      <c r="J371" s="101"/>
      <c r="K371" s="100"/>
      <c r="L371" s="167"/>
      <c r="M371" s="167"/>
      <c r="N371" s="101"/>
      <c r="O371" s="101"/>
      <c r="P371" s="100"/>
      <c r="Q371" s="101"/>
      <c r="R371" s="100"/>
      <c r="S371" s="168">
        <f t="shared" ref="S371:AF371" si="129">S372</f>
        <v>0</v>
      </c>
      <c r="T371" s="168">
        <f t="shared" si="129"/>
        <v>0</v>
      </c>
      <c r="U371" s="168">
        <f t="shared" si="129"/>
        <v>0</v>
      </c>
      <c r="V371" s="168">
        <f t="shared" si="129"/>
        <v>0</v>
      </c>
      <c r="W371" s="168">
        <f t="shared" si="129"/>
        <v>0</v>
      </c>
      <c r="X371" s="168">
        <f t="shared" si="129"/>
        <v>0</v>
      </c>
      <c r="Y371" s="168">
        <f t="shared" si="129"/>
        <v>0</v>
      </c>
      <c r="Z371" s="168">
        <f t="shared" si="129"/>
        <v>0</v>
      </c>
      <c r="AA371" s="168">
        <f t="shared" si="129"/>
        <v>0</v>
      </c>
      <c r="AB371" s="168">
        <f t="shared" si="129"/>
        <v>0</v>
      </c>
      <c r="AC371" s="168">
        <f t="shared" si="129"/>
        <v>0</v>
      </c>
      <c r="AD371" s="168">
        <f t="shared" si="129"/>
        <v>218280000</v>
      </c>
      <c r="AE371" s="168">
        <f t="shared" si="129"/>
        <v>0</v>
      </c>
      <c r="AF371" s="168">
        <f t="shared" si="129"/>
        <v>218280000</v>
      </c>
      <c r="AH371" s="310"/>
    </row>
    <row r="372" spans="1:35" s="110" customFormat="1" ht="82.5" customHeight="1" x14ac:dyDescent="0.2">
      <c r="A372" s="284"/>
      <c r="B372" s="473"/>
      <c r="C372" s="423"/>
      <c r="D372" s="421"/>
      <c r="E372" s="235">
        <v>2402</v>
      </c>
      <c r="F372" s="6" t="s">
        <v>1364</v>
      </c>
      <c r="G372" s="253" t="s">
        <v>195</v>
      </c>
      <c r="H372" s="129" t="s">
        <v>45</v>
      </c>
      <c r="I372" s="410" t="s">
        <v>196</v>
      </c>
      <c r="J372" s="412" t="s">
        <v>197</v>
      </c>
      <c r="K372" s="410" t="s">
        <v>1392</v>
      </c>
      <c r="L372" s="412" t="s">
        <v>51</v>
      </c>
      <c r="M372" s="412">
        <v>130</v>
      </c>
      <c r="N372" s="412">
        <v>130</v>
      </c>
      <c r="O372" s="412">
        <v>97</v>
      </c>
      <c r="P372" s="410" t="s">
        <v>198</v>
      </c>
      <c r="Q372" s="412" t="s">
        <v>1215</v>
      </c>
      <c r="R372" s="437" t="s">
        <v>1363</v>
      </c>
      <c r="S372" s="2"/>
      <c r="T372" s="2"/>
      <c r="U372" s="20"/>
      <c r="V372" s="2"/>
      <c r="W372" s="2"/>
      <c r="X372" s="2"/>
      <c r="Y372" s="2"/>
      <c r="Z372" s="2"/>
      <c r="AA372" s="2"/>
      <c r="AB372" s="2"/>
      <c r="AC372" s="20"/>
      <c r="AD372" s="268">
        <v>218280000</v>
      </c>
      <c r="AE372" s="2"/>
      <c r="AF372" s="106">
        <f>+S372+T372+U372+V372+W372+X372+Y372+Z372+AA372+AB372+AC372+AD372+AE372</f>
        <v>218280000</v>
      </c>
      <c r="AH372" s="310"/>
    </row>
    <row r="373" spans="1:35" s="110" customFormat="1" ht="15.75" customHeight="1" x14ac:dyDescent="0.2">
      <c r="A373" s="284"/>
      <c r="B373" s="440"/>
      <c r="C373" s="126">
        <v>33</v>
      </c>
      <c r="D373" s="101">
        <v>4001</v>
      </c>
      <c r="E373" s="424" t="s">
        <v>211</v>
      </c>
      <c r="F373" s="424"/>
      <c r="G373" s="104"/>
      <c r="H373" s="143"/>
      <c r="I373" s="100"/>
      <c r="J373" s="101"/>
      <c r="K373" s="100"/>
      <c r="L373" s="167"/>
      <c r="M373" s="167"/>
      <c r="N373" s="101"/>
      <c r="O373" s="101"/>
      <c r="P373" s="100"/>
      <c r="Q373" s="101"/>
      <c r="R373" s="100"/>
      <c r="S373" s="168">
        <f t="shared" ref="S373:AF373" si="130">SUM(S374:S377)</f>
        <v>221786429.5</v>
      </c>
      <c r="T373" s="168">
        <f t="shared" si="130"/>
        <v>0</v>
      </c>
      <c r="U373" s="168">
        <f t="shared" si="130"/>
        <v>0</v>
      </c>
      <c r="V373" s="168">
        <f t="shared" si="130"/>
        <v>0</v>
      </c>
      <c r="W373" s="168">
        <f t="shared" si="130"/>
        <v>0</v>
      </c>
      <c r="X373" s="168">
        <f t="shared" si="130"/>
        <v>0</v>
      </c>
      <c r="Y373" s="168">
        <f t="shared" si="130"/>
        <v>0</v>
      </c>
      <c r="Z373" s="168">
        <f t="shared" si="130"/>
        <v>0</v>
      </c>
      <c r="AA373" s="168">
        <f t="shared" si="130"/>
        <v>0</v>
      </c>
      <c r="AB373" s="168">
        <f t="shared" si="130"/>
        <v>0</v>
      </c>
      <c r="AC373" s="168">
        <f t="shared" si="130"/>
        <v>0</v>
      </c>
      <c r="AD373" s="168">
        <f t="shared" si="130"/>
        <v>189176000</v>
      </c>
      <c r="AE373" s="168">
        <f t="shared" si="130"/>
        <v>0</v>
      </c>
      <c r="AF373" s="168">
        <f t="shared" si="130"/>
        <v>410962429.5</v>
      </c>
      <c r="AH373" s="310"/>
    </row>
    <row r="374" spans="1:35" s="110" customFormat="1" ht="58.5" customHeight="1" x14ac:dyDescent="0.2">
      <c r="A374" s="284"/>
      <c r="B374" s="474"/>
      <c r="C374" s="476"/>
      <c r="D374" s="421"/>
      <c r="E374" s="235">
        <v>4001</v>
      </c>
      <c r="F374" s="410" t="s">
        <v>1325</v>
      </c>
      <c r="G374" s="326" t="s">
        <v>1217</v>
      </c>
      <c r="H374" s="169">
        <v>4001001</v>
      </c>
      <c r="I374" s="410" t="s">
        <v>1218</v>
      </c>
      <c r="J374" s="195" t="s">
        <v>1219</v>
      </c>
      <c r="K374" s="200" t="s">
        <v>1220</v>
      </c>
      <c r="L374" s="412" t="s">
        <v>1300</v>
      </c>
      <c r="M374" s="412">
        <v>12</v>
      </c>
      <c r="N374" s="427">
        <v>3</v>
      </c>
      <c r="O374" s="427">
        <v>3</v>
      </c>
      <c r="P374" s="469" t="s">
        <v>1221</v>
      </c>
      <c r="Q374" s="470" t="s">
        <v>1215</v>
      </c>
      <c r="R374" s="468" t="s">
        <v>1363</v>
      </c>
      <c r="S374" s="128"/>
      <c r="T374" s="2"/>
      <c r="U374" s="2"/>
      <c r="V374" s="2"/>
      <c r="W374" s="2"/>
      <c r="X374" s="2"/>
      <c r="Y374" s="2"/>
      <c r="Z374" s="2"/>
      <c r="AA374" s="2"/>
      <c r="AB374" s="2"/>
      <c r="AC374" s="20"/>
      <c r="AD374" s="243">
        <v>89176000</v>
      </c>
      <c r="AE374" s="5"/>
      <c r="AF374" s="106">
        <f>+S374+T374+U374+V374+W374+X374+Y374+Z374+AA374+AB374+AC374+AD374+AE374</f>
        <v>89176000</v>
      </c>
      <c r="AH374" s="310"/>
    </row>
    <row r="375" spans="1:35" s="110" customFormat="1" ht="58.5" customHeight="1" x14ac:dyDescent="0.2">
      <c r="A375" s="284"/>
      <c r="B375" s="474"/>
      <c r="C375" s="476"/>
      <c r="D375" s="421"/>
      <c r="E375" s="235">
        <v>4001</v>
      </c>
      <c r="F375" s="410" t="s">
        <v>1365</v>
      </c>
      <c r="G375" s="326" t="s">
        <v>1222</v>
      </c>
      <c r="H375" s="169">
        <v>4001017</v>
      </c>
      <c r="I375" s="410" t="s">
        <v>1366</v>
      </c>
      <c r="J375" s="195" t="s">
        <v>1223</v>
      </c>
      <c r="K375" s="200" t="s">
        <v>1224</v>
      </c>
      <c r="L375" s="412" t="s">
        <v>141</v>
      </c>
      <c r="M375" s="412">
        <v>100</v>
      </c>
      <c r="N375" s="427">
        <v>25</v>
      </c>
      <c r="O375" s="427">
        <v>0</v>
      </c>
      <c r="P375" s="469"/>
      <c r="Q375" s="470"/>
      <c r="R375" s="468"/>
      <c r="S375" s="128"/>
      <c r="T375" s="2"/>
      <c r="U375" s="2"/>
      <c r="V375" s="2"/>
      <c r="W375" s="2"/>
      <c r="X375" s="2"/>
      <c r="Y375" s="2"/>
      <c r="Z375" s="2"/>
      <c r="AA375" s="2"/>
      <c r="AB375" s="2"/>
      <c r="AC375" s="20"/>
      <c r="AD375" s="243">
        <v>100000000</v>
      </c>
      <c r="AE375" s="5"/>
      <c r="AF375" s="106">
        <f>+S375+T375+U375+V375+W375+X375+Y375+Z375+AA375+AB375+AC375+AD375+AE375</f>
        <v>100000000</v>
      </c>
      <c r="AH375" s="310"/>
    </row>
    <row r="376" spans="1:35" s="110" customFormat="1" ht="58.5" customHeight="1" x14ac:dyDescent="0.2">
      <c r="A376" s="284"/>
      <c r="B376" s="474"/>
      <c r="C376" s="476"/>
      <c r="D376" s="421"/>
      <c r="E376" s="235">
        <v>4001</v>
      </c>
      <c r="F376" s="410" t="s">
        <v>1325</v>
      </c>
      <c r="G376" s="326" t="s">
        <v>1225</v>
      </c>
      <c r="H376" s="169">
        <v>4001018</v>
      </c>
      <c r="I376" s="410" t="s">
        <v>1226</v>
      </c>
      <c r="J376" s="195" t="s">
        <v>1227</v>
      </c>
      <c r="K376" s="200" t="s">
        <v>1228</v>
      </c>
      <c r="L376" s="412" t="s">
        <v>141</v>
      </c>
      <c r="M376" s="412">
        <v>300</v>
      </c>
      <c r="N376" s="427">
        <v>75</v>
      </c>
      <c r="O376" s="427">
        <v>52</v>
      </c>
      <c r="P376" s="469"/>
      <c r="Q376" s="470"/>
      <c r="R376" s="468"/>
      <c r="S376" s="128">
        <v>170814443.5</v>
      </c>
      <c r="T376" s="2"/>
      <c r="U376" s="2"/>
      <c r="V376" s="2"/>
      <c r="W376" s="2"/>
      <c r="X376" s="2"/>
      <c r="Y376" s="2"/>
      <c r="Z376" s="2"/>
      <c r="AA376" s="2"/>
      <c r="AB376" s="2"/>
      <c r="AC376" s="20"/>
      <c r="AD376" s="243"/>
      <c r="AE376" s="5"/>
      <c r="AF376" s="106">
        <f>+S376+T376+U376+V376+W376+X376+Y376+Z376+AA376+AB376+AC376+AD376+AE376</f>
        <v>170814443.5</v>
      </c>
      <c r="AH376" s="310"/>
    </row>
    <row r="377" spans="1:35" s="110" customFormat="1" ht="43.5" customHeight="1" x14ac:dyDescent="0.2">
      <c r="A377" s="284"/>
      <c r="B377" s="475"/>
      <c r="C377" s="476"/>
      <c r="D377" s="421"/>
      <c r="E377" s="235">
        <v>4001</v>
      </c>
      <c r="F377" s="410" t="s">
        <v>1325</v>
      </c>
      <c r="G377" s="326" t="s">
        <v>1229</v>
      </c>
      <c r="H377" s="169">
        <v>4001030</v>
      </c>
      <c r="I377" s="410" t="s">
        <v>1230</v>
      </c>
      <c r="J377" s="195" t="s">
        <v>1231</v>
      </c>
      <c r="K377" s="200" t="s">
        <v>241</v>
      </c>
      <c r="L377" s="412" t="s">
        <v>1300</v>
      </c>
      <c r="M377" s="412">
        <v>12</v>
      </c>
      <c r="N377" s="427">
        <v>3</v>
      </c>
      <c r="O377" s="427">
        <v>0</v>
      </c>
      <c r="P377" s="469"/>
      <c r="Q377" s="470"/>
      <c r="R377" s="468"/>
      <c r="S377" s="128">
        <v>50971986</v>
      </c>
      <c r="T377" s="2"/>
      <c r="U377" s="2"/>
      <c r="V377" s="2"/>
      <c r="W377" s="2"/>
      <c r="X377" s="2"/>
      <c r="Y377" s="2"/>
      <c r="Z377" s="2"/>
      <c r="AA377" s="2"/>
      <c r="AB377" s="2"/>
      <c r="AC377" s="420"/>
      <c r="AD377" s="243"/>
      <c r="AE377" s="5"/>
      <c r="AF377" s="106">
        <f>+S377+T377+U377+V377+W377+X377+Y377+Z377+AA377+AB377+AC377+AD377+AE377</f>
        <v>50971986</v>
      </c>
      <c r="AH377" s="310"/>
    </row>
    <row r="378" spans="1:35" s="110" customFormat="1" ht="15.75" customHeight="1" x14ac:dyDescent="0.2">
      <c r="A378" s="284"/>
      <c r="B378" s="170">
        <v>4</v>
      </c>
      <c r="C378" s="93" t="s">
        <v>70</v>
      </c>
      <c r="D378" s="93"/>
      <c r="E378" s="93"/>
      <c r="F378" s="93"/>
      <c r="G378" s="94"/>
      <c r="H378" s="266"/>
      <c r="I378" s="95"/>
      <c r="J378" s="96"/>
      <c r="K378" s="95"/>
      <c r="L378" s="267"/>
      <c r="M378" s="267"/>
      <c r="N378" s="96"/>
      <c r="O378" s="96"/>
      <c r="P378" s="95"/>
      <c r="Q378" s="96"/>
      <c r="R378" s="95"/>
      <c r="S378" s="164">
        <f t="shared" ref="S378:AC379" si="131">S379</f>
        <v>0</v>
      </c>
      <c r="T378" s="164">
        <f t="shared" si="131"/>
        <v>0</v>
      </c>
      <c r="U378" s="164">
        <f t="shared" si="131"/>
        <v>0</v>
      </c>
      <c r="V378" s="164">
        <f t="shared" si="131"/>
        <v>0</v>
      </c>
      <c r="W378" s="164">
        <f t="shared" si="131"/>
        <v>0</v>
      </c>
      <c r="X378" s="164">
        <f t="shared" si="131"/>
        <v>0</v>
      </c>
      <c r="Y378" s="164">
        <f t="shared" si="131"/>
        <v>0</v>
      </c>
      <c r="Z378" s="164">
        <f t="shared" si="131"/>
        <v>0</v>
      </c>
      <c r="AA378" s="164">
        <f t="shared" si="131"/>
        <v>0</v>
      </c>
      <c r="AB378" s="164">
        <f t="shared" si="131"/>
        <v>0</v>
      </c>
      <c r="AC378" s="164">
        <f t="shared" si="131"/>
        <v>0</v>
      </c>
      <c r="AD378" s="164">
        <f t="shared" ref="AD378:AE379" si="132">AD379</f>
        <v>189176000</v>
      </c>
      <c r="AE378" s="164">
        <f t="shared" si="132"/>
        <v>0</v>
      </c>
      <c r="AF378" s="164">
        <f t="shared" ref="AF378:AF379" si="133">AF379</f>
        <v>189176000</v>
      </c>
      <c r="AH378" s="310"/>
    </row>
    <row r="379" spans="1:35" s="110" customFormat="1" ht="15.75" customHeight="1" x14ac:dyDescent="0.2">
      <c r="A379" s="284"/>
      <c r="B379" s="439"/>
      <c r="C379" s="126">
        <v>45</v>
      </c>
      <c r="D379" s="101" t="s">
        <v>45</v>
      </c>
      <c r="E379" s="424" t="s">
        <v>46</v>
      </c>
      <c r="F379" s="424"/>
      <c r="G379" s="104"/>
      <c r="H379" s="143"/>
      <c r="I379" s="100"/>
      <c r="J379" s="101"/>
      <c r="K379" s="100"/>
      <c r="L379" s="167"/>
      <c r="M379" s="167"/>
      <c r="N379" s="101"/>
      <c r="O379" s="101"/>
      <c r="P379" s="100"/>
      <c r="Q379" s="101"/>
      <c r="R379" s="100"/>
      <c r="S379" s="168">
        <f t="shared" si="131"/>
        <v>0</v>
      </c>
      <c r="T379" s="168">
        <f t="shared" si="131"/>
        <v>0</v>
      </c>
      <c r="U379" s="168">
        <f t="shared" si="131"/>
        <v>0</v>
      </c>
      <c r="V379" s="168">
        <f t="shared" si="131"/>
        <v>0</v>
      </c>
      <c r="W379" s="168">
        <f t="shared" si="131"/>
        <v>0</v>
      </c>
      <c r="X379" s="168">
        <f t="shared" si="131"/>
        <v>0</v>
      </c>
      <c r="Y379" s="168">
        <f t="shared" si="131"/>
        <v>0</v>
      </c>
      <c r="Z379" s="168">
        <f t="shared" si="131"/>
        <v>0</v>
      </c>
      <c r="AA379" s="168">
        <f t="shared" si="131"/>
        <v>0</v>
      </c>
      <c r="AB379" s="168">
        <f t="shared" si="131"/>
        <v>0</v>
      </c>
      <c r="AC379" s="168">
        <f t="shared" si="131"/>
        <v>0</v>
      </c>
      <c r="AD379" s="168">
        <f t="shared" si="132"/>
        <v>189176000</v>
      </c>
      <c r="AE379" s="168">
        <f t="shared" si="132"/>
        <v>0</v>
      </c>
      <c r="AF379" s="168">
        <f t="shared" si="133"/>
        <v>189176000</v>
      </c>
      <c r="AH379" s="310"/>
    </row>
    <row r="380" spans="1:35" s="110" customFormat="1" ht="112.5" customHeight="1" x14ac:dyDescent="0.2">
      <c r="A380" s="301"/>
      <c r="B380" s="441"/>
      <c r="C380" s="423"/>
      <c r="D380" s="421"/>
      <c r="E380" s="235" t="s">
        <v>45</v>
      </c>
      <c r="F380" s="411" t="s">
        <v>47</v>
      </c>
      <c r="G380" s="273" t="s">
        <v>242</v>
      </c>
      <c r="H380" s="129" t="s">
        <v>45</v>
      </c>
      <c r="I380" s="9" t="s">
        <v>1367</v>
      </c>
      <c r="J380" s="247" t="s">
        <v>244</v>
      </c>
      <c r="K380" s="9" t="s">
        <v>245</v>
      </c>
      <c r="L380" s="412" t="s">
        <v>51</v>
      </c>
      <c r="M380" s="412">
        <v>4</v>
      </c>
      <c r="N380" s="129">
        <v>4</v>
      </c>
      <c r="O380" s="129">
        <v>16</v>
      </c>
      <c r="P380" s="411" t="s">
        <v>52</v>
      </c>
      <c r="Q380" s="412" t="s">
        <v>1215</v>
      </c>
      <c r="R380" s="437" t="s">
        <v>1363</v>
      </c>
      <c r="S380" s="128"/>
      <c r="T380" s="2"/>
      <c r="U380" s="2"/>
      <c r="V380" s="2"/>
      <c r="W380" s="2"/>
      <c r="X380" s="2"/>
      <c r="Y380" s="2"/>
      <c r="Z380" s="2"/>
      <c r="AA380" s="2"/>
      <c r="AB380" s="2"/>
      <c r="AC380" s="20"/>
      <c r="AD380" s="243">
        <f>218280000-29104000</f>
        <v>189176000</v>
      </c>
      <c r="AE380" s="5"/>
      <c r="AF380" s="106">
        <f>+S380+T380+U380+V380+W380+X380+Y380+Z380+AA380+AB380+AC380+AD380+AE380</f>
        <v>189176000</v>
      </c>
      <c r="AH380" s="310"/>
    </row>
    <row r="381" spans="1:35" ht="15.75" x14ac:dyDescent="0.2">
      <c r="A381" s="135" t="s">
        <v>1232</v>
      </c>
      <c r="B381" s="135"/>
      <c r="C381" s="135"/>
      <c r="D381" s="136"/>
      <c r="E381" s="136"/>
      <c r="F381" s="137"/>
      <c r="G381" s="138"/>
      <c r="H381" s="90"/>
      <c r="I381" s="137"/>
      <c r="J381" s="138"/>
      <c r="K381" s="137"/>
      <c r="L381" s="90"/>
      <c r="M381" s="90"/>
      <c r="N381" s="138"/>
      <c r="O381" s="138"/>
      <c r="P381" s="275"/>
      <c r="Q381" s="138"/>
      <c r="R381" s="137"/>
      <c r="S381" s="119">
        <f t="shared" ref="S381:AC382" si="134">S382</f>
        <v>0</v>
      </c>
      <c r="T381" s="119">
        <f t="shared" si="134"/>
        <v>0</v>
      </c>
      <c r="U381" s="119">
        <f t="shared" si="134"/>
        <v>0</v>
      </c>
      <c r="V381" s="119">
        <f t="shared" si="134"/>
        <v>0</v>
      </c>
      <c r="W381" s="119">
        <f t="shared" si="134"/>
        <v>0</v>
      </c>
      <c r="X381" s="119">
        <f t="shared" si="134"/>
        <v>0</v>
      </c>
      <c r="Y381" s="119">
        <f t="shared" si="134"/>
        <v>0</v>
      </c>
      <c r="Z381" s="119">
        <f t="shared" si="134"/>
        <v>0</v>
      </c>
      <c r="AA381" s="119">
        <f t="shared" si="134"/>
        <v>0</v>
      </c>
      <c r="AB381" s="119">
        <f t="shared" si="134"/>
        <v>0</v>
      </c>
      <c r="AC381" s="119">
        <f t="shared" si="134"/>
        <v>0</v>
      </c>
      <c r="AD381" s="119">
        <f t="shared" ref="AD381:AE382" si="135">AD382</f>
        <v>107000000</v>
      </c>
      <c r="AE381" s="119">
        <f t="shared" si="135"/>
        <v>0</v>
      </c>
      <c r="AF381" s="119">
        <f t="shared" ref="AF381:AF382" si="136">AF382</f>
        <v>107000000</v>
      </c>
      <c r="AG381" s="310"/>
      <c r="AH381" s="310"/>
      <c r="AI381" s="310"/>
    </row>
    <row r="382" spans="1:35" ht="15.75" x14ac:dyDescent="0.2">
      <c r="A382" s="283"/>
      <c r="B382" s="170">
        <v>3</v>
      </c>
      <c r="C382" s="93" t="s">
        <v>1233</v>
      </c>
      <c r="D382" s="94"/>
      <c r="E382" s="94"/>
      <c r="F382" s="95"/>
      <c r="G382" s="96"/>
      <c r="H382" s="266"/>
      <c r="I382" s="95"/>
      <c r="J382" s="96"/>
      <c r="K382" s="95"/>
      <c r="L382" s="267"/>
      <c r="M382" s="267"/>
      <c r="N382" s="96"/>
      <c r="O382" s="96"/>
      <c r="P382" s="95"/>
      <c r="Q382" s="96"/>
      <c r="R382" s="95"/>
      <c r="S382" s="164">
        <f t="shared" si="134"/>
        <v>0</v>
      </c>
      <c r="T382" s="164">
        <f t="shared" si="134"/>
        <v>0</v>
      </c>
      <c r="U382" s="164">
        <f t="shared" si="134"/>
        <v>0</v>
      </c>
      <c r="V382" s="164">
        <f t="shared" si="134"/>
        <v>0</v>
      </c>
      <c r="W382" s="164">
        <f t="shared" si="134"/>
        <v>0</v>
      </c>
      <c r="X382" s="164">
        <f t="shared" si="134"/>
        <v>0</v>
      </c>
      <c r="Y382" s="164">
        <f t="shared" si="134"/>
        <v>0</v>
      </c>
      <c r="Z382" s="164">
        <f t="shared" si="134"/>
        <v>0</v>
      </c>
      <c r="AA382" s="164">
        <f t="shared" si="134"/>
        <v>0</v>
      </c>
      <c r="AB382" s="164">
        <f t="shared" si="134"/>
        <v>0</v>
      </c>
      <c r="AC382" s="164">
        <f t="shared" si="134"/>
        <v>0</v>
      </c>
      <c r="AD382" s="164">
        <f t="shared" si="135"/>
        <v>107000000</v>
      </c>
      <c r="AE382" s="164">
        <f t="shared" si="135"/>
        <v>0</v>
      </c>
      <c r="AF382" s="164">
        <f t="shared" si="136"/>
        <v>107000000</v>
      </c>
      <c r="AH382" s="310"/>
    </row>
    <row r="383" spans="1:35" ht="15.75" x14ac:dyDescent="0.2">
      <c r="A383" s="281"/>
      <c r="B383" s="433"/>
      <c r="C383" s="126">
        <v>19</v>
      </c>
      <c r="D383" s="126">
        <v>2409</v>
      </c>
      <c r="E383" s="424" t="s">
        <v>1234</v>
      </c>
      <c r="F383" s="100"/>
      <c r="G383" s="101"/>
      <c r="H383" s="102"/>
      <c r="I383" s="100"/>
      <c r="J383" s="101"/>
      <c r="K383" s="100"/>
      <c r="L383" s="167"/>
      <c r="M383" s="167"/>
      <c r="N383" s="101"/>
      <c r="O383" s="101"/>
      <c r="P383" s="100"/>
      <c r="Q383" s="101"/>
      <c r="R383" s="100"/>
      <c r="S383" s="168">
        <f t="shared" ref="S383:AF383" si="137">SUM(S384:S387)</f>
        <v>0</v>
      </c>
      <c r="T383" s="168">
        <f t="shared" si="137"/>
        <v>0</v>
      </c>
      <c r="U383" s="168">
        <f t="shared" si="137"/>
        <v>0</v>
      </c>
      <c r="V383" s="168">
        <f t="shared" si="137"/>
        <v>0</v>
      </c>
      <c r="W383" s="168">
        <f t="shared" si="137"/>
        <v>0</v>
      </c>
      <c r="X383" s="168">
        <f t="shared" si="137"/>
        <v>0</v>
      </c>
      <c r="Y383" s="168">
        <f t="shared" si="137"/>
        <v>0</v>
      </c>
      <c r="Z383" s="168">
        <f t="shared" si="137"/>
        <v>0</v>
      </c>
      <c r="AA383" s="168">
        <f t="shared" si="137"/>
        <v>0</v>
      </c>
      <c r="AB383" s="168">
        <f t="shared" si="137"/>
        <v>0</v>
      </c>
      <c r="AC383" s="168">
        <f t="shared" si="137"/>
        <v>0</v>
      </c>
      <c r="AD383" s="168">
        <f t="shared" si="137"/>
        <v>107000000</v>
      </c>
      <c r="AE383" s="168">
        <f t="shared" si="137"/>
        <v>0</v>
      </c>
      <c r="AF383" s="168">
        <f t="shared" si="137"/>
        <v>107000000</v>
      </c>
      <c r="AH383" s="310"/>
    </row>
    <row r="384" spans="1:35" ht="111" customHeight="1" x14ac:dyDescent="0.2">
      <c r="A384" s="281"/>
      <c r="B384" s="434"/>
      <c r="C384" s="88"/>
      <c r="D384" s="256"/>
      <c r="E384" s="412">
        <v>2409</v>
      </c>
      <c r="F384" s="410" t="s">
        <v>1408</v>
      </c>
      <c r="G384" s="212" t="s">
        <v>1235</v>
      </c>
      <c r="H384" s="412" t="s">
        <v>45</v>
      </c>
      <c r="I384" s="411" t="s">
        <v>1236</v>
      </c>
      <c r="J384" s="212" t="s">
        <v>1237</v>
      </c>
      <c r="K384" s="202" t="s">
        <v>1238</v>
      </c>
      <c r="L384" s="412" t="s">
        <v>51</v>
      </c>
      <c r="M384" s="412">
        <v>1</v>
      </c>
      <c r="N384" s="316">
        <v>1</v>
      </c>
      <c r="O384" s="316" t="s">
        <v>1413</v>
      </c>
      <c r="P384" s="469" t="s">
        <v>1239</v>
      </c>
      <c r="Q384" s="470" t="s">
        <v>1240</v>
      </c>
      <c r="R384" s="471" t="s">
        <v>1241</v>
      </c>
      <c r="S384" s="2"/>
      <c r="T384" s="2"/>
      <c r="U384" s="2"/>
      <c r="V384" s="2"/>
      <c r="W384" s="2"/>
      <c r="X384" s="2"/>
      <c r="Y384" s="2"/>
      <c r="Z384" s="2"/>
      <c r="AA384" s="2"/>
      <c r="AB384" s="2"/>
      <c r="AC384" s="20"/>
      <c r="AD384" s="20">
        <v>26400000</v>
      </c>
      <c r="AE384" s="2"/>
      <c r="AF384" s="106">
        <f>+S384+T384+U384+V384+W384+X384+Y384+Z384+AA384+AB384+AC384+AD384+AE384</f>
        <v>26400000</v>
      </c>
      <c r="AH384" s="310"/>
    </row>
    <row r="385" spans="1:34" ht="105" customHeight="1" x14ac:dyDescent="0.2">
      <c r="A385" s="281"/>
      <c r="B385" s="434"/>
      <c r="C385" s="88"/>
      <c r="D385" s="256"/>
      <c r="E385" s="412">
        <v>2409</v>
      </c>
      <c r="F385" s="410" t="s">
        <v>1408</v>
      </c>
      <c r="G385" s="212" t="s">
        <v>1242</v>
      </c>
      <c r="H385" s="412" t="s">
        <v>45</v>
      </c>
      <c r="I385" s="411" t="s">
        <v>1243</v>
      </c>
      <c r="J385" s="212" t="s">
        <v>1244</v>
      </c>
      <c r="K385" s="202" t="s">
        <v>1245</v>
      </c>
      <c r="L385" s="412" t="s">
        <v>51</v>
      </c>
      <c r="M385" s="412">
        <v>1</v>
      </c>
      <c r="N385" s="316">
        <v>1</v>
      </c>
      <c r="O385" s="271" t="s">
        <v>1414</v>
      </c>
      <c r="P385" s="469"/>
      <c r="Q385" s="470"/>
      <c r="R385" s="471"/>
      <c r="S385" s="2"/>
      <c r="T385" s="11"/>
      <c r="U385" s="11"/>
      <c r="V385" s="11"/>
      <c r="W385" s="11"/>
      <c r="X385" s="11"/>
      <c r="Y385" s="11"/>
      <c r="Z385" s="11"/>
      <c r="AA385" s="11"/>
      <c r="AB385" s="11"/>
      <c r="AC385" s="269"/>
      <c r="AD385" s="269">
        <v>8400000</v>
      </c>
      <c r="AE385" s="11"/>
      <c r="AF385" s="106">
        <f>+S385+T385+U385+V385+W385+X385+Y385+Z385+AA385+AB385+AC385+AD385+AE385</f>
        <v>8400000</v>
      </c>
      <c r="AH385" s="310"/>
    </row>
    <row r="386" spans="1:34" ht="72.75" customHeight="1" x14ac:dyDescent="0.2">
      <c r="A386" s="281"/>
      <c r="B386" s="434"/>
      <c r="C386" s="88"/>
      <c r="D386" s="256"/>
      <c r="E386" s="412">
        <v>2409</v>
      </c>
      <c r="F386" s="410" t="s">
        <v>1408</v>
      </c>
      <c r="G386" s="212" t="s">
        <v>1246</v>
      </c>
      <c r="H386" s="412" t="s">
        <v>45</v>
      </c>
      <c r="I386" s="411" t="s">
        <v>1247</v>
      </c>
      <c r="J386" s="212" t="s">
        <v>1248</v>
      </c>
      <c r="K386" s="202" t="s">
        <v>1249</v>
      </c>
      <c r="L386" s="412" t="s">
        <v>51</v>
      </c>
      <c r="M386" s="412">
        <v>1</v>
      </c>
      <c r="N386" s="316">
        <v>1</v>
      </c>
      <c r="O386" s="316" t="s">
        <v>1413</v>
      </c>
      <c r="P386" s="469"/>
      <c r="Q386" s="470"/>
      <c r="R386" s="471"/>
      <c r="S386" s="2"/>
      <c r="T386" s="11"/>
      <c r="U386" s="11"/>
      <c r="V386" s="11"/>
      <c r="W386" s="11"/>
      <c r="X386" s="11"/>
      <c r="Y386" s="11"/>
      <c r="Z386" s="11"/>
      <c r="AA386" s="11"/>
      <c r="AB386" s="11"/>
      <c r="AC386" s="269"/>
      <c r="AD386" s="269">
        <v>25200000</v>
      </c>
      <c r="AE386" s="11"/>
      <c r="AF386" s="106">
        <f>+S386+T386+U386+V386+W386+X386+Y386+Z386+AA386+AB386+AC386+AD386+AE386</f>
        <v>25200000</v>
      </c>
      <c r="AH386" s="310"/>
    </row>
    <row r="387" spans="1:34" ht="84.75" customHeight="1" x14ac:dyDescent="0.2">
      <c r="A387" s="282"/>
      <c r="B387" s="441"/>
      <c r="C387" s="88"/>
      <c r="D387" s="256"/>
      <c r="E387" s="412">
        <v>2409</v>
      </c>
      <c r="F387" s="410" t="s">
        <v>1408</v>
      </c>
      <c r="G387" s="212" t="s">
        <v>1250</v>
      </c>
      <c r="H387" s="412" t="s">
        <v>45</v>
      </c>
      <c r="I387" s="411" t="s">
        <v>1251</v>
      </c>
      <c r="J387" s="212" t="s">
        <v>1252</v>
      </c>
      <c r="K387" s="202" t="s">
        <v>1253</v>
      </c>
      <c r="L387" s="412" t="s">
        <v>51</v>
      </c>
      <c r="M387" s="412">
        <v>1</v>
      </c>
      <c r="N387" s="316">
        <v>1</v>
      </c>
      <c r="O387" s="271" t="s">
        <v>1415</v>
      </c>
      <c r="P387" s="469"/>
      <c r="Q387" s="470"/>
      <c r="R387" s="471"/>
      <c r="S387" s="11"/>
      <c r="T387" s="11"/>
      <c r="U387" s="11"/>
      <c r="V387" s="11"/>
      <c r="W387" s="11"/>
      <c r="X387" s="11"/>
      <c r="Y387" s="11"/>
      <c r="Z387" s="11"/>
      <c r="AA387" s="11"/>
      <c r="AB387" s="11"/>
      <c r="AC387" s="269"/>
      <c r="AD387" s="269">
        <v>47000000</v>
      </c>
      <c r="AE387" s="11"/>
      <c r="AF387" s="106">
        <f>+S387+T387+U387+V387+W387+X387+Y387+Z387+AA387+AB387+AC387+AD387+AE387</f>
        <v>47000000</v>
      </c>
      <c r="AH387" s="310"/>
    </row>
    <row r="388" spans="1:34" s="307" customFormat="1" ht="28.5" customHeight="1" x14ac:dyDescent="0.25">
      <c r="A388" s="415" t="s">
        <v>1254</v>
      </c>
      <c r="B388" s="415"/>
      <c r="C388" s="415"/>
      <c r="D388" s="303"/>
      <c r="E388" s="304"/>
      <c r="F388" s="305"/>
      <c r="G388" s="233"/>
      <c r="H388" s="304"/>
      <c r="I388" s="305"/>
      <c r="J388" s="233"/>
      <c r="K388" s="305"/>
      <c r="L388" s="304"/>
      <c r="M388" s="304"/>
      <c r="N388" s="233"/>
      <c r="O388" s="233"/>
      <c r="P388" s="304"/>
      <c r="Q388" s="306"/>
      <c r="R388" s="305"/>
      <c r="S388" s="308">
        <f t="shared" ref="S388:AF388" si="138">+S381+S364+S345</f>
        <v>966927089.5</v>
      </c>
      <c r="T388" s="308">
        <f t="shared" si="138"/>
        <v>0</v>
      </c>
      <c r="U388" s="308">
        <f t="shared" si="138"/>
        <v>0</v>
      </c>
      <c r="V388" s="308">
        <f t="shared" si="138"/>
        <v>0</v>
      </c>
      <c r="W388" s="308">
        <f t="shared" si="138"/>
        <v>0</v>
      </c>
      <c r="X388" s="308">
        <f t="shared" si="138"/>
        <v>0</v>
      </c>
      <c r="Y388" s="308">
        <f t="shared" si="138"/>
        <v>0</v>
      </c>
      <c r="Z388" s="308">
        <f t="shared" si="138"/>
        <v>0</v>
      </c>
      <c r="AA388" s="308">
        <f t="shared" si="138"/>
        <v>0</v>
      </c>
      <c r="AB388" s="308">
        <f t="shared" si="138"/>
        <v>0</v>
      </c>
      <c r="AC388" s="308">
        <f t="shared" si="138"/>
        <v>756759724.86000001</v>
      </c>
      <c r="AD388" s="308">
        <f t="shared" si="138"/>
        <v>3684957757.9200001</v>
      </c>
      <c r="AE388" s="308">
        <f t="shared" si="138"/>
        <v>748923828</v>
      </c>
      <c r="AF388" s="308">
        <f t="shared" si="138"/>
        <v>6157568400.2799997</v>
      </c>
      <c r="AH388" s="310"/>
    </row>
    <row r="389" spans="1:34" s="360" customFormat="1" ht="36.75" customHeight="1" x14ac:dyDescent="0.25">
      <c r="A389" s="495" t="s">
        <v>1255</v>
      </c>
      <c r="B389" s="495"/>
      <c r="C389" s="495"/>
      <c r="D389" s="495"/>
      <c r="E389" s="495"/>
      <c r="F389" s="426"/>
      <c r="G389" s="427"/>
      <c r="H389" s="151"/>
      <c r="I389" s="426"/>
      <c r="J389" s="427"/>
      <c r="K389" s="426"/>
      <c r="L389" s="151"/>
      <c r="M389" s="151"/>
      <c r="N389" s="427"/>
      <c r="O389" s="427"/>
      <c r="P389" s="151"/>
      <c r="Q389" s="427"/>
      <c r="R389" s="426"/>
      <c r="S389" s="359">
        <f t="shared" ref="S389:AF389" si="139">+S344+S388</f>
        <v>9340658216.5799999</v>
      </c>
      <c r="T389" s="359">
        <f t="shared" si="139"/>
        <v>2192073558.0099998</v>
      </c>
      <c r="U389" s="359">
        <f t="shared" si="139"/>
        <v>184304077.94</v>
      </c>
      <c r="V389" s="359">
        <f t="shared" si="139"/>
        <v>2849173512.6999998</v>
      </c>
      <c r="W389" s="359">
        <f t="shared" si="139"/>
        <v>6648246009.5</v>
      </c>
      <c r="X389" s="359">
        <f t="shared" si="139"/>
        <v>30215921696.520004</v>
      </c>
      <c r="Y389" s="359">
        <f t="shared" si="139"/>
        <v>132182386450.42001</v>
      </c>
      <c r="Z389" s="359">
        <f t="shared" si="139"/>
        <v>23036771417</v>
      </c>
      <c r="AA389" s="359">
        <f t="shared" si="139"/>
        <v>14695615717.32</v>
      </c>
      <c r="AB389" s="359">
        <f t="shared" si="139"/>
        <v>2780436507.1199999</v>
      </c>
      <c r="AC389" s="359">
        <f t="shared" si="139"/>
        <v>22735319128.180004</v>
      </c>
      <c r="AD389" s="359">
        <f t="shared" si="139"/>
        <v>10080934786.030001</v>
      </c>
      <c r="AE389" s="359">
        <f t="shared" si="139"/>
        <v>4938199183.3000002</v>
      </c>
      <c r="AF389" s="359">
        <f t="shared" si="139"/>
        <v>261880040260.62</v>
      </c>
      <c r="AH389" s="310"/>
    </row>
    <row r="390" spans="1:34" x14ac:dyDescent="0.2">
      <c r="AF390" s="325"/>
    </row>
    <row r="391" spans="1:34" x14ac:dyDescent="0.2">
      <c r="W391" s="403"/>
      <c r="AE391" s="404"/>
      <c r="AF391" s="404"/>
    </row>
    <row r="392" spans="1:34" x14ac:dyDescent="0.2">
      <c r="AF392" s="279"/>
    </row>
    <row r="393" spans="1:34" x14ac:dyDescent="0.2">
      <c r="AF393" s="309"/>
    </row>
  </sheetData>
  <sheetProtection password="A60F" sheet="1" objects="1" scenarios="1"/>
  <mergeCells count="190">
    <mergeCell ref="R22:R27"/>
    <mergeCell ref="P64:P68"/>
    <mergeCell ref="Q64:Q68"/>
    <mergeCell ref="R64:R68"/>
    <mergeCell ref="R101:R102"/>
    <mergeCell ref="P106:P107"/>
    <mergeCell ref="Q106:Q107"/>
    <mergeCell ref="R106:R107"/>
    <mergeCell ref="P85:P89"/>
    <mergeCell ref="Q85:Q89"/>
    <mergeCell ref="R85:R89"/>
    <mergeCell ref="P98:P99"/>
    <mergeCell ref="Q98:Q99"/>
    <mergeCell ref="R98:R99"/>
    <mergeCell ref="A389:E389"/>
    <mergeCell ref="N5:O5"/>
    <mergeCell ref="P101:P102"/>
    <mergeCell ref="Q101:Q102"/>
    <mergeCell ref="P116:P117"/>
    <mergeCell ref="P22:P27"/>
    <mergeCell ref="Q22:Q27"/>
    <mergeCell ref="Q116:Q117"/>
    <mergeCell ref="P149:P151"/>
    <mergeCell ref="Q149:Q151"/>
    <mergeCell ref="P176:P177"/>
    <mergeCell ref="Q176:Q177"/>
    <mergeCell ref="F211:F212"/>
    <mergeCell ref="G211:G212"/>
    <mergeCell ref="H211:H212"/>
    <mergeCell ref="I211:I212"/>
    <mergeCell ref="Q211:Q212"/>
    <mergeCell ref="P241:P242"/>
    <mergeCell ref="Q241:Q242"/>
    <mergeCell ref="P274:P275"/>
    <mergeCell ref="Q274:Q275"/>
    <mergeCell ref="P290:P291"/>
    <mergeCell ref="Q290:Q291"/>
    <mergeCell ref="P304:P305"/>
    <mergeCell ref="R116:R117"/>
    <mergeCell ref="P121:P122"/>
    <mergeCell ref="Q121:Q122"/>
    <mergeCell ref="R121:R122"/>
    <mergeCell ref="P108:P109"/>
    <mergeCell ref="Q108:Q109"/>
    <mergeCell ref="R108:R109"/>
    <mergeCell ref="P114:P115"/>
    <mergeCell ref="Q114:Q115"/>
    <mergeCell ref="R114:R115"/>
    <mergeCell ref="R130:R132"/>
    <mergeCell ref="C135:C138"/>
    <mergeCell ref="P135:P138"/>
    <mergeCell ref="Q135:Q138"/>
    <mergeCell ref="R135:R138"/>
    <mergeCell ref="P142:P143"/>
    <mergeCell ref="Q142:Q143"/>
    <mergeCell ref="R142:R143"/>
    <mergeCell ref="B125:B138"/>
    <mergeCell ref="P126:P127"/>
    <mergeCell ref="Q126:Q127"/>
    <mergeCell ref="R126:R127"/>
    <mergeCell ref="C128:C133"/>
    <mergeCell ref="P128:P129"/>
    <mergeCell ref="Q128:Q129"/>
    <mergeCell ref="R128:R129"/>
    <mergeCell ref="P130:P132"/>
    <mergeCell ref="Q130:Q132"/>
    <mergeCell ref="R149:R151"/>
    <mergeCell ref="P156:P157"/>
    <mergeCell ref="Q156:Q157"/>
    <mergeCell ref="R156:R157"/>
    <mergeCell ref="P145:P146"/>
    <mergeCell ref="Q145:Q146"/>
    <mergeCell ref="R145:R146"/>
    <mergeCell ref="P147:P148"/>
    <mergeCell ref="Q147:Q148"/>
    <mergeCell ref="R147:R148"/>
    <mergeCell ref="R176:R177"/>
    <mergeCell ref="E188:I188"/>
    <mergeCell ref="P196:P197"/>
    <mergeCell ref="Q196:Q197"/>
    <mergeCell ref="R196:R197"/>
    <mergeCell ref="P166:P167"/>
    <mergeCell ref="Q166:Q167"/>
    <mergeCell ref="R166:R167"/>
    <mergeCell ref="P169:P170"/>
    <mergeCell ref="Q169:Q170"/>
    <mergeCell ref="R169:R170"/>
    <mergeCell ref="R211:R212"/>
    <mergeCell ref="P198:P199"/>
    <mergeCell ref="Q198:Q199"/>
    <mergeCell ref="R198:R199"/>
    <mergeCell ref="P202:P207"/>
    <mergeCell ref="Q202:Q207"/>
    <mergeCell ref="R202:R207"/>
    <mergeCell ref="P228:P229"/>
    <mergeCell ref="Q228:Q229"/>
    <mergeCell ref="R228:R229"/>
    <mergeCell ref="R241:R242"/>
    <mergeCell ref="P213:P215"/>
    <mergeCell ref="Q213:Q215"/>
    <mergeCell ref="R213:R215"/>
    <mergeCell ref="P223:P224"/>
    <mergeCell ref="Q223:Q224"/>
    <mergeCell ref="R223:R224"/>
    <mergeCell ref="P267:P273"/>
    <mergeCell ref="Q267:Q273"/>
    <mergeCell ref="R267:R273"/>
    <mergeCell ref="R274:R275"/>
    <mergeCell ref="P245:P246"/>
    <mergeCell ref="Q245:Q246"/>
    <mergeCell ref="R245:R246"/>
    <mergeCell ref="P250:P252"/>
    <mergeCell ref="Q250:Q252"/>
    <mergeCell ref="R250:R252"/>
    <mergeCell ref="P285:P288"/>
    <mergeCell ref="Q285:Q288"/>
    <mergeCell ref="R285:R288"/>
    <mergeCell ref="R290:R291"/>
    <mergeCell ref="P276:P278"/>
    <mergeCell ref="Q276:Q278"/>
    <mergeCell ref="R276:R278"/>
    <mergeCell ref="P281:P284"/>
    <mergeCell ref="Q281:Q284"/>
    <mergeCell ref="R281:R284"/>
    <mergeCell ref="P301:P303"/>
    <mergeCell ref="Q301:Q303"/>
    <mergeCell ref="R301:R303"/>
    <mergeCell ref="Q304:Q305"/>
    <mergeCell ref="R304:R305"/>
    <mergeCell ref="P292:P298"/>
    <mergeCell ref="Q292:Q298"/>
    <mergeCell ref="R292:R298"/>
    <mergeCell ref="P299:P300"/>
    <mergeCell ref="Q299:Q300"/>
    <mergeCell ref="R299:R300"/>
    <mergeCell ref="P311:P312"/>
    <mergeCell ref="Q311:Q312"/>
    <mergeCell ref="R311:R312"/>
    <mergeCell ref="Q314:Q315"/>
    <mergeCell ref="R314:R315"/>
    <mergeCell ref="P321:P322"/>
    <mergeCell ref="Q321:Q322"/>
    <mergeCell ref="R321:R322"/>
    <mergeCell ref="P306:P308"/>
    <mergeCell ref="Q306:Q308"/>
    <mergeCell ref="R306:R308"/>
    <mergeCell ref="P309:P310"/>
    <mergeCell ref="Q309:Q310"/>
    <mergeCell ref="R309:R310"/>
    <mergeCell ref="R351:R352"/>
    <mergeCell ref="B342:B343"/>
    <mergeCell ref="C342:C343"/>
    <mergeCell ref="P342:P343"/>
    <mergeCell ref="Q342:Q343"/>
    <mergeCell ref="R342:R343"/>
    <mergeCell ref="R323:R326"/>
    <mergeCell ref="B330:B332"/>
    <mergeCell ref="C331:C332"/>
    <mergeCell ref="G323:G324"/>
    <mergeCell ref="H323:H324"/>
    <mergeCell ref="I323:I324"/>
    <mergeCell ref="P323:P326"/>
    <mergeCell ref="Q323:Q326"/>
    <mergeCell ref="P331:P332"/>
    <mergeCell ref="Q331:Q332"/>
    <mergeCell ref="R331:R332"/>
    <mergeCell ref="A1:AD4"/>
    <mergeCell ref="R374:R377"/>
    <mergeCell ref="P384:P387"/>
    <mergeCell ref="Q384:Q387"/>
    <mergeCell ref="R384:R387"/>
    <mergeCell ref="B366:B367"/>
    <mergeCell ref="B371:B372"/>
    <mergeCell ref="B374:B377"/>
    <mergeCell ref="C374:C377"/>
    <mergeCell ref="P374:P377"/>
    <mergeCell ref="Q374:Q377"/>
    <mergeCell ref="Q353:Q354"/>
    <mergeCell ref="R353:R354"/>
    <mergeCell ref="P356:P359"/>
    <mergeCell ref="Q356:Q359"/>
    <mergeCell ref="R356:R359"/>
    <mergeCell ref="G357:G358"/>
    <mergeCell ref="H357:H358"/>
    <mergeCell ref="I357:I358"/>
    <mergeCell ref="P348:P349"/>
    <mergeCell ref="Q348:Q349"/>
    <mergeCell ref="R348:R349"/>
    <mergeCell ref="P351:P352"/>
    <mergeCell ref="Q351:Q352"/>
  </mergeCells>
  <pageMargins left="0.7" right="0.7" top="0.75" bottom="0.75" header="0.3" footer="0.3"/>
  <pageSetup orientation="portrait" verticalDpi="360" r:id="rId1"/>
  <ignoredErrors>
    <ignoredError sqref="G304 G306 G308 G315:G316 G321:G323 G326:G327 G318:G319" numberStoredAsText="1"/>
    <ignoredError sqref="AC1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778"/>
  <sheetViews>
    <sheetView showGridLines="0" zoomScaleNormal="100" workbookViewId="0">
      <selection activeCell="C13" sqref="C13:C18"/>
    </sheetView>
  </sheetViews>
  <sheetFormatPr baseColWidth="10" defaultColWidth="11.42578125" defaultRowHeight="11.25" x14ac:dyDescent="0.2"/>
  <cols>
    <col min="1" max="1" width="3.85546875" style="25" customWidth="1"/>
    <col min="2" max="2" width="15.28515625" style="54" customWidth="1"/>
    <col min="3" max="3" width="25.5703125" style="54" customWidth="1"/>
    <col min="4" max="4" width="16.140625" style="55" customWidth="1"/>
    <col min="5" max="5" width="39.5703125" style="54" customWidth="1"/>
    <col min="6" max="6" width="16.85546875" style="56" customWidth="1"/>
    <col min="7" max="7" width="15.5703125" style="25" bestFit="1" customWidth="1"/>
    <col min="8" max="8" width="15.85546875" style="25" customWidth="1"/>
    <col min="9" max="9" width="15.42578125" style="25" customWidth="1"/>
    <col min="10" max="16384" width="11.42578125" style="25"/>
  </cols>
  <sheetData>
    <row r="1" spans="1:9" ht="11.25" customHeight="1" x14ac:dyDescent="0.2">
      <c r="A1" s="77"/>
      <c r="B1" s="507" t="s">
        <v>1438</v>
      </c>
      <c r="C1" s="508"/>
      <c r="D1" s="508"/>
      <c r="E1" s="508"/>
      <c r="F1" s="509"/>
    </row>
    <row r="2" spans="1:9" ht="9.75" customHeight="1" x14ac:dyDescent="0.2">
      <c r="A2" s="78"/>
      <c r="B2" s="510"/>
      <c r="C2" s="511"/>
      <c r="D2" s="511"/>
      <c r="E2" s="511"/>
      <c r="F2" s="512"/>
    </row>
    <row r="3" spans="1:9" ht="16.5" customHeight="1" thickBot="1" x14ac:dyDescent="0.25">
      <c r="A3" s="78"/>
      <c r="B3" s="510"/>
      <c r="C3" s="511"/>
      <c r="D3" s="511"/>
      <c r="E3" s="511"/>
      <c r="F3" s="512"/>
    </row>
    <row r="4" spans="1:9" ht="18.75" customHeight="1" thickBot="1" x14ac:dyDescent="0.25">
      <c r="A4" s="78"/>
      <c r="B4" s="513" t="s">
        <v>1305</v>
      </c>
      <c r="C4" s="514"/>
      <c r="D4" s="514"/>
      <c r="E4" s="514"/>
      <c r="F4" s="515"/>
    </row>
    <row r="5" spans="1:9" s="26" customFormat="1" ht="25.5" customHeight="1" thickBot="1" x14ac:dyDescent="0.3">
      <c r="A5" s="79"/>
      <c r="B5" s="447" t="s">
        <v>1287</v>
      </c>
      <c r="C5" s="191" t="s">
        <v>22</v>
      </c>
      <c r="D5" s="448" t="s">
        <v>1256</v>
      </c>
      <c r="E5" s="191" t="s">
        <v>1257</v>
      </c>
      <c r="F5" s="449" t="s">
        <v>1258</v>
      </c>
    </row>
    <row r="6" spans="1:9" s="26" customFormat="1" ht="16.5" customHeight="1" thickBot="1" x14ac:dyDescent="0.3">
      <c r="A6" s="79"/>
      <c r="B6" s="178" t="s">
        <v>1259</v>
      </c>
      <c r="C6" s="41"/>
      <c r="D6" s="41"/>
      <c r="E6" s="41"/>
      <c r="F6" s="80"/>
    </row>
    <row r="7" spans="1:9" s="27" customFormat="1" ht="17.25" customHeight="1" thickBot="1" x14ac:dyDescent="0.3">
      <c r="A7" s="81"/>
      <c r="B7" s="500" t="s">
        <v>1260</v>
      </c>
      <c r="C7" s="501"/>
      <c r="D7" s="501"/>
      <c r="E7" s="501"/>
      <c r="F7" s="69">
        <f>SUM(F8:F10)</f>
        <v>75702140</v>
      </c>
      <c r="G7" s="171"/>
      <c r="H7" s="171"/>
      <c r="I7" s="171"/>
    </row>
    <row r="8" spans="1:9" ht="34.5" customHeight="1" x14ac:dyDescent="0.2">
      <c r="A8" s="82">
        <v>1</v>
      </c>
      <c r="B8" s="502" t="s">
        <v>44</v>
      </c>
      <c r="C8" s="505" t="s">
        <v>46</v>
      </c>
      <c r="D8" s="58" t="s">
        <v>53</v>
      </c>
      <c r="E8" s="65" t="s">
        <v>1261</v>
      </c>
      <c r="F8" s="63">
        <f>'POAI IV TRIM 2020'!AF9</f>
        <v>30000000</v>
      </c>
      <c r="G8" s="173"/>
      <c r="H8" s="173"/>
      <c r="I8" s="173"/>
    </row>
    <row r="9" spans="1:9" ht="34.5" customHeight="1" x14ac:dyDescent="0.2">
      <c r="A9" s="82">
        <v>2</v>
      </c>
      <c r="B9" s="503"/>
      <c r="C9" s="506"/>
      <c r="D9" s="28" t="s">
        <v>59</v>
      </c>
      <c r="E9" s="57" t="s">
        <v>60</v>
      </c>
      <c r="F9" s="29">
        <f>'POAI IV TRIM 2020'!AF10</f>
        <v>15702140</v>
      </c>
    </row>
    <row r="10" spans="1:9" ht="45.75" thickBot="1" x14ac:dyDescent="0.25">
      <c r="A10" s="82">
        <v>3</v>
      </c>
      <c r="B10" s="504"/>
      <c r="C10" s="450" t="s">
        <v>61</v>
      </c>
      <c r="D10" s="33" t="s">
        <v>68</v>
      </c>
      <c r="E10" s="67" t="s">
        <v>0</v>
      </c>
      <c r="F10" s="68">
        <f>'POAI IV TRIM 2020'!AF12</f>
        <v>30000000</v>
      </c>
    </row>
    <row r="11" spans="1:9" s="27" customFormat="1" ht="17.25" customHeight="1" thickBot="1" x14ac:dyDescent="0.3">
      <c r="A11" s="79"/>
      <c r="B11" s="500" t="s">
        <v>1262</v>
      </c>
      <c r="C11" s="501"/>
      <c r="D11" s="501"/>
      <c r="E11" s="501"/>
      <c r="F11" s="69">
        <f>SUM(F12:F18)</f>
        <v>677628511</v>
      </c>
      <c r="G11" s="30"/>
      <c r="H11" s="30"/>
      <c r="I11" s="30"/>
    </row>
    <row r="12" spans="1:9" ht="49.5" customHeight="1" x14ac:dyDescent="0.2">
      <c r="A12" s="82">
        <v>4</v>
      </c>
      <c r="B12" s="502" t="s">
        <v>70</v>
      </c>
      <c r="C12" s="446" t="s">
        <v>61</v>
      </c>
      <c r="D12" s="58" t="s">
        <v>76</v>
      </c>
      <c r="E12" s="65" t="s">
        <v>77</v>
      </c>
      <c r="F12" s="63">
        <f>'POAI IV TRIM 2020'!AF16</f>
        <v>102285179</v>
      </c>
      <c r="G12" s="173"/>
      <c r="H12" s="173"/>
      <c r="I12" s="173"/>
    </row>
    <row r="13" spans="1:9" ht="22.5" x14ac:dyDescent="0.2">
      <c r="A13" s="82">
        <v>5</v>
      </c>
      <c r="B13" s="503"/>
      <c r="C13" s="516" t="s">
        <v>78</v>
      </c>
      <c r="D13" s="28" t="s">
        <v>82</v>
      </c>
      <c r="E13" s="57" t="s">
        <v>83</v>
      </c>
      <c r="F13" s="29">
        <f>'POAI IV TRIM 2020'!AF18</f>
        <v>153233333</v>
      </c>
    </row>
    <row r="14" spans="1:9" s="31" customFormat="1" ht="33.75" customHeight="1" x14ac:dyDescent="0.2">
      <c r="A14" s="82">
        <v>6</v>
      </c>
      <c r="B14" s="503"/>
      <c r="C14" s="505"/>
      <c r="D14" s="28" t="s">
        <v>85</v>
      </c>
      <c r="E14" s="57" t="s">
        <v>86</v>
      </c>
      <c r="F14" s="179">
        <f>'POAI IV TRIM 2020'!AF19</f>
        <v>93916667</v>
      </c>
    </row>
    <row r="15" spans="1:9" ht="22.5" x14ac:dyDescent="0.2">
      <c r="A15" s="82">
        <v>7</v>
      </c>
      <c r="B15" s="503"/>
      <c r="C15" s="505"/>
      <c r="D15" s="28" t="s">
        <v>91</v>
      </c>
      <c r="E15" s="57" t="s">
        <v>92</v>
      </c>
      <c r="F15" s="29">
        <f>'POAI IV TRIM 2020'!AF20</f>
        <v>24906666</v>
      </c>
    </row>
    <row r="16" spans="1:9" ht="33.75" x14ac:dyDescent="0.2">
      <c r="A16" s="82">
        <v>8</v>
      </c>
      <c r="B16" s="503"/>
      <c r="C16" s="505"/>
      <c r="D16" s="28" t="s">
        <v>97</v>
      </c>
      <c r="E16" s="57" t="s">
        <v>98</v>
      </c>
      <c r="F16" s="29">
        <f>'POAI IV TRIM 2020'!AF21</f>
        <v>148786666</v>
      </c>
    </row>
    <row r="17" spans="1:9" ht="33.75" x14ac:dyDescent="0.2">
      <c r="A17" s="82">
        <v>9</v>
      </c>
      <c r="B17" s="503"/>
      <c r="C17" s="505"/>
      <c r="D17" s="28" t="s">
        <v>104</v>
      </c>
      <c r="E17" s="57" t="s">
        <v>105</v>
      </c>
      <c r="F17" s="29">
        <f>SUM('POAI IV TRIM 2020'!AF22:AF27)</f>
        <v>118500000</v>
      </c>
    </row>
    <row r="18" spans="1:9" ht="36.75" customHeight="1" thickBot="1" x14ac:dyDescent="0.25">
      <c r="A18" s="82">
        <v>10</v>
      </c>
      <c r="B18" s="504"/>
      <c r="C18" s="505"/>
      <c r="D18" s="33" t="s">
        <v>122</v>
      </c>
      <c r="E18" s="67" t="s">
        <v>123</v>
      </c>
      <c r="F18" s="68">
        <f>'POAI IV TRIM 2020'!AF28</f>
        <v>36000000</v>
      </c>
    </row>
    <row r="19" spans="1:9" ht="17.25" customHeight="1" thickBot="1" x14ac:dyDescent="0.25">
      <c r="A19" s="82"/>
      <c r="B19" s="500" t="s">
        <v>1263</v>
      </c>
      <c r="C19" s="501"/>
      <c r="D19" s="501"/>
      <c r="E19" s="517"/>
      <c r="F19" s="66">
        <f>SUM(F20:F21)</f>
        <v>2272013477</v>
      </c>
      <c r="G19" s="32"/>
      <c r="H19" s="32"/>
      <c r="I19" s="32"/>
    </row>
    <row r="20" spans="1:9" ht="33.75" x14ac:dyDescent="0.2">
      <c r="A20" s="82">
        <v>11</v>
      </c>
      <c r="B20" s="518" t="s">
        <v>70</v>
      </c>
      <c r="C20" s="506" t="s">
        <v>46</v>
      </c>
      <c r="D20" s="58" t="s">
        <v>128</v>
      </c>
      <c r="E20" s="446" t="s">
        <v>1264</v>
      </c>
      <c r="F20" s="63">
        <f>'POAI IV TRIM 2020'!AF32</f>
        <v>1881149477</v>
      </c>
      <c r="G20" s="173"/>
      <c r="H20" s="173"/>
      <c r="I20" s="173"/>
    </row>
    <row r="21" spans="1:9" ht="45.75" thickBot="1" x14ac:dyDescent="0.25">
      <c r="A21" s="82">
        <v>12</v>
      </c>
      <c r="B21" s="519"/>
      <c r="C21" s="516"/>
      <c r="D21" s="33" t="s">
        <v>134</v>
      </c>
      <c r="E21" s="450" t="s">
        <v>1265</v>
      </c>
      <c r="F21" s="68">
        <f>'POAI IV TRIM 2020'!AF33</f>
        <v>390864000</v>
      </c>
    </row>
    <row r="22" spans="1:9" ht="18" customHeight="1" thickBot="1" x14ac:dyDescent="0.25">
      <c r="A22" s="82"/>
      <c r="B22" s="500" t="s">
        <v>1266</v>
      </c>
      <c r="C22" s="501"/>
      <c r="D22" s="501"/>
      <c r="E22" s="517"/>
      <c r="F22" s="66">
        <f>SUM(F23:F37)</f>
        <v>5840104583.4699993</v>
      </c>
      <c r="G22" s="32"/>
      <c r="H22" s="32"/>
      <c r="I22" s="32"/>
    </row>
    <row r="23" spans="1:9" ht="33.75" x14ac:dyDescent="0.2">
      <c r="A23" s="82">
        <v>13</v>
      </c>
      <c r="B23" s="523" t="s">
        <v>1</v>
      </c>
      <c r="C23" s="446" t="s">
        <v>135</v>
      </c>
      <c r="D23" s="58" t="s">
        <v>142</v>
      </c>
      <c r="E23" s="446" t="s">
        <v>143</v>
      </c>
      <c r="F23" s="63">
        <f>'POAI IV TRIM 2020'!AF37</f>
        <v>3000000</v>
      </c>
      <c r="G23" s="173"/>
      <c r="H23" s="173"/>
      <c r="I23" s="173"/>
    </row>
    <row r="24" spans="1:9" ht="33.75" x14ac:dyDescent="0.2">
      <c r="A24" s="82">
        <v>14</v>
      </c>
      <c r="B24" s="523"/>
      <c r="C24" s="452" t="s">
        <v>144</v>
      </c>
      <c r="D24" s="28" t="s">
        <v>151</v>
      </c>
      <c r="E24" s="452" t="s">
        <v>152</v>
      </c>
      <c r="F24" s="29">
        <f>'POAI IV TRIM 2020'!AF39</f>
        <v>60746979</v>
      </c>
    </row>
    <row r="25" spans="1:9" ht="56.25" customHeight="1" x14ac:dyDescent="0.2">
      <c r="A25" s="520">
        <v>15</v>
      </c>
      <c r="B25" s="523"/>
      <c r="C25" s="452" t="s">
        <v>153</v>
      </c>
      <c r="D25" s="28" t="s">
        <v>161</v>
      </c>
      <c r="E25" s="452" t="s">
        <v>162</v>
      </c>
      <c r="F25" s="29">
        <f>'POAI IV TRIM 2020'!AF41</f>
        <v>628874337</v>
      </c>
    </row>
    <row r="26" spans="1:9" ht="33.75" customHeight="1" x14ac:dyDescent="0.2">
      <c r="A26" s="520"/>
      <c r="B26" s="523"/>
      <c r="C26" s="452" t="s">
        <v>163</v>
      </c>
      <c r="D26" s="28" t="s">
        <v>161</v>
      </c>
      <c r="E26" s="452" t="s">
        <v>162</v>
      </c>
      <c r="F26" s="29">
        <f>'POAI IV TRIM 2020'!AF43</f>
        <v>50000000</v>
      </c>
    </row>
    <row r="27" spans="1:9" ht="33.75" x14ac:dyDescent="0.2">
      <c r="A27" s="520"/>
      <c r="B27" s="523"/>
      <c r="C27" s="452" t="s">
        <v>170</v>
      </c>
      <c r="D27" s="28" t="s">
        <v>161</v>
      </c>
      <c r="E27" s="452" t="s">
        <v>162</v>
      </c>
      <c r="F27" s="29">
        <f>'POAI IV TRIM 2020'!AF45</f>
        <v>977810591.28999996</v>
      </c>
    </row>
    <row r="28" spans="1:9" s="27" customFormat="1" ht="36.75" customHeight="1" x14ac:dyDescent="0.25">
      <c r="A28" s="520"/>
      <c r="B28" s="523"/>
      <c r="C28" s="452" t="s">
        <v>177</v>
      </c>
      <c r="D28" s="28" t="s">
        <v>161</v>
      </c>
      <c r="E28" s="452" t="s">
        <v>162</v>
      </c>
      <c r="F28" s="29">
        <f>'POAI IV TRIM 2020'!AF47</f>
        <v>64725314.580000043</v>
      </c>
    </row>
    <row r="29" spans="1:9" ht="39.75" customHeight="1" x14ac:dyDescent="0.2">
      <c r="A29" s="520">
        <v>16</v>
      </c>
      <c r="B29" s="503" t="s">
        <v>2</v>
      </c>
      <c r="C29" s="452" t="s">
        <v>181</v>
      </c>
      <c r="D29" s="28" t="s">
        <v>187</v>
      </c>
      <c r="E29" s="452" t="s">
        <v>188</v>
      </c>
      <c r="F29" s="29">
        <f>'POAI IV TRIM 2020'!AF50</f>
        <v>2000000</v>
      </c>
    </row>
    <row r="30" spans="1:9" ht="39.75" customHeight="1" x14ac:dyDescent="0.2">
      <c r="A30" s="520"/>
      <c r="B30" s="503"/>
      <c r="C30" s="452" t="s">
        <v>189</v>
      </c>
      <c r="D30" s="28" t="s">
        <v>187</v>
      </c>
      <c r="E30" s="452" t="s">
        <v>193</v>
      </c>
      <c r="F30" s="180">
        <f>'POAI IV TRIM 2020'!AF52</f>
        <v>1000000</v>
      </c>
    </row>
    <row r="31" spans="1:9" ht="39.75" customHeight="1" x14ac:dyDescent="0.2">
      <c r="A31" s="520">
        <v>17</v>
      </c>
      <c r="B31" s="503" t="s">
        <v>3</v>
      </c>
      <c r="C31" s="452" t="s">
        <v>194</v>
      </c>
      <c r="D31" s="28" t="s">
        <v>199</v>
      </c>
      <c r="E31" s="452" t="s">
        <v>200</v>
      </c>
      <c r="F31" s="29">
        <f>'POAI IV TRIM 2020'!AF55+'POAI IV TRIM 2020'!AF56</f>
        <v>769025413.94000006</v>
      </c>
    </row>
    <row r="32" spans="1:9" ht="39.75" customHeight="1" x14ac:dyDescent="0.2">
      <c r="A32" s="520"/>
      <c r="B32" s="503"/>
      <c r="C32" s="452" t="s">
        <v>202</v>
      </c>
      <c r="D32" s="28" t="s">
        <v>187</v>
      </c>
      <c r="E32" s="452" t="s">
        <v>188</v>
      </c>
      <c r="F32" s="29">
        <f>'POAI IV TRIM 2020'!AF58</f>
        <v>1000000</v>
      </c>
    </row>
    <row r="33" spans="1:9" ht="39.75" customHeight="1" x14ac:dyDescent="0.2">
      <c r="A33" s="520"/>
      <c r="B33" s="503"/>
      <c r="C33" s="452" t="s">
        <v>207</v>
      </c>
      <c r="D33" s="28" t="s">
        <v>199</v>
      </c>
      <c r="E33" s="452" t="s">
        <v>200</v>
      </c>
      <c r="F33" s="29">
        <f>'POAI IV TRIM 2020'!AF60</f>
        <v>170360668</v>
      </c>
    </row>
    <row r="34" spans="1:9" ht="39.75" customHeight="1" x14ac:dyDescent="0.2">
      <c r="A34" s="82"/>
      <c r="B34" s="503"/>
      <c r="C34" s="452" t="s">
        <v>211</v>
      </c>
      <c r="D34" s="28" t="s">
        <v>161</v>
      </c>
      <c r="E34" s="452" t="s">
        <v>162</v>
      </c>
      <c r="F34" s="29">
        <f>'POAI IV TRIM 2020'!AF62</f>
        <v>129129296.87</v>
      </c>
    </row>
    <row r="35" spans="1:9" ht="45" customHeight="1" x14ac:dyDescent="0.2">
      <c r="A35" s="82">
        <v>18</v>
      </c>
      <c r="B35" s="503"/>
      <c r="C35" s="452" t="s">
        <v>217</v>
      </c>
      <c r="D35" s="28" t="s">
        <v>224</v>
      </c>
      <c r="E35" s="452" t="s">
        <v>225</v>
      </c>
      <c r="F35" s="29">
        <f>'POAI IV TRIM 2020'!AF63</f>
        <v>2885729741.0500002</v>
      </c>
    </row>
    <row r="36" spans="1:9" ht="47.25" customHeight="1" x14ac:dyDescent="0.2">
      <c r="A36" s="82"/>
      <c r="B36" s="503" t="s">
        <v>70</v>
      </c>
      <c r="C36" s="452" t="s">
        <v>46</v>
      </c>
      <c r="D36" s="28" t="s">
        <v>161</v>
      </c>
      <c r="E36" s="452" t="s">
        <v>162</v>
      </c>
      <c r="F36" s="29">
        <f>'POAI IV TRIM 2020'!AF71</f>
        <v>72674512.579999998</v>
      </c>
    </row>
    <row r="37" spans="1:9" ht="46.5" customHeight="1" thickBot="1" x14ac:dyDescent="0.25">
      <c r="A37" s="82"/>
      <c r="B37" s="504"/>
      <c r="C37" s="450" t="s">
        <v>61</v>
      </c>
      <c r="D37" s="33" t="s">
        <v>161</v>
      </c>
      <c r="E37" s="450" t="s">
        <v>162</v>
      </c>
      <c r="F37" s="68">
        <f>'POAI IV TRIM 2020'!AF73</f>
        <v>24027729.16</v>
      </c>
    </row>
    <row r="38" spans="1:9" ht="18" customHeight="1" thickBot="1" x14ac:dyDescent="0.25">
      <c r="A38" s="82"/>
      <c r="B38" s="500" t="s">
        <v>1267</v>
      </c>
      <c r="C38" s="501"/>
      <c r="D38" s="501"/>
      <c r="E38" s="501"/>
      <c r="F38" s="64">
        <f>SUM(F39:F53)</f>
        <v>3830220594.3099999</v>
      </c>
      <c r="G38" s="32"/>
      <c r="H38" s="32"/>
      <c r="I38" s="32"/>
    </row>
    <row r="39" spans="1:9" ht="22.5" x14ac:dyDescent="0.2">
      <c r="A39" s="82">
        <v>19</v>
      </c>
      <c r="B39" s="502" t="s">
        <v>1</v>
      </c>
      <c r="C39" s="446" t="s">
        <v>135</v>
      </c>
      <c r="D39" s="58" t="s">
        <v>254</v>
      </c>
      <c r="E39" s="446" t="s">
        <v>255</v>
      </c>
      <c r="F39" s="63">
        <f>'POAI IV TRIM 2020'!AF77</f>
        <v>112128400</v>
      </c>
      <c r="G39" s="173"/>
      <c r="H39" s="173"/>
      <c r="I39" s="173"/>
    </row>
    <row r="40" spans="1:9" ht="33.75" x14ac:dyDescent="0.2">
      <c r="A40" s="520">
        <v>20</v>
      </c>
      <c r="B40" s="503"/>
      <c r="C40" s="452" t="s">
        <v>256</v>
      </c>
      <c r="D40" s="28" t="s">
        <v>261</v>
      </c>
      <c r="E40" s="452" t="s">
        <v>262</v>
      </c>
      <c r="F40" s="29">
        <f>'POAI IV TRIM 2020'!AF79</f>
        <v>15000000</v>
      </c>
    </row>
    <row r="41" spans="1:9" ht="45" x14ac:dyDescent="0.2">
      <c r="A41" s="520"/>
      <c r="B41" s="503"/>
      <c r="C41" s="452" t="s">
        <v>263</v>
      </c>
      <c r="D41" s="28" t="s">
        <v>261</v>
      </c>
      <c r="E41" s="452" t="s">
        <v>262</v>
      </c>
      <c r="F41" s="29">
        <f>'POAI IV TRIM 2020'!AF81</f>
        <v>15000000</v>
      </c>
    </row>
    <row r="42" spans="1:9" ht="43.5" customHeight="1" x14ac:dyDescent="0.2">
      <c r="A42" s="82">
        <v>21</v>
      </c>
      <c r="B42" s="503"/>
      <c r="C42" s="452" t="s">
        <v>153</v>
      </c>
      <c r="D42" s="28" t="s">
        <v>272</v>
      </c>
      <c r="E42" s="452" t="s">
        <v>273</v>
      </c>
      <c r="F42" s="29">
        <f>'POAI IV TRIM 2020'!AF83</f>
        <v>201866667</v>
      </c>
    </row>
    <row r="43" spans="1:9" ht="39.75" customHeight="1" x14ac:dyDescent="0.2">
      <c r="A43" s="82">
        <v>22</v>
      </c>
      <c r="B43" s="503"/>
      <c r="C43" s="452" t="s">
        <v>274</v>
      </c>
      <c r="D43" s="28" t="s">
        <v>281</v>
      </c>
      <c r="E43" s="452" t="s">
        <v>282</v>
      </c>
      <c r="F43" s="29">
        <f>'POAI IV TRIM 2020'!AF84</f>
        <v>522730761</v>
      </c>
    </row>
    <row r="44" spans="1:9" ht="51" customHeight="1" x14ac:dyDescent="0.2">
      <c r="A44" s="82">
        <v>23</v>
      </c>
      <c r="B44" s="503"/>
      <c r="C44" s="452" t="s">
        <v>301</v>
      </c>
      <c r="D44" s="28" t="s">
        <v>307</v>
      </c>
      <c r="E44" s="452" t="s">
        <v>308</v>
      </c>
      <c r="F44" s="29">
        <f>'POAI IV TRIM 2020'!AF91</f>
        <v>15738667</v>
      </c>
    </row>
    <row r="45" spans="1:9" ht="38.25" customHeight="1" x14ac:dyDescent="0.2">
      <c r="A45" s="82"/>
      <c r="B45" s="503"/>
      <c r="C45" s="522" t="s">
        <v>309</v>
      </c>
      <c r="D45" s="28" t="s">
        <v>261</v>
      </c>
      <c r="E45" s="452" t="s">
        <v>262</v>
      </c>
      <c r="F45" s="29">
        <f>'POAI IV TRIM 2020'!AF93</f>
        <v>2192073558.0099998</v>
      </c>
    </row>
    <row r="46" spans="1:9" ht="51" customHeight="1" x14ac:dyDescent="0.2">
      <c r="A46" s="82"/>
      <c r="B46" s="503"/>
      <c r="C46" s="522"/>
      <c r="D46" s="28" t="s">
        <v>307</v>
      </c>
      <c r="E46" s="452" t="s">
        <v>308</v>
      </c>
      <c r="F46" s="29">
        <f>'POAI IV TRIM 2020'!AF94</f>
        <v>94000000</v>
      </c>
    </row>
    <row r="47" spans="1:9" ht="36.75" customHeight="1" x14ac:dyDescent="0.2">
      <c r="A47" s="82">
        <v>24</v>
      </c>
      <c r="B47" s="503"/>
      <c r="C47" s="522"/>
      <c r="D47" s="28" t="s">
        <v>322</v>
      </c>
      <c r="E47" s="452" t="s">
        <v>323</v>
      </c>
      <c r="F47" s="29">
        <f>'POAI IV TRIM 2020'!AF95</f>
        <v>75000000</v>
      </c>
    </row>
    <row r="48" spans="1:9" ht="33.75" x14ac:dyDescent="0.2">
      <c r="A48" s="520">
        <v>25</v>
      </c>
      <c r="B48" s="521" t="s">
        <v>3</v>
      </c>
      <c r="C48" s="452" t="s">
        <v>207</v>
      </c>
      <c r="D48" s="28" t="s">
        <v>272</v>
      </c>
      <c r="E48" s="452" t="s">
        <v>273</v>
      </c>
      <c r="F48" s="29">
        <f>'POAI IV TRIM 2020'!AF97</f>
        <v>37702666</v>
      </c>
    </row>
    <row r="49" spans="1:10" ht="33.75" x14ac:dyDescent="0.2">
      <c r="A49" s="520"/>
      <c r="B49" s="521"/>
      <c r="C49" s="522" t="s">
        <v>330</v>
      </c>
      <c r="D49" s="28" t="s">
        <v>272</v>
      </c>
      <c r="E49" s="452" t="s">
        <v>273</v>
      </c>
      <c r="F49" s="29">
        <f>SUM('POAI IV TRIM 2020'!AF101:AF102)</f>
        <v>325579598</v>
      </c>
    </row>
    <row r="50" spans="1:10" ht="22.5" x14ac:dyDescent="0.2">
      <c r="A50" s="520"/>
      <c r="B50" s="521"/>
      <c r="C50" s="522"/>
      <c r="D50" s="28" t="s">
        <v>343</v>
      </c>
      <c r="E50" s="452" t="s">
        <v>344</v>
      </c>
      <c r="F50" s="29">
        <f>'POAI IV TRIM 2020'!AF103</f>
        <v>73229610.299999997</v>
      </c>
    </row>
    <row r="51" spans="1:10" ht="32.25" customHeight="1" x14ac:dyDescent="0.2">
      <c r="A51" s="82"/>
      <c r="B51" s="521" t="s">
        <v>70</v>
      </c>
      <c r="C51" s="522" t="s">
        <v>61</v>
      </c>
      <c r="D51" s="28" t="s">
        <v>322</v>
      </c>
      <c r="E51" s="452" t="s">
        <v>323</v>
      </c>
      <c r="F51" s="29">
        <f>SUM('POAI IV TRIM 2020'!AF106:AF107)</f>
        <v>98270667</v>
      </c>
    </row>
    <row r="52" spans="1:10" ht="35.25" customHeight="1" x14ac:dyDescent="0.2">
      <c r="A52" s="82">
        <v>26</v>
      </c>
      <c r="B52" s="521"/>
      <c r="C52" s="522"/>
      <c r="D52" s="28" t="s">
        <v>356</v>
      </c>
      <c r="E52" s="452" t="s">
        <v>357</v>
      </c>
      <c r="F52" s="29">
        <f>SUM('POAI IV TRIM 2020'!AF108:AF109)</f>
        <v>29900000</v>
      </c>
    </row>
    <row r="53" spans="1:10" ht="33.75" customHeight="1" thickBot="1" x14ac:dyDescent="0.25">
      <c r="A53" s="82">
        <v>27</v>
      </c>
      <c r="B53" s="525"/>
      <c r="C53" s="516"/>
      <c r="D53" s="33" t="s">
        <v>362</v>
      </c>
      <c r="E53" s="450" t="s">
        <v>363</v>
      </c>
      <c r="F53" s="68">
        <f>'POAI IV TRIM 2020'!AF110</f>
        <v>22000000</v>
      </c>
    </row>
    <row r="54" spans="1:10" ht="17.25" customHeight="1" thickBot="1" x14ac:dyDescent="0.25">
      <c r="A54" s="82"/>
      <c r="B54" s="500" t="s">
        <v>1268</v>
      </c>
      <c r="C54" s="501"/>
      <c r="D54" s="501"/>
      <c r="E54" s="517"/>
      <c r="F54" s="69">
        <f>SUM(F55:F59)</f>
        <v>3035796535.3200002</v>
      </c>
      <c r="G54" s="32"/>
      <c r="H54" s="32"/>
      <c r="I54" s="32"/>
    </row>
    <row r="55" spans="1:10" ht="22.5" x14ac:dyDescent="0.2">
      <c r="A55" s="82">
        <v>28</v>
      </c>
      <c r="B55" s="518" t="s">
        <v>1</v>
      </c>
      <c r="C55" s="506" t="s">
        <v>163</v>
      </c>
      <c r="D55" s="58" t="s">
        <v>368</v>
      </c>
      <c r="E55" s="446" t="s">
        <v>369</v>
      </c>
      <c r="F55" s="63">
        <f>SUM('POAI IV TRIM 2020'!AF114:AF115)</f>
        <v>1216103080.0799999</v>
      </c>
      <c r="G55" s="173"/>
      <c r="H55" s="173"/>
      <c r="I55" s="173"/>
    </row>
    <row r="56" spans="1:10" ht="33.75" x14ac:dyDescent="0.2">
      <c r="A56" s="82">
        <v>29</v>
      </c>
      <c r="B56" s="526"/>
      <c r="C56" s="522"/>
      <c r="D56" s="28" t="s">
        <v>378</v>
      </c>
      <c r="E56" s="452" t="s">
        <v>379</v>
      </c>
      <c r="F56" s="29">
        <f>SUM('POAI IV TRIM 2020'!AF116:AF117)</f>
        <v>204814218.74000001</v>
      </c>
    </row>
    <row r="57" spans="1:10" ht="45" x14ac:dyDescent="0.2">
      <c r="A57" s="82">
        <v>30</v>
      </c>
      <c r="B57" s="526"/>
      <c r="C57" s="522"/>
      <c r="D57" s="28" t="s">
        <v>388</v>
      </c>
      <c r="E57" s="452" t="s">
        <v>389</v>
      </c>
      <c r="F57" s="29">
        <f>'POAI IV TRIM 2020'!AF118</f>
        <v>18000000</v>
      </c>
    </row>
    <row r="58" spans="1:10" ht="22.5" x14ac:dyDescent="0.2">
      <c r="A58" s="82">
        <v>31</v>
      </c>
      <c r="B58" s="526"/>
      <c r="C58" s="522"/>
      <c r="D58" s="28" t="s">
        <v>394</v>
      </c>
      <c r="E58" s="452" t="s">
        <v>395</v>
      </c>
      <c r="F58" s="29">
        <f>'POAI IV TRIM 2020'!AF119</f>
        <v>1191684472.2</v>
      </c>
    </row>
    <row r="59" spans="1:10" ht="45.75" thickBot="1" x14ac:dyDescent="0.25">
      <c r="A59" s="82">
        <v>32</v>
      </c>
      <c r="B59" s="519"/>
      <c r="C59" s="450" t="s">
        <v>396</v>
      </c>
      <c r="D59" s="33" t="s">
        <v>401</v>
      </c>
      <c r="E59" s="450" t="s">
        <v>402</v>
      </c>
      <c r="F59" s="68">
        <f>'POAI IV TRIM 2020'!AF120</f>
        <v>405194764.30000001</v>
      </c>
    </row>
    <row r="60" spans="1:10" ht="18.75" customHeight="1" thickBot="1" x14ac:dyDescent="0.25">
      <c r="A60" s="82"/>
      <c r="B60" s="500" t="s">
        <v>1269</v>
      </c>
      <c r="C60" s="501"/>
      <c r="D60" s="501"/>
      <c r="E60" s="501"/>
      <c r="F60" s="69">
        <f>SUM(F61:F65)</f>
        <v>2778889071.8499999</v>
      </c>
      <c r="G60" s="32"/>
      <c r="H60" s="32"/>
      <c r="I60" s="32"/>
      <c r="J60" s="32"/>
    </row>
    <row r="61" spans="1:10" ht="32.25" customHeight="1" x14ac:dyDescent="0.2">
      <c r="A61" s="82">
        <v>33</v>
      </c>
      <c r="B61" s="524" t="s">
        <v>2</v>
      </c>
      <c r="C61" s="506" t="s">
        <v>189</v>
      </c>
      <c r="D61" s="58" t="s">
        <v>411</v>
      </c>
      <c r="E61" s="446" t="s">
        <v>412</v>
      </c>
      <c r="F61" s="63">
        <f>SUM('POAI IV TRIM 2020'!AF126:AF127)</f>
        <v>75000000</v>
      </c>
      <c r="G61" s="173"/>
      <c r="H61" s="173"/>
      <c r="I61" s="173"/>
    </row>
    <row r="62" spans="1:10" ht="31.5" customHeight="1" x14ac:dyDescent="0.2">
      <c r="A62" s="82">
        <v>34</v>
      </c>
      <c r="B62" s="524"/>
      <c r="C62" s="522"/>
      <c r="D62" s="28" t="s">
        <v>420</v>
      </c>
      <c r="E62" s="452" t="s">
        <v>421</v>
      </c>
      <c r="F62" s="29">
        <f>SUM('POAI IV TRIM 2020'!AF128:AF129)</f>
        <v>191600000</v>
      </c>
    </row>
    <row r="63" spans="1:10" ht="35.25" customHeight="1" x14ac:dyDescent="0.2">
      <c r="A63" s="82">
        <v>35</v>
      </c>
      <c r="B63" s="524"/>
      <c r="C63" s="522"/>
      <c r="D63" s="28" t="s">
        <v>429</v>
      </c>
      <c r="E63" s="452" t="s">
        <v>430</v>
      </c>
      <c r="F63" s="29">
        <f>SUM('POAI IV TRIM 2020'!AF130:AF132)</f>
        <v>343007436</v>
      </c>
    </row>
    <row r="64" spans="1:10" ht="29.25" customHeight="1" x14ac:dyDescent="0.2">
      <c r="A64" s="82">
        <v>36</v>
      </c>
      <c r="B64" s="524"/>
      <c r="C64" s="522"/>
      <c r="D64" s="28" t="s">
        <v>437</v>
      </c>
      <c r="E64" s="452" t="s">
        <v>438</v>
      </c>
      <c r="F64" s="29">
        <f>'POAI IV TRIM 2020'!AF133</f>
        <v>933596635.85000002</v>
      </c>
    </row>
    <row r="65" spans="1:9" ht="54" customHeight="1" thickBot="1" x14ac:dyDescent="0.25">
      <c r="A65" s="82">
        <v>37</v>
      </c>
      <c r="B65" s="527"/>
      <c r="C65" s="60" t="s">
        <v>439</v>
      </c>
      <c r="D65" s="61" t="s">
        <v>444</v>
      </c>
      <c r="E65" s="60" t="s">
        <v>445</v>
      </c>
      <c r="F65" s="62">
        <f>SUM('POAI IV TRIM 2020'!AF134)</f>
        <v>1235685000</v>
      </c>
    </row>
    <row r="66" spans="1:9" ht="20.25" customHeight="1" thickBot="1" x14ac:dyDescent="0.25">
      <c r="A66" s="82"/>
      <c r="B66" s="500" t="s">
        <v>1270</v>
      </c>
      <c r="C66" s="501"/>
      <c r="D66" s="501"/>
      <c r="E66" s="517"/>
      <c r="F66" s="59">
        <f>SUM(F67:F87)</f>
        <v>1704396659.97</v>
      </c>
      <c r="G66" s="32"/>
      <c r="H66" s="32"/>
      <c r="I66" s="32"/>
    </row>
    <row r="67" spans="1:9" ht="33" customHeight="1" x14ac:dyDescent="0.2">
      <c r="A67" s="82">
        <v>38</v>
      </c>
      <c r="B67" s="524" t="s">
        <v>2</v>
      </c>
      <c r="C67" s="505" t="s">
        <v>458</v>
      </c>
      <c r="D67" s="58" t="s">
        <v>463</v>
      </c>
      <c r="E67" s="446" t="s">
        <v>464</v>
      </c>
      <c r="F67" s="63">
        <f>SUM('POAI IV TRIM 2020'!AF142:AF143)</f>
        <v>389627523.97000003</v>
      </c>
      <c r="G67" s="173"/>
      <c r="H67" s="173"/>
      <c r="I67" s="173"/>
    </row>
    <row r="68" spans="1:9" ht="45.75" customHeight="1" x14ac:dyDescent="0.2">
      <c r="A68" s="82">
        <v>39</v>
      </c>
      <c r="B68" s="524"/>
      <c r="C68" s="505"/>
      <c r="D68" s="28" t="s">
        <v>474</v>
      </c>
      <c r="E68" s="452" t="s">
        <v>475</v>
      </c>
      <c r="F68" s="29">
        <f>'POAI IV TRIM 2020'!AF144</f>
        <v>110000000</v>
      </c>
    </row>
    <row r="69" spans="1:9" ht="40.5" customHeight="1" x14ac:dyDescent="0.2">
      <c r="A69" s="82">
        <v>40</v>
      </c>
      <c r="B69" s="524"/>
      <c r="C69" s="505"/>
      <c r="D69" s="28" t="s">
        <v>480</v>
      </c>
      <c r="E69" s="452" t="s">
        <v>481</v>
      </c>
      <c r="F69" s="29">
        <f>SUM('POAI IV TRIM 2020'!AF145:AF146)</f>
        <v>61400000</v>
      </c>
    </row>
    <row r="70" spans="1:9" ht="39" customHeight="1" x14ac:dyDescent="0.2">
      <c r="A70" s="82">
        <v>41</v>
      </c>
      <c r="B70" s="524"/>
      <c r="C70" s="505"/>
      <c r="D70" s="28" t="s">
        <v>1304</v>
      </c>
      <c r="E70" s="452" t="s">
        <v>487</v>
      </c>
      <c r="F70" s="29">
        <f>SUM('POAI IV TRIM 2020'!AF147:AF148)</f>
        <v>50000000</v>
      </c>
    </row>
    <row r="71" spans="1:9" ht="41.25" customHeight="1" x14ac:dyDescent="0.2">
      <c r="A71" s="82">
        <v>42</v>
      </c>
      <c r="B71" s="524"/>
      <c r="C71" s="505"/>
      <c r="D71" s="28" t="s">
        <v>496</v>
      </c>
      <c r="E71" s="452" t="s">
        <v>497</v>
      </c>
      <c r="F71" s="29">
        <f>SUM('POAI IV TRIM 2020'!AF149:AF151)</f>
        <v>39000000</v>
      </c>
    </row>
    <row r="72" spans="1:9" ht="38.25" customHeight="1" x14ac:dyDescent="0.2">
      <c r="A72" s="82">
        <v>43</v>
      </c>
      <c r="B72" s="524"/>
      <c r="C72" s="506"/>
      <c r="D72" s="28" t="s">
        <v>507</v>
      </c>
      <c r="E72" s="452" t="s">
        <v>508</v>
      </c>
      <c r="F72" s="29">
        <f>SUM('POAI IV TRIM 2020'!AF152)</f>
        <v>30000000</v>
      </c>
    </row>
    <row r="73" spans="1:9" ht="56.25" customHeight="1" x14ac:dyDescent="0.2">
      <c r="A73" s="82"/>
      <c r="B73" s="524"/>
      <c r="C73" s="452" t="s">
        <v>509</v>
      </c>
      <c r="D73" s="28" t="s">
        <v>496</v>
      </c>
      <c r="E73" s="452" t="s">
        <v>4</v>
      </c>
      <c r="F73" s="29">
        <f>'POAI IV TRIM 2020'!AF154</f>
        <v>40000000</v>
      </c>
    </row>
    <row r="74" spans="1:9" ht="48" customHeight="1" x14ac:dyDescent="0.2">
      <c r="A74" s="82">
        <v>44</v>
      </c>
      <c r="B74" s="524"/>
      <c r="C74" s="452" t="s">
        <v>514</v>
      </c>
      <c r="D74" s="28" t="s">
        <v>519</v>
      </c>
      <c r="E74" s="452" t="s">
        <v>520</v>
      </c>
      <c r="F74" s="29">
        <f>SUM('POAI IV TRIM 2020'!AF156:AF157)</f>
        <v>40000000</v>
      </c>
    </row>
    <row r="75" spans="1:9" ht="45" customHeight="1" x14ac:dyDescent="0.2">
      <c r="A75" s="82"/>
      <c r="B75" s="524"/>
      <c r="C75" s="452" t="s">
        <v>525</v>
      </c>
      <c r="D75" s="28" t="s">
        <v>480</v>
      </c>
      <c r="E75" s="452" t="s">
        <v>481</v>
      </c>
      <c r="F75" s="29">
        <f>'POAI IV TRIM 2020'!AF159</f>
        <v>12800000</v>
      </c>
    </row>
    <row r="76" spans="1:9" ht="42" customHeight="1" x14ac:dyDescent="0.2">
      <c r="A76" s="82"/>
      <c r="B76" s="524"/>
      <c r="C76" s="452" t="s">
        <v>530</v>
      </c>
      <c r="D76" s="28" t="s">
        <v>1304</v>
      </c>
      <c r="E76" s="452" t="s">
        <v>5</v>
      </c>
      <c r="F76" s="29">
        <f>'POAI IV TRIM 2020'!AF161</f>
        <v>50000000</v>
      </c>
    </row>
    <row r="77" spans="1:9" ht="56.25" customHeight="1" x14ac:dyDescent="0.2">
      <c r="A77" s="82">
        <v>45</v>
      </c>
      <c r="B77" s="524"/>
      <c r="C77" s="452" t="s">
        <v>535</v>
      </c>
      <c r="D77" s="28" t="s">
        <v>539</v>
      </c>
      <c r="E77" s="452" t="s">
        <v>540</v>
      </c>
      <c r="F77" s="29">
        <f>'POAI IV TRIM 2020'!AF163+'POAI IV TRIM 2020'!AF164</f>
        <v>30519269</v>
      </c>
    </row>
    <row r="78" spans="1:9" ht="42.75" customHeight="1" x14ac:dyDescent="0.2">
      <c r="A78" s="82"/>
      <c r="B78" s="524"/>
      <c r="C78" s="452" t="s">
        <v>181</v>
      </c>
      <c r="D78" s="28" t="s">
        <v>507</v>
      </c>
      <c r="E78" s="452" t="s">
        <v>544</v>
      </c>
      <c r="F78" s="29">
        <f>SUM('POAI IV TRIM 2020'!AF166:AF167)</f>
        <v>75000000</v>
      </c>
    </row>
    <row r="79" spans="1:9" ht="42" customHeight="1" x14ac:dyDescent="0.2">
      <c r="A79" s="82"/>
      <c r="B79" s="518"/>
      <c r="C79" s="452" t="s">
        <v>189</v>
      </c>
      <c r="D79" s="28" t="s">
        <v>480</v>
      </c>
      <c r="E79" s="452" t="s">
        <v>481</v>
      </c>
      <c r="F79" s="29">
        <f>SUM('POAI IV TRIM 2020'!AF169:AF170)</f>
        <v>40000000</v>
      </c>
    </row>
    <row r="80" spans="1:9" ht="56.25" customHeight="1" x14ac:dyDescent="0.2">
      <c r="A80" s="82">
        <v>46</v>
      </c>
      <c r="B80" s="519" t="s">
        <v>3</v>
      </c>
      <c r="C80" s="452" t="s">
        <v>555</v>
      </c>
      <c r="D80" s="28" t="s">
        <v>560</v>
      </c>
      <c r="E80" s="452" t="s">
        <v>561</v>
      </c>
      <c r="F80" s="29">
        <f>SUM('POAI IV TRIM 2020'!AF173)</f>
        <v>40000000</v>
      </c>
    </row>
    <row r="81" spans="1:9" ht="33" customHeight="1" x14ac:dyDescent="0.2">
      <c r="A81" s="82">
        <v>47</v>
      </c>
      <c r="B81" s="524"/>
      <c r="C81" s="522" t="s">
        <v>202</v>
      </c>
      <c r="D81" s="28" t="s">
        <v>565</v>
      </c>
      <c r="E81" s="452" t="s">
        <v>566</v>
      </c>
      <c r="F81" s="29">
        <f>SUM('POAI IV TRIM 2020'!AF175)</f>
        <v>80000000</v>
      </c>
    </row>
    <row r="82" spans="1:9" ht="39" customHeight="1" x14ac:dyDescent="0.2">
      <c r="A82" s="82">
        <v>48</v>
      </c>
      <c r="B82" s="524"/>
      <c r="C82" s="522"/>
      <c r="D82" s="28" t="s">
        <v>571</v>
      </c>
      <c r="E82" s="452" t="s">
        <v>572</v>
      </c>
      <c r="F82" s="29">
        <f>SUM('POAI IV TRIM 2020'!AF176:AF177)</f>
        <v>450049867</v>
      </c>
    </row>
    <row r="83" spans="1:9" ht="38.25" customHeight="1" x14ac:dyDescent="0.2">
      <c r="A83" s="82">
        <v>49</v>
      </c>
      <c r="B83" s="524"/>
      <c r="C83" s="522"/>
      <c r="D83" s="28" t="s">
        <v>580</v>
      </c>
      <c r="E83" s="452" t="s">
        <v>581</v>
      </c>
      <c r="F83" s="29">
        <f>SUM('POAI IV TRIM 2020'!AF178)</f>
        <v>30000000</v>
      </c>
    </row>
    <row r="84" spans="1:9" ht="22.5" x14ac:dyDescent="0.2">
      <c r="A84" s="82">
        <v>50</v>
      </c>
      <c r="B84" s="524"/>
      <c r="C84" s="522"/>
      <c r="D84" s="28" t="s">
        <v>586</v>
      </c>
      <c r="E84" s="452" t="s">
        <v>587</v>
      </c>
      <c r="F84" s="29">
        <f>SUM('POAI IV TRIM 2020'!AF179)</f>
        <v>40000000</v>
      </c>
    </row>
    <row r="85" spans="1:9" ht="42.75" customHeight="1" x14ac:dyDescent="0.2">
      <c r="A85" s="82">
        <v>51</v>
      </c>
      <c r="B85" s="524"/>
      <c r="C85" s="452" t="s">
        <v>589</v>
      </c>
      <c r="D85" s="28" t="s">
        <v>594</v>
      </c>
      <c r="E85" s="452" t="s">
        <v>595</v>
      </c>
      <c r="F85" s="29">
        <f>SUM('POAI IV TRIM 2020'!AF181)</f>
        <v>26000000</v>
      </c>
    </row>
    <row r="86" spans="1:9" ht="41.25" customHeight="1" x14ac:dyDescent="0.2">
      <c r="A86" s="82"/>
      <c r="B86" s="524"/>
      <c r="C86" s="452" t="s">
        <v>207</v>
      </c>
      <c r="D86" s="28" t="s">
        <v>586</v>
      </c>
      <c r="E86" s="452" t="s">
        <v>587</v>
      </c>
      <c r="F86" s="29">
        <f>'POAI IV TRIM 2020'!AF183</f>
        <v>50000000</v>
      </c>
    </row>
    <row r="87" spans="1:9" ht="56.25" customHeight="1" thickBot="1" x14ac:dyDescent="0.25">
      <c r="A87" s="82">
        <v>52</v>
      </c>
      <c r="B87" s="524"/>
      <c r="C87" s="450" t="s">
        <v>600</v>
      </c>
      <c r="D87" s="33" t="s">
        <v>605</v>
      </c>
      <c r="E87" s="450" t="s">
        <v>6</v>
      </c>
      <c r="F87" s="68">
        <f>'POAI IV TRIM 2020'!AF185</f>
        <v>20000000</v>
      </c>
    </row>
    <row r="88" spans="1:9" ht="15.75" customHeight="1" thickBot="1" x14ac:dyDescent="0.25">
      <c r="A88" s="82"/>
      <c r="B88" s="500" t="s">
        <v>1271</v>
      </c>
      <c r="C88" s="501"/>
      <c r="D88" s="501"/>
      <c r="E88" s="517"/>
      <c r="F88" s="66">
        <f>SUM(F89:F91)</f>
        <v>1101267429</v>
      </c>
      <c r="G88" s="32"/>
      <c r="H88" s="32"/>
      <c r="I88" s="32"/>
    </row>
    <row r="89" spans="1:9" ht="33.75" customHeight="1" x14ac:dyDescent="0.2">
      <c r="A89" s="82">
        <v>53</v>
      </c>
      <c r="B89" s="524" t="s">
        <v>44</v>
      </c>
      <c r="C89" s="505" t="s">
        <v>607</v>
      </c>
      <c r="D89" s="58" t="s">
        <v>611</v>
      </c>
      <c r="E89" s="446" t="s">
        <v>612</v>
      </c>
      <c r="F89" s="63">
        <f>'POAI IV TRIM 2020'!AF189</f>
        <v>255021326</v>
      </c>
    </row>
    <row r="90" spans="1:9" ht="33.75" customHeight="1" x14ac:dyDescent="0.2">
      <c r="A90" s="82">
        <v>54</v>
      </c>
      <c r="B90" s="524"/>
      <c r="C90" s="506"/>
      <c r="D90" s="28" t="s">
        <v>617</v>
      </c>
      <c r="E90" s="452" t="s">
        <v>618</v>
      </c>
      <c r="F90" s="29">
        <f>'POAI IV TRIM 2020'!AF190</f>
        <v>786246103</v>
      </c>
    </row>
    <row r="91" spans="1:9" ht="51.75" customHeight="1" thickBot="1" x14ac:dyDescent="0.25">
      <c r="A91" s="82">
        <v>55</v>
      </c>
      <c r="B91" s="524"/>
      <c r="C91" s="450" t="s">
        <v>61</v>
      </c>
      <c r="D91" s="33" t="s">
        <v>622</v>
      </c>
      <c r="E91" s="450" t="s">
        <v>623</v>
      </c>
      <c r="F91" s="68">
        <f>'POAI IV TRIM 2020'!AF192</f>
        <v>60000000</v>
      </c>
      <c r="G91" s="173"/>
    </row>
    <row r="92" spans="1:9" s="47" customFormat="1" ht="18" customHeight="1" thickBot="1" x14ac:dyDescent="0.25">
      <c r="A92" s="83"/>
      <c r="B92" s="500" t="s">
        <v>1272</v>
      </c>
      <c r="C92" s="501"/>
      <c r="D92" s="501"/>
      <c r="E92" s="517"/>
      <c r="F92" s="59">
        <f>SUM(F93:F105)</f>
        <v>178324204793.70999</v>
      </c>
      <c r="G92" s="172"/>
      <c r="H92" s="172"/>
      <c r="I92" s="172"/>
    </row>
    <row r="93" spans="1:9" s="36" customFormat="1" ht="45" x14ac:dyDescent="0.2">
      <c r="A93" s="177">
        <v>56</v>
      </c>
      <c r="B93" s="523" t="s">
        <v>1</v>
      </c>
      <c r="C93" s="528" t="s">
        <v>153</v>
      </c>
      <c r="D93" s="70" t="s">
        <v>630</v>
      </c>
      <c r="E93" s="453" t="s">
        <v>631</v>
      </c>
      <c r="F93" s="181">
        <f>SUM('POAI IV TRIM 2020'!AF196:AF197)</f>
        <v>20949608404.5</v>
      </c>
    </row>
    <row r="94" spans="1:9" s="36" customFormat="1" ht="33.75" x14ac:dyDescent="0.2">
      <c r="A94" s="177">
        <v>57</v>
      </c>
      <c r="B94" s="523"/>
      <c r="C94" s="528"/>
      <c r="D94" s="34" t="s">
        <v>642</v>
      </c>
      <c r="E94" s="35" t="s">
        <v>643</v>
      </c>
      <c r="F94" s="182">
        <f>SUM('POAI IV TRIM 2020'!AF198:AF199)</f>
        <v>1244983412</v>
      </c>
    </row>
    <row r="95" spans="1:9" s="36" customFormat="1" ht="22.5" x14ac:dyDescent="0.2">
      <c r="A95" s="177">
        <v>58</v>
      </c>
      <c r="B95" s="523"/>
      <c r="C95" s="528"/>
      <c r="D95" s="34" t="s">
        <v>654</v>
      </c>
      <c r="E95" s="35" t="s">
        <v>8</v>
      </c>
      <c r="F95" s="182">
        <f>SUM('POAI IV TRIM 2020'!AF200)</f>
        <v>150688886883.94</v>
      </c>
    </row>
    <row r="96" spans="1:9" s="36" customFormat="1" ht="33.75" x14ac:dyDescent="0.2">
      <c r="A96" s="177">
        <v>59</v>
      </c>
      <c r="B96" s="523"/>
      <c r="C96" s="528"/>
      <c r="D96" s="34" t="s">
        <v>655</v>
      </c>
      <c r="E96" s="35" t="s">
        <v>656</v>
      </c>
      <c r="F96" s="182">
        <f>SUM('POAI IV TRIM 2020'!AF201)</f>
        <v>2291845202</v>
      </c>
    </row>
    <row r="97" spans="1:9" s="36" customFormat="1" ht="45" x14ac:dyDescent="0.2">
      <c r="A97" s="177">
        <v>60</v>
      </c>
      <c r="B97" s="523"/>
      <c r="C97" s="528"/>
      <c r="D97" s="34" t="s">
        <v>662</v>
      </c>
      <c r="E97" s="35" t="s">
        <v>663</v>
      </c>
      <c r="F97" s="182">
        <f>SUM('POAI IV TRIM 2020'!AF202:AF207)</f>
        <v>2227269475.27</v>
      </c>
    </row>
    <row r="98" spans="1:9" s="36" customFormat="1" ht="45" x14ac:dyDescent="0.2">
      <c r="A98" s="177">
        <v>61</v>
      </c>
      <c r="B98" s="523"/>
      <c r="C98" s="528"/>
      <c r="D98" s="34" t="s">
        <v>672</v>
      </c>
      <c r="E98" s="35" t="s">
        <v>673</v>
      </c>
      <c r="F98" s="182">
        <f>SUM('POAI IV TRIM 2020'!AF208)</f>
        <v>20000000</v>
      </c>
    </row>
    <row r="99" spans="1:9" s="36" customFormat="1" ht="33.75" x14ac:dyDescent="0.2">
      <c r="A99" s="177">
        <v>62</v>
      </c>
      <c r="B99" s="523"/>
      <c r="C99" s="528"/>
      <c r="D99" s="34" t="s">
        <v>674</v>
      </c>
      <c r="E99" s="35" t="s">
        <v>675</v>
      </c>
      <c r="F99" s="182">
        <f>SUM('POAI IV TRIM 2020'!AF209)</f>
        <v>58500000</v>
      </c>
    </row>
    <row r="100" spans="1:9" s="36" customFormat="1" ht="22.5" x14ac:dyDescent="0.2">
      <c r="A100" s="177">
        <v>63</v>
      </c>
      <c r="B100" s="523"/>
      <c r="C100" s="528"/>
      <c r="D100" s="34" t="s">
        <v>681</v>
      </c>
      <c r="E100" s="35" t="s">
        <v>682</v>
      </c>
      <c r="F100" s="182">
        <f>SUM('POAI IV TRIM 2020'!AF210)</f>
        <v>40000000</v>
      </c>
    </row>
    <row r="101" spans="1:9" ht="33.75" x14ac:dyDescent="0.2">
      <c r="A101" s="177">
        <v>64</v>
      </c>
      <c r="B101" s="523"/>
      <c r="C101" s="528"/>
      <c r="D101" s="34" t="s">
        <v>687</v>
      </c>
      <c r="E101" s="35" t="s">
        <v>688</v>
      </c>
      <c r="F101" s="182">
        <f>SUM('POAI IV TRIM 2020'!AF211:AF212)</f>
        <v>549272916</v>
      </c>
    </row>
    <row r="102" spans="1:9" ht="45" x14ac:dyDescent="0.2">
      <c r="A102" s="177">
        <v>65</v>
      </c>
      <c r="B102" s="523"/>
      <c r="C102" s="528"/>
      <c r="D102" s="34" t="s">
        <v>695</v>
      </c>
      <c r="E102" s="35" t="s">
        <v>696</v>
      </c>
      <c r="F102" s="182">
        <f>SUM('POAI IV TRIM 2020'!AF213:AF215)</f>
        <v>0</v>
      </c>
    </row>
    <row r="103" spans="1:9" ht="33.75" x14ac:dyDescent="0.2">
      <c r="A103" s="177">
        <v>66</v>
      </c>
      <c r="B103" s="523"/>
      <c r="C103" s="529"/>
      <c r="D103" s="34" t="s">
        <v>707</v>
      </c>
      <c r="E103" s="35" t="s">
        <v>7</v>
      </c>
      <c r="F103" s="182">
        <f>SUM('POAI IV TRIM 2020'!AF216)</f>
        <v>10000000</v>
      </c>
    </row>
    <row r="104" spans="1:9" ht="33.75" x14ac:dyDescent="0.2">
      <c r="A104" s="177">
        <v>67</v>
      </c>
      <c r="B104" s="523"/>
      <c r="C104" s="530" t="s">
        <v>708</v>
      </c>
      <c r="D104" s="34" t="s">
        <v>674</v>
      </c>
      <c r="E104" s="35" t="s">
        <v>714</v>
      </c>
      <c r="F104" s="182">
        <f>SUM('POAI IV TRIM 2020'!AF218)</f>
        <v>43838500</v>
      </c>
    </row>
    <row r="105" spans="1:9" ht="45.75" thickBot="1" x14ac:dyDescent="0.25">
      <c r="A105" s="177">
        <v>68</v>
      </c>
      <c r="B105" s="523"/>
      <c r="C105" s="528"/>
      <c r="D105" s="71" t="s">
        <v>715</v>
      </c>
      <c r="E105" s="454" t="s">
        <v>716</v>
      </c>
      <c r="F105" s="183">
        <f>SUM('POAI IV TRIM 2020'!AF219)</f>
        <v>200000000</v>
      </c>
    </row>
    <row r="106" spans="1:9" ht="19.5" customHeight="1" thickBot="1" x14ac:dyDescent="0.25">
      <c r="A106" s="82"/>
      <c r="B106" s="500" t="s">
        <v>1273</v>
      </c>
      <c r="C106" s="501"/>
      <c r="D106" s="501"/>
      <c r="E106" s="501"/>
      <c r="F106" s="69">
        <f>SUM(F107:F131)</f>
        <v>5933774901.3899994</v>
      </c>
      <c r="G106" s="32"/>
      <c r="H106" s="32"/>
      <c r="I106" s="32"/>
    </row>
    <row r="107" spans="1:9" ht="45" x14ac:dyDescent="0.2">
      <c r="A107" s="82">
        <v>69</v>
      </c>
      <c r="B107" s="524" t="s">
        <v>718</v>
      </c>
      <c r="C107" s="446" t="s">
        <v>719</v>
      </c>
      <c r="D107" s="58" t="s">
        <v>725</v>
      </c>
      <c r="E107" s="446" t="s">
        <v>726</v>
      </c>
      <c r="F107" s="63">
        <f>'POAI IV TRIM 2020'!AF222</f>
        <v>54477635</v>
      </c>
    </row>
    <row r="108" spans="1:9" ht="33.75" x14ac:dyDescent="0.2">
      <c r="A108" s="82">
        <v>70</v>
      </c>
      <c r="B108" s="524"/>
      <c r="C108" s="452" t="s">
        <v>163</v>
      </c>
      <c r="D108" s="28" t="s">
        <v>735</v>
      </c>
      <c r="E108" s="452" t="s">
        <v>736</v>
      </c>
      <c r="F108" s="29">
        <f>'POAI IV TRIM 2020'!AF226</f>
        <v>47000000</v>
      </c>
    </row>
    <row r="109" spans="1:9" ht="33.75" x14ac:dyDescent="0.2">
      <c r="A109" s="82">
        <v>71</v>
      </c>
      <c r="B109" s="524"/>
      <c r="C109" s="522" t="s">
        <v>737</v>
      </c>
      <c r="D109" s="28" t="s">
        <v>742</v>
      </c>
      <c r="E109" s="452" t="s">
        <v>743</v>
      </c>
      <c r="F109" s="29">
        <f>SUM('POAI IV TRIM 2020'!AF228:AF229)</f>
        <v>55000000</v>
      </c>
    </row>
    <row r="110" spans="1:9" ht="22.5" x14ac:dyDescent="0.2">
      <c r="A110" s="82">
        <v>72</v>
      </c>
      <c r="B110" s="524"/>
      <c r="C110" s="522"/>
      <c r="D110" s="28" t="s">
        <v>754</v>
      </c>
      <c r="E110" s="452" t="s">
        <v>755</v>
      </c>
      <c r="F110" s="29">
        <f>'POAI IV TRIM 2020'!AF230</f>
        <v>79896166</v>
      </c>
    </row>
    <row r="111" spans="1:9" ht="33.75" x14ac:dyDescent="0.2">
      <c r="A111" s="82">
        <v>73</v>
      </c>
      <c r="B111" s="524"/>
      <c r="C111" s="522"/>
      <c r="D111" s="28" t="s">
        <v>761</v>
      </c>
      <c r="E111" s="452" t="s">
        <v>762</v>
      </c>
      <c r="F111" s="29">
        <f>'POAI IV TRIM 2020'!AF231</f>
        <v>430000000</v>
      </c>
    </row>
    <row r="112" spans="1:9" ht="33.75" x14ac:dyDescent="0.2">
      <c r="A112" s="82"/>
      <c r="B112" s="524"/>
      <c r="C112" s="522"/>
      <c r="D112" s="28" t="s">
        <v>735</v>
      </c>
      <c r="E112" s="452" t="s">
        <v>736</v>
      </c>
      <c r="F112" s="29">
        <f>'POAI IV TRIM 2020'!AF232</f>
        <v>40401666</v>
      </c>
    </row>
    <row r="113" spans="1:6" s="37" customFormat="1" ht="56.25" x14ac:dyDescent="0.25">
      <c r="A113" s="82">
        <v>74</v>
      </c>
      <c r="B113" s="524"/>
      <c r="C113" s="522"/>
      <c r="D113" s="28" t="s">
        <v>773</v>
      </c>
      <c r="E113" s="452" t="s">
        <v>774</v>
      </c>
      <c r="F113" s="29">
        <f>SUM('POAI IV TRIM 2020'!AF233)</f>
        <v>13000000</v>
      </c>
    </row>
    <row r="114" spans="1:6" s="37" customFormat="1" ht="45" x14ac:dyDescent="0.25">
      <c r="A114" s="82">
        <v>75</v>
      </c>
      <c r="B114" s="524"/>
      <c r="C114" s="522"/>
      <c r="D114" s="38" t="s">
        <v>779</v>
      </c>
      <c r="E114" s="452" t="s">
        <v>780</v>
      </c>
      <c r="F114" s="29">
        <f>'POAI IV TRIM 2020'!AF234</f>
        <v>55000000</v>
      </c>
    </row>
    <row r="115" spans="1:6" s="37" customFormat="1" ht="56.25" x14ac:dyDescent="0.25">
      <c r="A115" s="82">
        <v>76</v>
      </c>
      <c r="B115" s="524"/>
      <c r="C115" s="522"/>
      <c r="D115" s="28" t="s">
        <v>786</v>
      </c>
      <c r="E115" s="452" t="s">
        <v>787</v>
      </c>
      <c r="F115" s="29">
        <f>'POAI IV TRIM 2020'!AF235</f>
        <v>14000000</v>
      </c>
    </row>
    <row r="116" spans="1:6" s="37" customFormat="1" ht="33.75" x14ac:dyDescent="0.25">
      <c r="A116" s="82"/>
      <c r="B116" s="524"/>
      <c r="C116" s="522" t="s">
        <v>301</v>
      </c>
      <c r="D116" s="28" t="s">
        <v>735</v>
      </c>
      <c r="E116" s="452" t="s">
        <v>736</v>
      </c>
      <c r="F116" s="29">
        <f>'POAI IV TRIM 2020'!AF237</f>
        <v>27000000</v>
      </c>
    </row>
    <row r="117" spans="1:6" ht="33.75" x14ac:dyDescent="0.2">
      <c r="A117" s="82">
        <v>77</v>
      </c>
      <c r="B117" s="524"/>
      <c r="C117" s="522"/>
      <c r="D117" s="28" t="s">
        <v>795</v>
      </c>
      <c r="E117" s="39" t="s">
        <v>796</v>
      </c>
      <c r="F117" s="29">
        <f>'POAI IV TRIM 2020'!AF238</f>
        <v>44520000</v>
      </c>
    </row>
    <row r="118" spans="1:6" ht="56.25" x14ac:dyDescent="0.2">
      <c r="A118" s="82"/>
      <c r="B118" s="524"/>
      <c r="C118" s="522"/>
      <c r="D118" s="28" t="s">
        <v>773</v>
      </c>
      <c r="E118" s="452" t="s">
        <v>774</v>
      </c>
      <c r="F118" s="29">
        <f>'POAI IV TRIM 2020'!AF239</f>
        <v>25000000</v>
      </c>
    </row>
    <row r="119" spans="1:6" ht="33.75" x14ac:dyDescent="0.2">
      <c r="A119" s="82">
        <v>78</v>
      </c>
      <c r="B119" s="524"/>
      <c r="C119" s="522"/>
      <c r="D119" s="38" t="s">
        <v>806</v>
      </c>
      <c r="E119" s="452" t="s">
        <v>807</v>
      </c>
      <c r="F119" s="29">
        <f>'POAI IV TRIM 2020'!AF240</f>
        <v>27000000</v>
      </c>
    </row>
    <row r="120" spans="1:6" ht="45" x14ac:dyDescent="0.2">
      <c r="A120" s="82">
        <v>79</v>
      </c>
      <c r="B120" s="524"/>
      <c r="C120" s="522"/>
      <c r="D120" s="38" t="s">
        <v>813</v>
      </c>
      <c r="E120" s="452" t="s">
        <v>814</v>
      </c>
      <c r="F120" s="29">
        <f>SUM('POAI IV TRIM 2020'!AF241:AF242)</f>
        <v>79500000</v>
      </c>
    </row>
    <row r="121" spans="1:6" ht="33.75" x14ac:dyDescent="0.2">
      <c r="A121" s="82">
        <v>80</v>
      </c>
      <c r="B121" s="524"/>
      <c r="C121" s="522"/>
      <c r="D121" s="38" t="s">
        <v>823</v>
      </c>
      <c r="E121" s="452" t="s">
        <v>824</v>
      </c>
      <c r="F121" s="29">
        <f>'POAI IV TRIM 2020'!AF243</f>
        <v>30000000</v>
      </c>
    </row>
    <row r="122" spans="1:6" ht="33.75" x14ac:dyDescent="0.2">
      <c r="A122" s="82"/>
      <c r="B122" s="524"/>
      <c r="C122" s="516" t="s">
        <v>825</v>
      </c>
      <c r="D122" s="38" t="s">
        <v>806</v>
      </c>
      <c r="E122" s="452" t="s">
        <v>807</v>
      </c>
      <c r="F122" s="29">
        <f>SUM('POAI IV TRIM 2020'!AF245:AF246)</f>
        <v>39000000</v>
      </c>
    </row>
    <row r="123" spans="1:6" ht="33.75" x14ac:dyDescent="0.2">
      <c r="A123" s="82">
        <v>81</v>
      </c>
      <c r="B123" s="524"/>
      <c r="C123" s="505"/>
      <c r="D123" s="38" t="s">
        <v>839</v>
      </c>
      <c r="E123" s="452" t="s">
        <v>840</v>
      </c>
      <c r="F123" s="29">
        <f>'POAI IV TRIM 2020'!AF247</f>
        <v>18000000</v>
      </c>
    </row>
    <row r="124" spans="1:6" ht="22.5" x14ac:dyDescent="0.2">
      <c r="A124" s="82">
        <v>82</v>
      </c>
      <c r="B124" s="524"/>
      <c r="C124" s="505"/>
      <c r="D124" s="38" t="s">
        <v>846</v>
      </c>
      <c r="E124" s="452" t="s">
        <v>847</v>
      </c>
      <c r="F124" s="29">
        <f>'POAI IV TRIM 2020'!AF248</f>
        <v>83980000</v>
      </c>
    </row>
    <row r="125" spans="1:6" ht="22.5" x14ac:dyDescent="0.2">
      <c r="A125" s="82">
        <v>83</v>
      </c>
      <c r="B125" s="524"/>
      <c r="C125" s="505"/>
      <c r="D125" s="38" t="s">
        <v>853</v>
      </c>
      <c r="E125" s="452" t="s">
        <v>854</v>
      </c>
      <c r="F125" s="29">
        <f>'POAI IV TRIM 2020'!AF249</f>
        <v>79725000</v>
      </c>
    </row>
    <row r="126" spans="1:6" ht="22.5" x14ac:dyDescent="0.2">
      <c r="A126" s="82">
        <v>84</v>
      </c>
      <c r="B126" s="524"/>
      <c r="C126" s="505"/>
      <c r="D126" s="38" t="s">
        <v>859</v>
      </c>
      <c r="E126" s="452" t="s">
        <v>860</v>
      </c>
      <c r="F126" s="29">
        <f>SUM('POAI IV TRIM 2020'!AF250:AF252)</f>
        <v>4402478159.3899994</v>
      </c>
    </row>
    <row r="127" spans="1:6" ht="33.75" x14ac:dyDescent="0.2">
      <c r="A127" s="82">
        <v>85</v>
      </c>
      <c r="B127" s="524"/>
      <c r="C127" s="506"/>
      <c r="D127" s="38" t="s">
        <v>874</v>
      </c>
      <c r="E127" s="452" t="s">
        <v>875</v>
      </c>
      <c r="F127" s="29">
        <f>'POAI IV TRIM 2020'!AF253</f>
        <v>168796275</v>
      </c>
    </row>
    <row r="128" spans="1:6" ht="67.5" x14ac:dyDescent="0.2">
      <c r="A128" s="82">
        <v>86</v>
      </c>
      <c r="B128" s="524"/>
      <c r="C128" s="516" t="s">
        <v>309</v>
      </c>
      <c r="D128" s="38" t="s">
        <v>879</v>
      </c>
      <c r="E128" s="452" t="s">
        <v>880</v>
      </c>
      <c r="F128" s="29">
        <f>'POAI IV TRIM 2020'!AF255</f>
        <v>40000000</v>
      </c>
    </row>
    <row r="129" spans="1:9" ht="22.5" x14ac:dyDescent="0.2">
      <c r="A129" s="82">
        <v>87</v>
      </c>
      <c r="B129" s="524"/>
      <c r="C129" s="505"/>
      <c r="D129" s="40" t="s">
        <v>883</v>
      </c>
      <c r="E129" s="450" t="s">
        <v>884</v>
      </c>
      <c r="F129" s="68">
        <f>'POAI IV TRIM 2020'!AF256</f>
        <v>40000000</v>
      </c>
    </row>
    <row r="130" spans="1:9" ht="45" x14ac:dyDescent="0.2">
      <c r="A130" s="82"/>
      <c r="B130" s="451" t="s">
        <v>2</v>
      </c>
      <c r="C130" s="452" t="s">
        <v>885</v>
      </c>
      <c r="D130" s="38" t="s">
        <v>779</v>
      </c>
      <c r="E130" s="452" t="s">
        <v>890</v>
      </c>
      <c r="F130" s="29">
        <f>'POAI IV TRIM 2020'!AF259</f>
        <v>25000000</v>
      </c>
    </row>
    <row r="131" spans="1:9" ht="68.25" thickBot="1" x14ac:dyDescent="0.25">
      <c r="A131" s="82"/>
      <c r="B131" s="451" t="s">
        <v>70</v>
      </c>
      <c r="C131" s="450" t="s">
        <v>61</v>
      </c>
      <c r="D131" s="40" t="s">
        <v>879</v>
      </c>
      <c r="E131" s="450" t="s">
        <v>880</v>
      </c>
      <c r="F131" s="68">
        <f>'POAI IV TRIM 2020'!AF262</f>
        <v>15000000</v>
      </c>
    </row>
    <row r="132" spans="1:9" ht="20.25" customHeight="1" thickBot="1" x14ac:dyDescent="0.25">
      <c r="A132" s="82"/>
      <c r="B132" s="69" t="s">
        <v>1274</v>
      </c>
      <c r="C132" s="190"/>
      <c r="D132" s="64"/>
      <c r="E132" s="64"/>
      <c r="F132" s="69">
        <f>SUM(F133:F157)</f>
        <v>49515588163.32</v>
      </c>
      <c r="G132" s="32"/>
      <c r="H132" s="32"/>
      <c r="I132" s="32"/>
    </row>
    <row r="133" spans="1:9" ht="22.5" x14ac:dyDescent="0.2">
      <c r="A133" s="82">
        <v>88</v>
      </c>
      <c r="B133" s="531" t="s">
        <v>895</v>
      </c>
      <c r="C133" s="505" t="s">
        <v>896</v>
      </c>
      <c r="D133" s="58" t="s">
        <v>901</v>
      </c>
      <c r="E133" s="446" t="s">
        <v>10</v>
      </c>
      <c r="F133" s="63">
        <f>'POAI IV TRIM 2020'!AF266</f>
        <v>50000000</v>
      </c>
    </row>
    <row r="134" spans="1:9" ht="22.5" x14ac:dyDescent="0.2">
      <c r="A134" s="82">
        <v>89</v>
      </c>
      <c r="B134" s="531"/>
      <c r="C134" s="505"/>
      <c r="D134" s="28" t="s">
        <v>906</v>
      </c>
      <c r="E134" s="452" t="s">
        <v>907</v>
      </c>
      <c r="F134" s="29">
        <f>SUM('POAI IV TRIM 2020'!AF267:AF273)</f>
        <v>1314628216.8600001</v>
      </c>
    </row>
    <row r="135" spans="1:9" ht="33.75" x14ac:dyDescent="0.2">
      <c r="A135" s="82">
        <v>90</v>
      </c>
      <c r="B135" s="531"/>
      <c r="C135" s="505"/>
      <c r="D135" s="28" t="s">
        <v>936</v>
      </c>
      <c r="E135" s="452" t="s">
        <v>937</v>
      </c>
      <c r="F135" s="29">
        <f>SUM('POAI IV TRIM 2020'!AF274:AF275)</f>
        <v>315470000</v>
      </c>
    </row>
    <row r="136" spans="1:9" ht="33.75" x14ac:dyDescent="0.2">
      <c r="A136" s="82">
        <v>91</v>
      </c>
      <c r="B136" s="531"/>
      <c r="C136" s="505"/>
      <c r="D136" s="28" t="s">
        <v>947</v>
      </c>
      <c r="E136" s="452" t="s">
        <v>948</v>
      </c>
      <c r="F136" s="29">
        <f>SUM('POAI IV TRIM 2020'!AF276:AF278)</f>
        <v>1079211718</v>
      </c>
    </row>
    <row r="137" spans="1:9" ht="22.5" x14ac:dyDescent="0.2">
      <c r="A137" s="82">
        <v>92</v>
      </c>
      <c r="B137" s="531"/>
      <c r="C137" s="505"/>
      <c r="D137" s="28" t="s">
        <v>959</v>
      </c>
      <c r="E137" s="452" t="s">
        <v>960</v>
      </c>
      <c r="F137" s="29">
        <f>SUM('POAI IV TRIM 2020'!AF279)</f>
        <v>636000000</v>
      </c>
    </row>
    <row r="138" spans="1:9" ht="33.75" x14ac:dyDescent="0.2">
      <c r="A138" s="82">
        <v>93</v>
      </c>
      <c r="B138" s="531"/>
      <c r="C138" s="505"/>
      <c r="D138" s="28" t="s">
        <v>964</v>
      </c>
      <c r="E138" s="452" t="s">
        <v>965</v>
      </c>
      <c r="F138" s="29">
        <f>SUM('POAI IV TRIM 2020'!AF280)</f>
        <v>96954000</v>
      </c>
    </row>
    <row r="139" spans="1:9" ht="33.75" x14ac:dyDescent="0.2">
      <c r="A139" s="82">
        <v>94</v>
      </c>
      <c r="B139" s="531"/>
      <c r="C139" s="505"/>
      <c r="D139" s="28" t="s">
        <v>969</v>
      </c>
      <c r="E139" s="452" t="s">
        <v>970</v>
      </c>
      <c r="F139" s="29">
        <f>SUM('POAI IV TRIM 2020'!AF281:AF284)</f>
        <v>64636000</v>
      </c>
    </row>
    <row r="140" spans="1:9" ht="22.5" x14ac:dyDescent="0.2">
      <c r="A140" s="82">
        <v>95</v>
      </c>
      <c r="B140" s="531"/>
      <c r="C140" s="506"/>
      <c r="D140" s="28" t="s">
        <v>982</v>
      </c>
      <c r="E140" s="452" t="s">
        <v>983</v>
      </c>
      <c r="F140" s="29">
        <f>SUM('POAI IV TRIM 2020'!AF285:AF288)</f>
        <v>150000000</v>
      </c>
    </row>
    <row r="141" spans="1:9" ht="22.5" x14ac:dyDescent="0.2">
      <c r="A141" s="82"/>
      <c r="B141" s="531"/>
      <c r="C141" s="516" t="s">
        <v>719</v>
      </c>
      <c r="D141" s="28" t="s">
        <v>901</v>
      </c>
      <c r="E141" s="452" t="s">
        <v>10</v>
      </c>
      <c r="F141" s="29">
        <f>SUM('POAI IV TRIM 2020'!AF290:AF291)</f>
        <v>68000000</v>
      </c>
    </row>
    <row r="142" spans="1:9" ht="23.25" customHeight="1" x14ac:dyDescent="0.2">
      <c r="A142" s="82">
        <v>96</v>
      </c>
      <c r="B142" s="531"/>
      <c r="C142" s="505"/>
      <c r="D142" s="28" t="s">
        <v>1007</v>
      </c>
      <c r="E142" s="452" t="s">
        <v>1008</v>
      </c>
      <c r="F142" s="29">
        <f>SUM('POAI IV TRIM 2020'!AF292:AF298)</f>
        <v>155000000</v>
      </c>
    </row>
    <row r="143" spans="1:9" ht="33.75" x14ac:dyDescent="0.2">
      <c r="A143" s="82">
        <v>97</v>
      </c>
      <c r="B143" s="531"/>
      <c r="C143" s="505"/>
      <c r="D143" s="28" t="s">
        <v>1034</v>
      </c>
      <c r="E143" s="452" t="s">
        <v>1035</v>
      </c>
      <c r="F143" s="29">
        <f>SUM('POAI IV TRIM 2020'!AF299:AF300)</f>
        <v>118000000</v>
      </c>
    </row>
    <row r="144" spans="1:9" ht="33.75" x14ac:dyDescent="0.2">
      <c r="A144" s="82">
        <v>98</v>
      </c>
      <c r="B144" s="531"/>
      <c r="C144" s="505"/>
      <c r="D144" s="28" t="s">
        <v>1041</v>
      </c>
      <c r="E144" s="452" t="s">
        <v>1042</v>
      </c>
      <c r="F144" s="29">
        <f>SUM('POAI IV TRIM 2020'!AF301:AF303)</f>
        <v>122500000</v>
      </c>
    </row>
    <row r="145" spans="1:9" ht="33.75" x14ac:dyDescent="0.2">
      <c r="A145" s="82">
        <v>99</v>
      </c>
      <c r="B145" s="531"/>
      <c r="C145" s="505"/>
      <c r="D145" s="28" t="s">
        <v>1050</v>
      </c>
      <c r="E145" s="452" t="s">
        <v>1051</v>
      </c>
      <c r="F145" s="29">
        <f>SUM('POAI IV TRIM 2020'!AF304:AF305)</f>
        <v>169000000</v>
      </c>
    </row>
    <row r="146" spans="1:9" ht="33.75" x14ac:dyDescent="0.2">
      <c r="A146" s="82">
        <v>100</v>
      </c>
      <c r="B146" s="531"/>
      <c r="C146" s="505"/>
      <c r="D146" s="28" t="s">
        <v>1056</v>
      </c>
      <c r="E146" s="452" t="s">
        <v>1057</v>
      </c>
      <c r="F146" s="29">
        <f>SUM('POAI IV TRIM 2020'!AF306:AF308)</f>
        <v>120000000</v>
      </c>
    </row>
    <row r="147" spans="1:9" ht="33.75" x14ac:dyDescent="0.2">
      <c r="A147" s="82">
        <v>101</v>
      </c>
      <c r="B147" s="531"/>
      <c r="C147" s="505"/>
      <c r="D147" s="28" t="s">
        <v>1069</v>
      </c>
      <c r="E147" s="452" t="s">
        <v>1070</v>
      </c>
      <c r="F147" s="29">
        <f>SUM('POAI IV TRIM 2020'!AF309:AF310)</f>
        <v>525751228.61000001</v>
      </c>
    </row>
    <row r="148" spans="1:9" ht="33.75" x14ac:dyDescent="0.2">
      <c r="A148" s="82">
        <v>102</v>
      </c>
      <c r="B148" s="531"/>
      <c r="C148" s="505"/>
      <c r="D148" s="28" t="s">
        <v>1073</v>
      </c>
      <c r="E148" s="452" t="s">
        <v>1074</v>
      </c>
      <c r="F148" s="29">
        <f>SUM('POAI IV TRIM 2020'!AF311:AF312)</f>
        <v>221841713</v>
      </c>
    </row>
    <row r="149" spans="1:9" ht="18.75" customHeight="1" x14ac:dyDescent="0.2">
      <c r="A149" s="82">
        <v>103</v>
      </c>
      <c r="B149" s="531"/>
      <c r="C149" s="505"/>
      <c r="D149" s="28" t="s">
        <v>1076</v>
      </c>
      <c r="E149" s="452" t="s">
        <v>1077</v>
      </c>
      <c r="F149" s="29">
        <f>SUM('POAI IV TRIM 2020'!AF313)</f>
        <v>2929870740</v>
      </c>
    </row>
    <row r="150" spans="1:9" ht="33.75" x14ac:dyDescent="0.2">
      <c r="A150" s="82">
        <v>104</v>
      </c>
      <c r="B150" s="531"/>
      <c r="C150" s="505"/>
      <c r="D150" s="28" t="s">
        <v>1082</v>
      </c>
      <c r="E150" s="452" t="s">
        <v>1083</v>
      </c>
      <c r="F150" s="29">
        <f>SUM('POAI IV TRIM 2020'!AF314:AF315)</f>
        <v>18000000</v>
      </c>
    </row>
    <row r="151" spans="1:9" ht="22.5" x14ac:dyDescent="0.2">
      <c r="A151" s="82">
        <v>105</v>
      </c>
      <c r="B151" s="531"/>
      <c r="C151" s="505"/>
      <c r="D151" s="28" t="s">
        <v>1088</v>
      </c>
      <c r="E151" s="452" t="s">
        <v>1089</v>
      </c>
      <c r="F151" s="29">
        <f>SUM('POAI IV TRIM 2020'!AF316)</f>
        <v>75200000</v>
      </c>
    </row>
    <row r="152" spans="1:9" ht="22.5" x14ac:dyDescent="0.2">
      <c r="A152" s="82">
        <v>106</v>
      </c>
      <c r="B152" s="531"/>
      <c r="C152" s="505"/>
      <c r="D152" s="28" t="s">
        <v>959</v>
      </c>
      <c r="E152" s="452" t="s">
        <v>960</v>
      </c>
      <c r="F152" s="29">
        <f>SUM('POAI IV TRIM 2020'!AF317)</f>
        <v>29426107.140000001</v>
      </c>
    </row>
    <row r="153" spans="1:9" ht="22.5" x14ac:dyDescent="0.2">
      <c r="A153" s="82">
        <v>107</v>
      </c>
      <c r="B153" s="531"/>
      <c r="C153" s="505"/>
      <c r="D153" s="28" t="s">
        <v>1097</v>
      </c>
      <c r="E153" s="452" t="s">
        <v>1275</v>
      </c>
      <c r="F153" s="29">
        <f>SUM('POAI IV TRIM 2020'!AF318)</f>
        <v>450000000</v>
      </c>
    </row>
    <row r="154" spans="1:9" ht="33.75" x14ac:dyDescent="0.2">
      <c r="A154" s="82">
        <v>108</v>
      </c>
      <c r="B154" s="531"/>
      <c r="C154" s="506"/>
      <c r="D154" s="28" t="s">
        <v>1099</v>
      </c>
      <c r="E154" s="452" t="s">
        <v>11</v>
      </c>
      <c r="F154" s="29">
        <f>SUM('POAI IV TRIM 2020'!AF319)</f>
        <v>1470826107.49</v>
      </c>
    </row>
    <row r="155" spans="1:9" ht="33.75" x14ac:dyDescent="0.2">
      <c r="A155" s="82">
        <v>109</v>
      </c>
      <c r="B155" s="531"/>
      <c r="C155" s="516" t="s">
        <v>144</v>
      </c>
      <c r="D155" s="28" t="s">
        <v>1104</v>
      </c>
      <c r="E155" s="452" t="s">
        <v>1105</v>
      </c>
      <c r="F155" s="29">
        <f>SUM('POAI IV TRIM 2020'!AF321:AF322)</f>
        <v>24421796908.480003</v>
      </c>
    </row>
    <row r="156" spans="1:9" ht="45" x14ac:dyDescent="0.2">
      <c r="A156" s="82">
        <v>110</v>
      </c>
      <c r="B156" s="531"/>
      <c r="C156" s="505"/>
      <c r="D156" s="28" t="s">
        <v>1114</v>
      </c>
      <c r="E156" s="452" t="s">
        <v>9</v>
      </c>
      <c r="F156" s="29">
        <f>SUM('POAI IV TRIM 2020'!AF323:AF326)</f>
        <v>13345171423.74</v>
      </c>
    </row>
    <row r="157" spans="1:9" ht="23.25" thickBot="1" x14ac:dyDescent="0.25">
      <c r="A157" s="82">
        <v>111</v>
      </c>
      <c r="B157" s="531"/>
      <c r="C157" s="505"/>
      <c r="D157" s="33" t="s">
        <v>1130</v>
      </c>
      <c r="E157" s="450" t="s">
        <v>1131</v>
      </c>
      <c r="F157" s="68">
        <f>SUM('POAI IV TRIM 2020'!AF327)</f>
        <v>1568304000</v>
      </c>
    </row>
    <row r="158" spans="1:9" ht="17.25" customHeight="1" thickBot="1" x14ac:dyDescent="0.25">
      <c r="A158" s="82"/>
      <c r="B158" s="500" t="s">
        <v>1276</v>
      </c>
      <c r="C158" s="501"/>
      <c r="D158" s="501"/>
      <c r="E158" s="517"/>
      <c r="F158" s="69">
        <f>SUM(F159:F163)</f>
        <v>632885000</v>
      </c>
      <c r="G158" s="32"/>
      <c r="H158" s="32"/>
      <c r="I158" s="32"/>
    </row>
    <row r="159" spans="1:9" ht="56.25" x14ac:dyDescent="0.2">
      <c r="A159" s="82">
        <v>112</v>
      </c>
      <c r="B159" s="531" t="s">
        <v>1</v>
      </c>
      <c r="C159" s="445" t="s">
        <v>1132</v>
      </c>
      <c r="D159" s="58" t="s">
        <v>1138</v>
      </c>
      <c r="E159" s="446" t="s">
        <v>1139</v>
      </c>
      <c r="F159" s="63">
        <f>'POAI IV TRIM 2020'!AF330</f>
        <v>200000000</v>
      </c>
    </row>
    <row r="160" spans="1:9" ht="90" x14ac:dyDescent="0.2">
      <c r="A160" s="82">
        <v>113</v>
      </c>
      <c r="B160" s="531"/>
      <c r="C160" s="445" t="s">
        <v>1144</v>
      </c>
      <c r="D160" s="28" t="s">
        <v>1149</v>
      </c>
      <c r="E160" s="452" t="s">
        <v>1150</v>
      </c>
      <c r="F160" s="29">
        <f>'POAI IV TRIM 2020'!AF334</f>
        <v>7164000</v>
      </c>
    </row>
    <row r="161" spans="1:9" ht="33.75" x14ac:dyDescent="0.2">
      <c r="A161" s="82">
        <v>114</v>
      </c>
      <c r="B161" s="531" t="s">
        <v>1151</v>
      </c>
      <c r="C161" s="446" t="s">
        <v>1153</v>
      </c>
      <c r="D161" s="28" t="s">
        <v>1159</v>
      </c>
      <c r="E161" s="452" t="s">
        <v>1160</v>
      </c>
      <c r="F161" s="29">
        <f>SUM('POAI IV TRIM 2020'!AF337)</f>
        <v>54000000</v>
      </c>
    </row>
    <row r="162" spans="1:9" ht="33.75" x14ac:dyDescent="0.2">
      <c r="A162" s="82">
        <v>115</v>
      </c>
      <c r="B162" s="502"/>
      <c r="C162" s="452" t="s">
        <v>1161</v>
      </c>
      <c r="D162" s="28" t="s">
        <v>1166</v>
      </c>
      <c r="E162" s="452" t="s">
        <v>1167</v>
      </c>
      <c r="F162" s="29">
        <f>SUM('POAI IV TRIM 2020'!AF339)</f>
        <v>18000000</v>
      </c>
    </row>
    <row r="163" spans="1:9" ht="90.75" thickBot="1" x14ac:dyDescent="0.25">
      <c r="A163" s="82">
        <v>116</v>
      </c>
      <c r="B163" s="444" t="s">
        <v>70</v>
      </c>
      <c r="C163" s="450" t="s">
        <v>1144</v>
      </c>
      <c r="D163" s="33" t="s">
        <v>1173</v>
      </c>
      <c r="E163" s="450" t="s">
        <v>1174</v>
      </c>
      <c r="F163" s="68">
        <f>SUM('POAI IV TRIM 2020'!AF341)</f>
        <v>353721000</v>
      </c>
      <c r="G163" s="173"/>
    </row>
    <row r="164" spans="1:9" s="43" customFormat="1" ht="12" thickBot="1" x14ac:dyDescent="0.25">
      <c r="A164" s="82"/>
      <c r="B164" s="532" t="s">
        <v>1288</v>
      </c>
      <c r="C164" s="533"/>
      <c r="D164" s="187"/>
      <c r="E164" s="188"/>
      <c r="F164" s="189">
        <f>+F158+F132+F106+F92+F88+F66+F60+F54+F38+F22+F19+F11+F7</f>
        <v>255722471860.34</v>
      </c>
      <c r="G164" s="42"/>
      <c r="H164" s="42"/>
      <c r="I164" s="42"/>
    </row>
    <row r="165" spans="1:9" ht="12" thickBot="1" x14ac:dyDescent="0.25">
      <c r="A165" s="82"/>
      <c r="B165" s="534" t="s">
        <v>1277</v>
      </c>
      <c r="C165" s="535"/>
      <c r="D165" s="535"/>
      <c r="E165" s="535"/>
      <c r="F165" s="536"/>
    </row>
    <row r="166" spans="1:9" ht="15.75" customHeight="1" thickBot="1" x14ac:dyDescent="0.25">
      <c r="A166" s="82"/>
      <c r="B166" s="500" t="s">
        <v>1278</v>
      </c>
      <c r="C166" s="501"/>
      <c r="D166" s="501"/>
      <c r="E166" s="517"/>
      <c r="F166" s="69">
        <f>SUM(F167:F175)</f>
        <v>4341489310.7799997</v>
      </c>
      <c r="G166" s="32"/>
      <c r="H166" s="32"/>
      <c r="I166" s="32"/>
    </row>
    <row r="167" spans="1:9" ht="22.5" x14ac:dyDescent="0.2">
      <c r="A167" s="82">
        <v>117</v>
      </c>
      <c r="B167" s="502" t="s">
        <v>1</v>
      </c>
      <c r="C167" s="505" t="s">
        <v>170</v>
      </c>
      <c r="D167" s="58" t="s">
        <v>1185</v>
      </c>
      <c r="E167" s="186" t="s">
        <v>1186</v>
      </c>
      <c r="F167" s="63">
        <f>SUM('POAI IV TRIM 2020'!AF348:AF349)</f>
        <v>175589000</v>
      </c>
    </row>
    <row r="168" spans="1:9" ht="22.5" x14ac:dyDescent="0.2">
      <c r="A168" s="82">
        <v>118</v>
      </c>
      <c r="B168" s="503"/>
      <c r="C168" s="505"/>
      <c r="D168" s="28" t="s">
        <v>1193</v>
      </c>
      <c r="E168" s="44" t="s">
        <v>1194</v>
      </c>
      <c r="F168" s="29">
        <f>SUM('POAI IV TRIM 2020'!AF350)</f>
        <v>49227426</v>
      </c>
    </row>
    <row r="169" spans="1:9" ht="22.5" x14ac:dyDescent="0.2">
      <c r="A169" s="82">
        <v>119</v>
      </c>
      <c r="B169" s="503"/>
      <c r="C169" s="505"/>
      <c r="D169" s="28" t="s">
        <v>1195</v>
      </c>
      <c r="E169" s="39" t="s">
        <v>1196</v>
      </c>
      <c r="F169" s="29">
        <f>SUM('POAI IV TRIM 2020'!AF351:AF352)</f>
        <v>69300000</v>
      </c>
    </row>
    <row r="170" spans="1:9" ht="22.5" x14ac:dyDescent="0.2">
      <c r="A170" s="82">
        <v>120</v>
      </c>
      <c r="B170" s="503"/>
      <c r="C170" s="505"/>
      <c r="D170" s="28" t="s">
        <v>1200</v>
      </c>
      <c r="E170" s="39" t="s">
        <v>1201</v>
      </c>
      <c r="F170" s="29">
        <f>SUM('POAI IV TRIM 2020'!AF353:AF354)</f>
        <v>367085598</v>
      </c>
    </row>
    <row r="171" spans="1:9" ht="22.5" customHeight="1" x14ac:dyDescent="0.2">
      <c r="A171" s="82">
        <v>121</v>
      </c>
      <c r="B171" s="503"/>
      <c r="C171" s="505"/>
      <c r="D171" s="28" t="s">
        <v>1202</v>
      </c>
      <c r="E171" s="39" t="s">
        <v>1203</v>
      </c>
      <c r="F171" s="29">
        <f>SUM('POAI IV TRIM 2020'!AF355)</f>
        <v>91585083</v>
      </c>
    </row>
    <row r="172" spans="1:9" ht="22.5" customHeight="1" x14ac:dyDescent="0.2">
      <c r="A172" s="82"/>
      <c r="B172" s="503"/>
      <c r="C172" s="445"/>
      <c r="D172" s="28" t="s">
        <v>1212</v>
      </c>
      <c r="E172" s="39" t="s">
        <v>1301</v>
      </c>
      <c r="F172" s="29">
        <f>SUM('POAI IV TRIM 2020'!AF356:AF359)</f>
        <v>2323713601.7799997</v>
      </c>
    </row>
    <row r="173" spans="1:9" ht="29.25" customHeight="1" x14ac:dyDescent="0.2">
      <c r="A173" s="82">
        <v>123</v>
      </c>
      <c r="B173" s="503"/>
      <c r="C173" s="516" t="s">
        <v>177</v>
      </c>
      <c r="D173" s="28" t="s">
        <v>1208</v>
      </c>
      <c r="E173" s="45" t="s">
        <v>1209</v>
      </c>
      <c r="F173" s="29">
        <f>'POAI IV TRIM 2020'!AF361</f>
        <v>213298765</v>
      </c>
    </row>
    <row r="174" spans="1:9" ht="38.25" customHeight="1" x14ac:dyDescent="0.2">
      <c r="A174" s="82">
        <v>124</v>
      </c>
      <c r="B174" s="504"/>
      <c r="C174" s="505"/>
      <c r="D174" s="28" t="s">
        <v>1279</v>
      </c>
      <c r="E174" s="39" t="s">
        <v>1280</v>
      </c>
      <c r="F174" s="29">
        <f>'POAI IV TRIM 2020'!AF362</f>
        <v>1021689837</v>
      </c>
    </row>
    <row r="175" spans="1:9" ht="38.25" customHeight="1" thickBot="1" x14ac:dyDescent="0.25">
      <c r="A175" s="82"/>
      <c r="B175" s="174"/>
      <c r="C175" s="505"/>
      <c r="D175" s="175" t="str">
        <f>'POAI IV TRIM 2020'!Q363</f>
        <v>202000363-0040</v>
      </c>
      <c r="E175" s="72" t="str">
        <f>'POAI IV TRIM 2020'!R363</f>
        <v>Desarrollo de los  XXII JUEGOS DEPORTIVOS NACIONALES Y VI JUEGOS PARANACIONALES   2023</v>
      </c>
      <c r="F175" s="68">
        <f>'POAI IV TRIM 2020'!AF363</f>
        <v>30000000</v>
      </c>
    </row>
    <row r="176" spans="1:9" ht="16.5" customHeight="1" thickBot="1" x14ac:dyDescent="0.25">
      <c r="A176" s="82"/>
      <c r="B176" s="500" t="s">
        <v>1281</v>
      </c>
      <c r="C176" s="501"/>
      <c r="D176" s="501"/>
      <c r="E176" s="517"/>
      <c r="F176" s="74">
        <f>SUM(F177:F181)</f>
        <v>1709079089.5</v>
      </c>
      <c r="G176" s="32"/>
      <c r="H176" s="32"/>
      <c r="I176" s="32"/>
    </row>
    <row r="177" spans="1:9" ht="33.75" x14ac:dyDescent="0.2">
      <c r="A177" s="520">
        <v>126</v>
      </c>
      <c r="B177" s="502" t="s">
        <v>1</v>
      </c>
      <c r="C177" s="446" t="s">
        <v>170</v>
      </c>
      <c r="D177" s="58" t="s">
        <v>1215</v>
      </c>
      <c r="E177" s="73" t="s">
        <v>1216</v>
      </c>
      <c r="F177" s="63">
        <f>SUM('POAI IV TRIM 2020'!AF367)</f>
        <v>372570330</v>
      </c>
    </row>
    <row r="178" spans="1:9" ht="45" x14ac:dyDescent="0.2">
      <c r="A178" s="520"/>
      <c r="B178" s="503"/>
      <c r="C178" s="452" t="s">
        <v>153</v>
      </c>
      <c r="D178" s="28" t="s">
        <v>1215</v>
      </c>
      <c r="E178" s="46" t="s">
        <v>1216</v>
      </c>
      <c r="F178" s="29">
        <f>'POAI IV TRIM 2020'!AF369</f>
        <v>518090330</v>
      </c>
    </row>
    <row r="179" spans="1:9" ht="33.75" x14ac:dyDescent="0.2">
      <c r="A179" s="520"/>
      <c r="B179" s="503" t="s">
        <v>3</v>
      </c>
      <c r="C179" s="452" t="s">
        <v>194</v>
      </c>
      <c r="D179" s="28" t="s">
        <v>1215</v>
      </c>
      <c r="E179" s="46" t="s">
        <v>1216</v>
      </c>
      <c r="F179" s="29">
        <f>'POAI IV TRIM 2020'!AF372</f>
        <v>218280000</v>
      </c>
    </row>
    <row r="180" spans="1:9" ht="33.75" x14ac:dyDescent="0.2">
      <c r="A180" s="520"/>
      <c r="B180" s="503"/>
      <c r="C180" s="452" t="s">
        <v>211</v>
      </c>
      <c r="D180" s="28" t="s">
        <v>1215</v>
      </c>
      <c r="E180" s="46" t="s">
        <v>1216</v>
      </c>
      <c r="F180" s="29">
        <f>SUM('POAI IV TRIM 2020'!AF373)</f>
        <v>410962429.5</v>
      </c>
    </row>
    <row r="181" spans="1:9" ht="45.75" thickBot="1" x14ac:dyDescent="0.25">
      <c r="A181" s="520"/>
      <c r="B181" s="444" t="s">
        <v>70</v>
      </c>
      <c r="C181" s="450" t="s">
        <v>46</v>
      </c>
      <c r="D181" s="33" t="s">
        <v>1215</v>
      </c>
      <c r="E181" s="184" t="s">
        <v>1216</v>
      </c>
      <c r="F181" s="68">
        <f>'POAI IV TRIM 2020'!AF380</f>
        <v>189176000</v>
      </c>
    </row>
    <row r="182" spans="1:9" ht="15" customHeight="1" thickBot="1" x14ac:dyDescent="0.25">
      <c r="A182" s="82"/>
      <c r="B182" s="500" t="s">
        <v>1282</v>
      </c>
      <c r="C182" s="501"/>
      <c r="D182" s="501"/>
      <c r="E182" s="517"/>
      <c r="F182" s="69">
        <f>+F183</f>
        <v>107000000</v>
      </c>
      <c r="G182" s="32"/>
      <c r="H182" s="32"/>
      <c r="I182" s="32"/>
    </row>
    <row r="183" spans="1:9" ht="57.75" customHeight="1" thickBot="1" x14ac:dyDescent="0.25">
      <c r="A183" s="82">
        <v>127</v>
      </c>
      <c r="B183" s="455" t="s">
        <v>1233</v>
      </c>
      <c r="C183" s="445" t="s">
        <v>1234</v>
      </c>
      <c r="D183" s="176" t="s">
        <v>1240</v>
      </c>
      <c r="E183" s="445" t="s">
        <v>1241</v>
      </c>
      <c r="F183" s="185">
        <f>'POAI IV TRIM 2020'!AF381</f>
        <v>107000000</v>
      </c>
    </row>
    <row r="184" spans="1:9" s="27" customFormat="1" ht="15" customHeight="1" thickBot="1" x14ac:dyDescent="0.3">
      <c r="A184" s="81"/>
      <c r="B184" s="532" t="s">
        <v>1283</v>
      </c>
      <c r="C184" s="533"/>
      <c r="D184" s="187"/>
      <c r="E184" s="188"/>
      <c r="F184" s="75">
        <f>+F166+F176+F182</f>
        <v>6157568400.2799997</v>
      </c>
    </row>
    <row r="185" spans="1:9" s="47" customFormat="1" ht="18" customHeight="1" thickBot="1" x14ac:dyDescent="0.25">
      <c r="A185" s="84"/>
      <c r="B185" s="541" t="s">
        <v>1284</v>
      </c>
      <c r="C185" s="542"/>
      <c r="D185" s="448"/>
      <c r="E185" s="48"/>
      <c r="F185" s="76">
        <f>+F184+F164</f>
        <v>261880040260.62</v>
      </c>
    </row>
    <row r="186" spans="1:9" s="43" customFormat="1" ht="18.75" customHeight="1" x14ac:dyDescent="0.2">
      <c r="B186" s="49"/>
      <c r="C186" s="49"/>
      <c r="D186" s="50"/>
      <c r="E186" s="49"/>
      <c r="F186" s="51"/>
      <c r="G186" s="42"/>
    </row>
    <row r="187" spans="1:9" s="43" customFormat="1" x14ac:dyDescent="0.2">
      <c r="B187" s="49"/>
      <c r="C187" s="49"/>
      <c r="D187" s="50"/>
      <c r="E187" s="49"/>
      <c r="F187" s="52"/>
    </row>
    <row r="188" spans="1:9" s="43" customFormat="1" x14ac:dyDescent="0.2">
      <c r="B188" s="49"/>
      <c r="C188" s="49"/>
      <c r="D188" s="50"/>
      <c r="E188" s="49"/>
      <c r="F188" s="311"/>
    </row>
    <row r="189" spans="1:9" s="43" customFormat="1" x14ac:dyDescent="0.2">
      <c r="B189" s="49"/>
      <c r="C189" s="49"/>
      <c r="D189" s="50"/>
      <c r="E189" s="49"/>
      <c r="F189" s="53"/>
    </row>
    <row r="190" spans="1:9" s="43" customFormat="1" x14ac:dyDescent="0.2">
      <c r="B190" s="49"/>
      <c r="C190" s="49"/>
      <c r="D190" s="50"/>
      <c r="E190" s="49"/>
      <c r="F190" s="53"/>
    </row>
    <row r="191" spans="1:9" s="43" customFormat="1" ht="15.75" customHeight="1" x14ac:dyDescent="0.2">
      <c r="B191" s="537" t="s">
        <v>1285</v>
      </c>
      <c r="C191" s="537"/>
      <c r="D191" s="537"/>
      <c r="E191" s="537"/>
      <c r="F191" s="537"/>
    </row>
    <row r="192" spans="1:9" s="43" customFormat="1" ht="12" customHeight="1" x14ac:dyDescent="0.2">
      <c r="B192" s="538" t="s">
        <v>1286</v>
      </c>
      <c r="C192" s="538"/>
      <c r="D192" s="538"/>
      <c r="E192" s="538"/>
      <c r="F192" s="538"/>
    </row>
    <row r="193" spans="2:6" s="43" customFormat="1" x14ac:dyDescent="0.2">
      <c r="B193" s="49"/>
      <c r="C193" s="49"/>
      <c r="D193" s="50"/>
      <c r="E193" s="49"/>
      <c r="F193" s="53"/>
    </row>
    <row r="194" spans="2:6" s="43" customFormat="1" x14ac:dyDescent="0.2">
      <c r="B194" s="539"/>
      <c r="C194" s="539"/>
      <c r="D194" s="50"/>
      <c r="E194" s="49"/>
      <c r="F194" s="53"/>
    </row>
    <row r="195" spans="2:6" s="43" customFormat="1" ht="33.75" customHeight="1" x14ac:dyDescent="0.2">
      <c r="B195" s="540"/>
      <c r="C195" s="540"/>
      <c r="D195" s="50"/>
      <c r="E195" s="49"/>
      <c r="F195" s="53"/>
    </row>
    <row r="196" spans="2:6" s="43" customFormat="1" x14ac:dyDescent="0.2">
      <c r="B196" s="49"/>
      <c r="C196" s="49"/>
      <c r="D196" s="50"/>
      <c r="E196" s="49"/>
      <c r="F196" s="53"/>
    </row>
    <row r="197" spans="2:6" s="43" customFormat="1" x14ac:dyDescent="0.2">
      <c r="B197" s="49"/>
      <c r="C197" s="49"/>
      <c r="D197" s="50"/>
      <c r="E197" s="49"/>
      <c r="F197" s="53"/>
    </row>
    <row r="198" spans="2:6" s="43" customFormat="1" x14ac:dyDescent="0.2">
      <c r="B198" s="49"/>
      <c r="C198" s="49"/>
      <c r="D198" s="50"/>
      <c r="E198" s="49"/>
      <c r="F198" s="53"/>
    </row>
    <row r="199" spans="2:6" s="43" customFormat="1" x14ac:dyDescent="0.2">
      <c r="B199" s="49"/>
      <c r="C199" s="49"/>
      <c r="D199" s="50"/>
      <c r="E199" s="49"/>
      <c r="F199" s="53"/>
    </row>
    <row r="200" spans="2:6" s="43" customFormat="1" x14ac:dyDescent="0.2">
      <c r="B200" s="49"/>
      <c r="C200" s="49"/>
      <c r="D200" s="50"/>
      <c r="E200" s="49"/>
      <c r="F200" s="53"/>
    </row>
    <row r="201" spans="2:6" s="43" customFormat="1" x14ac:dyDescent="0.2">
      <c r="B201" s="49"/>
      <c r="C201" s="49"/>
      <c r="D201" s="50"/>
      <c r="E201" s="49"/>
      <c r="F201" s="53"/>
    </row>
    <row r="202" spans="2:6" s="43" customFormat="1" x14ac:dyDescent="0.2">
      <c r="B202" s="49"/>
      <c r="C202" s="49"/>
      <c r="D202" s="50"/>
      <c r="E202" s="49"/>
      <c r="F202" s="53"/>
    </row>
    <row r="203" spans="2:6" s="43" customFormat="1" x14ac:dyDescent="0.2">
      <c r="B203" s="49"/>
      <c r="C203" s="49"/>
      <c r="D203" s="50"/>
      <c r="E203" s="49"/>
      <c r="F203" s="53"/>
    </row>
    <row r="204" spans="2:6" s="43" customFormat="1" x14ac:dyDescent="0.2">
      <c r="B204" s="49"/>
      <c r="C204" s="49"/>
      <c r="D204" s="50"/>
      <c r="E204" s="49"/>
      <c r="F204" s="53"/>
    </row>
    <row r="205" spans="2:6" s="43" customFormat="1" x14ac:dyDescent="0.2">
      <c r="B205" s="49"/>
      <c r="C205" s="49"/>
      <c r="D205" s="50"/>
      <c r="E205" s="49"/>
      <c r="F205" s="53"/>
    </row>
    <row r="206" spans="2:6" s="43" customFormat="1" x14ac:dyDescent="0.2">
      <c r="B206" s="49"/>
      <c r="C206" s="49"/>
      <c r="D206" s="50"/>
      <c r="E206" s="49"/>
      <c r="F206" s="53"/>
    </row>
    <row r="207" spans="2:6" s="43" customFormat="1" x14ac:dyDescent="0.2">
      <c r="B207" s="49"/>
      <c r="C207" s="49"/>
      <c r="D207" s="50"/>
      <c r="E207" s="49"/>
      <c r="F207" s="53"/>
    </row>
    <row r="208" spans="2:6" s="43" customFormat="1" x14ac:dyDescent="0.2">
      <c r="B208" s="49"/>
      <c r="C208" s="49"/>
      <c r="D208" s="50"/>
      <c r="E208" s="49"/>
      <c r="F208" s="53"/>
    </row>
    <row r="209" spans="2:6" s="43" customFormat="1" x14ac:dyDescent="0.2">
      <c r="B209" s="49"/>
      <c r="C209" s="49"/>
      <c r="D209" s="50"/>
      <c r="E209" s="49"/>
      <c r="F209" s="53"/>
    </row>
    <row r="210" spans="2:6" s="43" customFormat="1" x14ac:dyDescent="0.2">
      <c r="B210" s="49"/>
      <c r="C210" s="49"/>
      <c r="D210" s="50"/>
      <c r="E210" s="49"/>
      <c r="F210" s="53"/>
    </row>
    <row r="211" spans="2:6" s="43" customFormat="1" x14ac:dyDescent="0.2">
      <c r="B211" s="49"/>
      <c r="C211" s="49"/>
      <c r="D211" s="50"/>
      <c r="E211" s="49"/>
      <c r="F211" s="53"/>
    </row>
    <row r="212" spans="2:6" s="43" customFormat="1" x14ac:dyDescent="0.2">
      <c r="B212" s="49"/>
      <c r="C212" s="49"/>
      <c r="D212" s="50"/>
      <c r="E212" s="49"/>
      <c r="F212" s="53"/>
    </row>
    <row r="213" spans="2:6" s="43" customFormat="1" x14ac:dyDescent="0.2">
      <c r="B213" s="49"/>
      <c r="C213" s="49"/>
      <c r="D213" s="50"/>
      <c r="E213" s="49"/>
      <c r="F213" s="53"/>
    </row>
    <row r="214" spans="2:6" s="43" customFormat="1" x14ac:dyDescent="0.2">
      <c r="B214" s="49"/>
      <c r="C214" s="49"/>
      <c r="D214" s="50"/>
      <c r="E214" s="49"/>
      <c r="F214" s="53"/>
    </row>
    <row r="215" spans="2:6" s="43" customFormat="1" x14ac:dyDescent="0.2">
      <c r="B215" s="49"/>
      <c r="C215" s="49"/>
      <c r="D215" s="50"/>
      <c r="E215" s="49"/>
      <c r="F215" s="53"/>
    </row>
    <row r="216" spans="2:6" s="43" customFormat="1" x14ac:dyDescent="0.2">
      <c r="B216" s="49"/>
      <c r="C216" s="49"/>
      <c r="D216" s="50"/>
      <c r="E216" s="49"/>
      <c r="F216" s="53"/>
    </row>
    <row r="217" spans="2:6" s="43" customFormat="1" x14ac:dyDescent="0.2">
      <c r="B217" s="49"/>
      <c r="C217" s="49"/>
      <c r="D217" s="50"/>
      <c r="E217" s="49"/>
      <c r="F217" s="53"/>
    </row>
    <row r="218" spans="2:6" s="43" customFormat="1" x14ac:dyDescent="0.2">
      <c r="B218" s="49"/>
      <c r="C218" s="49"/>
      <c r="D218" s="50"/>
      <c r="E218" s="49"/>
      <c r="F218" s="53"/>
    </row>
    <row r="219" spans="2:6" s="43" customFormat="1" x14ac:dyDescent="0.2">
      <c r="B219" s="49"/>
      <c r="C219" s="49"/>
      <c r="D219" s="50"/>
      <c r="E219" s="49"/>
      <c r="F219" s="53"/>
    </row>
    <row r="220" spans="2:6" s="43" customFormat="1" x14ac:dyDescent="0.2">
      <c r="B220" s="49"/>
      <c r="C220" s="49"/>
      <c r="D220" s="50"/>
      <c r="E220" s="49"/>
      <c r="F220" s="53"/>
    </row>
    <row r="221" spans="2:6" s="43" customFormat="1" x14ac:dyDescent="0.2">
      <c r="B221" s="49"/>
      <c r="C221" s="49"/>
      <c r="D221" s="50"/>
      <c r="E221" s="49"/>
      <c r="F221" s="53"/>
    </row>
    <row r="222" spans="2:6" s="43" customFormat="1" x14ac:dyDescent="0.2">
      <c r="B222" s="49"/>
      <c r="C222" s="49"/>
      <c r="D222" s="50"/>
      <c r="E222" s="49"/>
      <c r="F222" s="53"/>
    </row>
    <row r="223" spans="2:6" s="43" customFormat="1" x14ac:dyDescent="0.2">
      <c r="B223" s="49"/>
      <c r="C223" s="49"/>
      <c r="D223" s="50"/>
      <c r="E223" s="49"/>
      <c r="F223" s="53"/>
    </row>
    <row r="224" spans="2:6" s="43" customFormat="1" x14ac:dyDescent="0.2">
      <c r="B224" s="49"/>
      <c r="C224" s="49"/>
      <c r="D224" s="50"/>
      <c r="E224" s="49"/>
      <c r="F224" s="53"/>
    </row>
    <row r="225" spans="2:6" s="43" customFormat="1" x14ac:dyDescent="0.2">
      <c r="B225" s="49"/>
      <c r="C225" s="49"/>
      <c r="D225" s="50"/>
      <c r="E225" s="49"/>
      <c r="F225" s="53"/>
    </row>
    <row r="226" spans="2:6" s="43" customFormat="1" x14ac:dyDescent="0.2">
      <c r="B226" s="49"/>
      <c r="C226" s="49"/>
      <c r="D226" s="50"/>
      <c r="E226" s="49"/>
      <c r="F226" s="53"/>
    </row>
    <row r="227" spans="2:6" s="43" customFormat="1" x14ac:dyDescent="0.2">
      <c r="B227" s="49"/>
      <c r="C227" s="49"/>
      <c r="D227" s="50"/>
      <c r="E227" s="49"/>
      <c r="F227" s="53"/>
    </row>
    <row r="228" spans="2:6" s="43" customFormat="1" x14ac:dyDescent="0.2">
      <c r="B228" s="49"/>
      <c r="C228" s="49"/>
      <c r="D228" s="50"/>
      <c r="E228" s="49"/>
      <c r="F228" s="53"/>
    </row>
    <row r="229" spans="2:6" s="43" customFormat="1" x14ac:dyDescent="0.2">
      <c r="B229" s="49"/>
      <c r="C229" s="49"/>
      <c r="D229" s="50"/>
      <c r="E229" s="49"/>
      <c r="F229" s="53"/>
    </row>
    <row r="230" spans="2:6" s="43" customFormat="1" x14ac:dyDescent="0.2">
      <c r="B230" s="49"/>
      <c r="C230" s="49"/>
      <c r="D230" s="50"/>
      <c r="E230" s="49"/>
      <c r="F230" s="53"/>
    </row>
    <row r="231" spans="2:6" s="43" customFormat="1" x14ac:dyDescent="0.2">
      <c r="B231" s="49"/>
      <c r="C231" s="49"/>
      <c r="D231" s="50"/>
      <c r="E231" s="49"/>
      <c r="F231" s="53"/>
    </row>
    <row r="232" spans="2:6" s="43" customFormat="1" x14ac:dyDescent="0.2">
      <c r="B232" s="49"/>
      <c r="C232" s="49"/>
      <c r="D232" s="50"/>
      <c r="E232" s="49"/>
      <c r="F232" s="53"/>
    </row>
    <row r="233" spans="2:6" s="43" customFormat="1" x14ac:dyDescent="0.2">
      <c r="B233" s="49"/>
      <c r="C233" s="49"/>
      <c r="D233" s="50"/>
      <c r="E233" s="49"/>
      <c r="F233" s="53"/>
    </row>
    <row r="234" spans="2:6" s="43" customFormat="1" x14ac:dyDescent="0.2">
      <c r="B234" s="49"/>
      <c r="C234" s="49"/>
      <c r="D234" s="50"/>
      <c r="E234" s="49"/>
      <c r="F234" s="53"/>
    </row>
    <row r="235" spans="2:6" s="43" customFormat="1" x14ac:dyDescent="0.2">
      <c r="B235" s="49"/>
      <c r="C235" s="49"/>
      <c r="D235" s="50"/>
      <c r="E235" s="49"/>
      <c r="F235" s="53"/>
    </row>
    <row r="236" spans="2:6" s="43" customFormat="1" x14ac:dyDescent="0.2">
      <c r="B236" s="49"/>
      <c r="C236" s="49"/>
      <c r="D236" s="50"/>
      <c r="E236" s="49"/>
      <c r="F236" s="53"/>
    </row>
    <row r="237" spans="2:6" s="43" customFormat="1" x14ac:dyDescent="0.2">
      <c r="B237" s="49"/>
      <c r="C237" s="49"/>
      <c r="D237" s="50"/>
      <c r="E237" s="49"/>
      <c r="F237" s="53"/>
    </row>
    <row r="238" spans="2:6" s="43" customFormat="1" x14ac:dyDescent="0.2">
      <c r="B238" s="49"/>
      <c r="C238" s="49"/>
      <c r="D238" s="50"/>
      <c r="E238" s="49"/>
      <c r="F238" s="53"/>
    </row>
    <row r="239" spans="2:6" s="43" customFormat="1" x14ac:dyDescent="0.2">
      <c r="B239" s="49"/>
      <c r="C239" s="49"/>
      <c r="D239" s="50"/>
      <c r="E239" s="49"/>
      <c r="F239" s="53"/>
    </row>
    <row r="240" spans="2:6" s="43" customFormat="1" x14ac:dyDescent="0.2">
      <c r="B240" s="49"/>
      <c r="C240" s="49"/>
      <c r="D240" s="50"/>
      <c r="E240" s="49"/>
      <c r="F240" s="53"/>
    </row>
    <row r="241" spans="2:6" s="43" customFormat="1" x14ac:dyDescent="0.2">
      <c r="B241" s="49"/>
      <c r="C241" s="49"/>
      <c r="D241" s="50"/>
      <c r="E241" s="49"/>
      <c r="F241" s="53"/>
    </row>
    <row r="242" spans="2:6" s="43" customFormat="1" x14ac:dyDescent="0.2">
      <c r="B242" s="49"/>
      <c r="C242" s="49"/>
      <c r="D242" s="50"/>
      <c r="E242" s="49"/>
      <c r="F242" s="53"/>
    </row>
    <row r="243" spans="2:6" s="43" customFormat="1" x14ac:dyDescent="0.2">
      <c r="B243" s="49"/>
      <c r="C243" s="49"/>
      <c r="D243" s="50"/>
      <c r="E243" s="49"/>
      <c r="F243" s="53"/>
    </row>
    <row r="244" spans="2:6" s="43" customFormat="1" x14ac:dyDescent="0.2">
      <c r="B244" s="49"/>
      <c r="C244" s="49"/>
      <c r="D244" s="50"/>
      <c r="E244" s="49"/>
      <c r="F244" s="53"/>
    </row>
    <row r="245" spans="2:6" s="43" customFormat="1" x14ac:dyDescent="0.2">
      <c r="B245" s="49"/>
      <c r="C245" s="49"/>
      <c r="D245" s="50"/>
      <c r="E245" s="49"/>
      <c r="F245" s="53"/>
    </row>
    <row r="246" spans="2:6" s="43" customFormat="1" x14ac:dyDescent="0.2">
      <c r="B246" s="49"/>
      <c r="C246" s="49"/>
      <c r="D246" s="50"/>
      <c r="E246" s="49"/>
      <c r="F246" s="53"/>
    </row>
    <row r="247" spans="2:6" s="43" customFormat="1" x14ac:dyDescent="0.2">
      <c r="B247" s="49"/>
      <c r="C247" s="49"/>
      <c r="D247" s="50"/>
      <c r="E247" s="49"/>
      <c r="F247" s="53"/>
    </row>
    <row r="248" spans="2:6" s="43" customFormat="1" x14ac:dyDescent="0.2">
      <c r="B248" s="49"/>
      <c r="C248" s="49"/>
      <c r="D248" s="50"/>
      <c r="E248" s="49"/>
      <c r="F248" s="53"/>
    </row>
    <row r="249" spans="2:6" s="43" customFormat="1" x14ac:dyDescent="0.2">
      <c r="B249" s="49"/>
      <c r="C249" s="49"/>
      <c r="D249" s="50"/>
      <c r="E249" s="49"/>
      <c r="F249" s="53"/>
    </row>
    <row r="250" spans="2:6" s="43" customFormat="1" x14ac:dyDescent="0.2">
      <c r="B250" s="49"/>
      <c r="C250" s="49"/>
      <c r="D250" s="50"/>
      <c r="E250" s="49"/>
      <c r="F250" s="53"/>
    </row>
    <row r="251" spans="2:6" s="43" customFormat="1" x14ac:dyDescent="0.2">
      <c r="B251" s="49"/>
      <c r="C251" s="49"/>
      <c r="D251" s="50"/>
      <c r="E251" s="49"/>
      <c r="F251" s="53"/>
    </row>
    <row r="252" spans="2:6" s="43" customFormat="1" x14ac:dyDescent="0.2">
      <c r="B252" s="49"/>
      <c r="C252" s="49"/>
      <c r="D252" s="50"/>
      <c r="E252" s="49"/>
      <c r="F252" s="53"/>
    </row>
    <row r="253" spans="2:6" s="43" customFormat="1" x14ac:dyDescent="0.2">
      <c r="B253" s="49"/>
      <c r="C253" s="49"/>
      <c r="D253" s="50"/>
      <c r="E253" s="49"/>
      <c r="F253" s="53"/>
    </row>
    <row r="254" spans="2:6" s="43" customFormat="1" x14ac:dyDescent="0.2">
      <c r="B254" s="49"/>
      <c r="C254" s="49"/>
      <c r="D254" s="50"/>
      <c r="E254" s="49"/>
      <c r="F254" s="53"/>
    </row>
    <row r="255" spans="2:6" s="43" customFormat="1" x14ac:dyDescent="0.2">
      <c r="B255" s="49"/>
      <c r="C255" s="49"/>
      <c r="D255" s="50"/>
      <c r="E255" s="49"/>
      <c r="F255" s="53"/>
    </row>
    <row r="256" spans="2:6" s="43" customFormat="1" x14ac:dyDescent="0.2">
      <c r="B256" s="49"/>
      <c r="C256" s="49"/>
      <c r="D256" s="50"/>
      <c r="E256" s="49"/>
      <c r="F256" s="53"/>
    </row>
    <row r="257" spans="2:6" s="43" customFormat="1" x14ac:dyDescent="0.2">
      <c r="B257" s="49"/>
      <c r="C257" s="49"/>
      <c r="D257" s="50"/>
      <c r="E257" s="49"/>
      <c r="F257" s="53"/>
    </row>
    <row r="258" spans="2:6" s="43" customFormat="1" x14ac:dyDescent="0.2">
      <c r="B258" s="49"/>
      <c r="C258" s="49"/>
      <c r="D258" s="50"/>
      <c r="E258" s="49"/>
      <c r="F258" s="53"/>
    </row>
    <row r="259" spans="2:6" s="43" customFormat="1" x14ac:dyDescent="0.2">
      <c r="B259" s="49"/>
      <c r="C259" s="49"/>
      <c r="D259" s="50"/>
      <c r="E259" s="49"/>
      <c r="F259" s="53"/>
    </row>
    <row r="260" spans="2:6" s="43" customFormat="1" x14ac:dyDescent="0.2">
      <c r="B260" s="49"/>
      <c r="C260" s="49"/>
      <c r="D260" s="50"/>
      <c r="E260" s="49"/>
      <c r="F260" s="53"/>
    </row>
    <row r="261" spans="2:6" s="43" customFormat="1" x14ac:dyDescent="0.2">
      <c r="B261" s="49"/>
      <c r="C261" s="49"/>
      <c r="D261" s="50"/>
      <c r="E261" s="49"/>
      <c r="F261" s="53"/>
    </row>
    <row r="262" spans="2:6" s="43" customFormat="1" x14ac:dyDescent="0.2">
      <c r="B262" s="49"/>
      <c r="C262" s="49"/>
      <c r="D262" s="50"/>
      <c r="E262" s="49"/>
      <c r="F262" s="53"/>
    </row>
    <row r="263" spans="2:6" s="43" customFormat="1" x14ac:dyDescent="0.2">
      <c r="B263" s="49"/>
      <c r="C263" s="49"/>
      <c r="D263" s="50"/>
      <c r="E263" s="49"/>
      <c r="F263" s="53"/>
    </row>
    <row r="264" spans="2:6" s="43" customFormat="1" x14ac:dyDescent="0.2">
      <c r="B264" s="49"/>
      <c r="C264" s="49"/>
      <c r="D264" s="50"/>
      <c r="E264" s="49"/>
      <c r="F264" s="53"/>
    </row>
    <row r="265" spans="2:6" s="43" customFormat="1" x14ac:dyDescent="0.2">
      <c r="B265" s="49"/>
      <c r="C265" s="49"/>
      <c r="D265" s="50"/>
      <c r="E265" s="49"/>
      <c r="F265" s="53"/>
    </row>
    <row r="266" spans="2:6" s="43" customFormat="1" x14ac:dyDescent="0.2">
      <c r="B266" s="49"/>
      <c r="C266" s="49"/>
      <c r="D266" s="50"/>
      <c r="E266" s="49"/>
      <c r="F266" s="53"/>
    </row>
    <row r="267" spans="2:6" s="43" customFormat="1" x14ac:dyDescent="0.2">
      <c r="B267" s="49"/>
      <c r="C267" s="49"/>
      <c r="D267" s="50"/>
      <c r="E267" s="49"/>
      <c r="F267" s="53"/>
    </row>
    <row r="268" spans="2:6" s="43" customFormat="1" x14ac:dyDescent="0.2">
      <c r="B268" s="49"/>
      <c r="C268" s="49"/>
      <c r="D268" s="50"/>
      <c r="E268" s="49"/>
      <c r="F268" s="53"/>
    </row>
    <row r="269" spans="2:6" s="43" customFormat="1" x14ac:dyDescent="0.2">
      <c r="B269" s="49"/>
      <c r="C269" s="49"/>
      <c r="D269" s="50"/>
      <c r="E269" s="49"/>
      <c r="F269" s="53"/>
    </row>
    <row r="270" spans="2:6" s="43" customFormat="1" x14ac:dyDescent="0.2">
      <c r="B270" s="49"/>
      <c r="C270" s="49"/>
      <c r="D270" s="50"/>
      <c r="E270" s="49"/>
      <c r="F270" s="53"/>
    </row>
    <row r="271" spans="2:6" s="43" customFormat="1" x14ac:dyDescent="0.2">
      <c r="B271" s="49"/>
      <c r="C271" s="49"/>
      <c r="D271" s="50"/>
      <c r="E271" s="49"/>
      <c r="F271" s="53"/>
    </row>
    <row r="272" spans="2:6" s="43" customFormat="1" x14ac:dyDescent="0.2">
      <c r="B272" s="49"/>
      <c r="C272" s="49"/>
      <c r="D272" s="50"/>
      <c r="E272" s="49"/>
      <c r="F272" s="53"/>
    </row>
    <row r="273" spans="2:6" s="43" customFormat="1" x14ac:dyDescent="0.2">
      <c r="B273" s="49"/>
      <c r="C273" s="49"/>
      <c r="D273" s="50"/>
      <c r="E273" s="49"/>
      <c r="F273" s="53"/>
    </row>
    <row r="274" spans="2:6" s="43" customFormat="1" x14ac:dyDescent="0.2">
      <c r="B274" s="49"/>
      <c r="C274" s="49"/>
      <c r="D274" s="50"/>
      <c r="E274" s="49"/>
      <c r="F274" s="53"/>
    </row>
    <row r="275" spans="2:6" s="43" customFormat="1" x14ac:dyDescent="0.2">
      <c r="B275" s="49"/>
      <c r="C275" s="49"/>
      <c r="D275" s="50"/>
      <c r="E275" s="49"/>
      <c r="F275" s="53"/>
    </row>
    <row r="276" spans="2:6" s="43" customFormat="1" x14ac:dyDescent="0.2">
      <c r="B276" s="49"/>
      <c r="C276" s="49"/>
      <c r="D276" s="50"/>
      <c r="E276" s="49"/>
      <c r="F276" s="53"/>
    </row>
    <row r="277" spans="2:6" s="43" customFormat="1" x14ac:dyDescent="0.2">
      <c r="B277" s="49"/>
      <c r="C277" s="49"/>
      <c r="D277" s="50"/>
      <c r="E277" s="49"/>
      <c r="F277" s="53"/>
    </row>
    <row r="278" spans="2:6" s="43" customFormat="1" x14ac:dyDescent="0.2">
      <c r="B278" s="49"/>
      <c r="C278" s="49"/>
      <c r="D278" s="50"/>
      <c r="E278" s="49"/>
      <c r="F278" s="53"/>
    </row>
    <row r="279" spans="2:6" s="43" customFormat="1" x14ac:dyDescent="0.2">
      <c r="B279" s="49"/>
      <c r="C279" s="49"/>
      <c r="D279" s="50"/>
      <c r="E279" s="49"/>
      <c r="F279" s="53"/>
    </row>
    <row r="280" spans="2:6" s="43" customFormat="1" x14ac:dyDescent="0.2">
      <c r="B280" s="49"/>
      <c r="C280" s="49"/>
      <c r="D280" s="50"/>
      <c r="E280" s="49"/>
      <c r="F280" s="53"/>
    </row>
    <row r="281" spans="2:6" s="43" customFormat="1" x14ac:dyDescent="0.2">
      <c r="B281" s="49"/>
      <c r="C281" s="49"/>
      <c r="D281" s="50"/>
      <c r="E281" s="49"/>
      <c r="F281" s="53"/>
    </row>
    <row r="282" spans="2:6" s="43" customFormat="1" x14ac:dyDescent="0.2">
      <c r="B282" s="49"/>
      <c r="C282" s="49"/>
      <c r="D282" s="50"/>
      <c r="E282" s="49"/>
      <c r="F282" s="53"/>
    </row>
    <row r="283" spans="2:6" s="43" customFormat="1" x14ac:dyDescent="0.2">
      <c r="B283" s="49"/>
      <c r="C283" s="49"/>
      <c r="D283" s="50"/>
      <c r="E283" s="49"/>
      <c r="F283" s="53"/>
    </row>
    <row r="284" spans="2:6" s="43" customFormat="1" x14ac:dyDescent="0.2">
      <c r="B284" s="49"/>
      <c r="C284" s="49"/>
      <c r="D284" s="50"/>
      <c r="E284" s="49"/>
      <c r="F284" s="53"/>
    </row>
    <row r="285" spans="2:6" s="43" customFormat="1" x14ac:dyDescent="0.2">
      <c r="B285" s="49"/>
      <c r="C285" s="49"/>
      <c r="D285" s="50"/>
      <c r="E285" s="49"/>
      <c r="F285" s="53"/>
    </row>
    <row r="286" spans="2:6" s="43" customFormat="1" x14ac:dyDescent="0.2">
      <c r="B286" s="49"/>
      <c r="C286" s="49"/>
      <c r="D286" s="50"/>
      <c r="E286" s="49"/>
      <c r="F286" s="53"/>
    </row>
    <row r="287" spans="2:6" s="43" customFormat="1" x14ac:dyDescent="0.2">
      <c r="B287" s="49"/>
      <c r="C287" s="49"/>
      <c r="D287" s="50"/>
      <c r="E287" s="49"/>
      <c r="F287" s="53"/>
    </row>
    <row r="288" spans="2:6" s="43" customFormat="1" x14ac:dyDescent="0.2">
      <c r="B288" s="49"/>
      <c r="C288" s="49"/>
      <c r="D288" s="50"/>
      <c r="E288" s="49"/>
      <c r="F288" s="53"/>
    </row>
    <row r="289" spans="2:6" s="43" customFormat="1" x14ac:dyDescent="0.2">
      <c r="B289" s="49"/>
      <c r="C289" s="49"/>
      <c r="D289" s="50"/>
      <c r="E289" s="49"/>
      <c r="F289" s="53"/>
    </row>
    <row r="290" spans="2:6" s="43" customFormat="1" x14ac:dyDescent="0.2">
      <c r="B290" s="49"/>
      <c r="C290" s="49"/>
      <c r="D290" s="50"/>
      <c r="E290" s="49"/>
      <c r="F290" s="53"/>
    </row>
    <row r="291" spans="2:6" s="43" customFormat="1" x14ac:dyDescent="0.2">
      <c r="B291" s="49"/>
      <c r="C291" s="49"/>
      <c r="D291" s="50"/>
      <c r="E291" s="49"/>
      <c r="F291" s="53"/>
    </row>
    <row r="292" spans="2:6" s="43" customFormat="1" x14ac:dyDescent="0.2">
      <c r="B292" s="49"/>
      <c r="C292" s="49"/>
      <c r="D292" s="50"/>
      <c r="E292" s="49"/>
      <c r="F292" s="53"/>
    </row>
    <row r="293" spans="2:6" s="43" customFormat="1" x14ac:dyDescent="0.2">
      <c r="B293" s="49"/>
      <c r="C293" s="49"/>
      <c r="D293" s="50"/>
      <c r="E293" s="49"/>
      <c r="F293" s="53"/>
    </row>
    <row r="294" spans="2:6" s="43" customFormat="1" x14ac:dyDescent="0.2">
      <c r="B294" s="49"/>
      <c r="C294" s="49"/>
      <c r="D294" s="50"/>
      <c r="E294" s="49"/>
      <c r="F294" s="53"/>
    </row>
    <row r="295" spans="2:6" s="43" customFormat="1" x14ac:dyDescent="0.2">
      <c r="B295" s="49"/>
      <c r="C295" s="49"/>
      <c r="D295" s="50"/>
      <c r="E295" s="49"/>
      <c r="F295" s="53"/>
    </row>
    <row r="296" spans="2:6" s="43" customFormat="1" x14ac:dyDescent="0.2">
      <c r="B296" s="49"/>
      <c r="C296" s="49"/>
      <c r="D296" s="50"/>
      <c r="E296" s="49"/>
      <c r="F296" s="53"/>
    </row>
    <row r="297" spans="2:6" s="43" customFormat="1" x14ac:dyDescent="0.2">
      <c r="B297" s="49"/>
      <c r="C297" s="49"/>
      <c r="D297" s="50"/>
      <c r="E297" s="49"/>
      <c r="F297" s="53"/>
    </row>
    <row r="298" spans="2:6" s="43" customFormat="1" x14ac:dyDescent="0.2">
      <c r="B298" s="49"/>
      <c r="C298" s="49"/>
      <c r="D298" s="50"/>
      <c r="E298" s="49"/>
      <c r="F298" s="53"/>
    </row>
    <row r="299" spans="2:6" s="43" customFormat="1" x14ac:dyDescent="0.2">
      <c r="B299" s="49"/>
      <c r="C299" s="49"/>
      <c r="D299" s="50"/>
      <c r="E299" s="49"/>
      <c r="F299" s="53"/>
    </row>
    <row r="300" spans="2:6" s="43" customFormat="1" x14ac:dyDescent="0.2">
      <c r="B300" s="49"/>
      <c r="C300" s="49"/>
      <c r="D300" s="50"/>
      <c r="E300" s="49"/>
      <c r="F300" s="53"/>
    </row>
    <row r="301" spans="2:6" s="43" customFormat="1" x14ac:dyDescent="0.2">
      <c r="B301" s="49"/>
      <c r="C301" s="49"/>
      <c r="D301" s="50"/>
      <c r="E301" s="49"/>
      <c r="F301" s="53"/>
    </row>
    <row r="302" spans="2:6" s="43" customFormat="1" x14ac:dyDescent="0.2">
      <c r="B302" s="49"/>
      <c r="C302" s="49"/>
      <c r="D302" s="50"/>
      <c r="E302" s="49"/>
      <c r="F302" s="53"/>
    </row>
    <row r="303" spans="2:6" s="43" customFormat="1" x14ac:dyDescent="0.2">
      <c r="B303" s="49"/>
      <c r="C303" s="49"/>
      <c r="D303" s="50"/>
      <c r="E303" s="49"/>
      <c r="F303" s="53"/>
    </row>
    <row r="304" spans="2:6" s="43" customFormat="1" x14ac:dyDescent="0.2">
      <c r="B304" s="49"/>
      <c r="C304" s="49"/>
      <c r="D304" s="50"/>
      <c r="E304" s="49"/>
      <c r="F304" s="53"/>
    </row>
    <row r="305" spans="2:6" s="43" customFormat="1" x14ac:dyDescent="0.2">
      <c r="B305" s="49"/>
      <c r="C305" s="49"/>
      <c r="D305" s="50"/>
      <c r="E305" s="49"/>
      <c r="F305" s="53"/>
    </row>
    <row r="306" spans="2:6" s="43" customFormat="1" x14ac:dyDescent="0.2">
      <c r="B306" s="49"/>
      <c r="C306" s="49"/>
      <c r="D306" s="50"/>
      <c r="E306" s="49"/>
      <c r="F306" s="53"/>
    </row>
    <row r="307" spans="2:6" s="43" customFormat="1" x14ac:dyDescent="0.2">
      <c r="B307" s="49"/>
      <c r="C307" s="49"/>
      <c r="D307" s="50"/>
      <c r="E307" s="49"/>
      <c r="F307" s="53"/>
    </row>
    <row r="308" spans="2:6" s="43" customFormat="1" x14ac:dyDescent="0.2">
      <c r="B308" s="49"/>
      <c r="C308" s="49"/>
      <c r="D308" s="50"/>
      <c r="E308" s="49"/>
      <c r="F308" s="53"/>
    </row>
    <row r="309" spans="2:6" s="43" customFormat="1" x14ac:dyDescent="0.2">
      <c r="B309" s="49"/>
      <c r="C309" s="49"/>
      <c r="D309" s="50"/>
      <c r="E309" s="49"/>
      <c r="F309" s="53"/>
    </row>
    <row r="310" spans="2:6" s="43" customFormat="1" x14ac:dyDescent="0.2">
      <c r="B310" s="49"/>
      <c r="C310" s="49"/>
      <c r="D310" s="50"/>
      <c r="E310" s="49"/>
      <c r="F310" s="53"/>
    </row>
    <row r="311" spans="2:6" s="43" customFormat="1" x14ac:dyDescent="0.2">
      <c r="B311" s="49"/>
      <c r="C311" s="49"/>
      <c r="D311" s="50"/>
      <c r="E311" s="49"/>
      <c r="F311" s="53"/>
    </row>
    <row r="312" spans="2:6" s="43" customFormat="1" x14ac:dyDescent="0.2">
      <c r="B312" s="49"/>
      <c r="C312" s="49"/>
      <c r="D312" s="50"/>
      <c r="E312" s="49"/>
      <c r="F312" s="53"/>
    </row>
    <row r="313" spans="2:6" s="43" customFormat="1" x14ac:dyDescent="0.2">
      <c r="B313" s="49"/>
      <c r="C313" s="49"/>
      <c r="D313" s="50"/>
      <c r="E313" s="49"/>
      <c r="F313" s="53"/>
    </row>
    <row r="314" spans="2:6" s="43" customFormat="1" x14ac:dyDescent="0.2">
      <c r="B314" s="49"/>
      <c r="C314" s="49"/>
      <c r="D314" s="50"/>
      <c r="E314" s="49"/>
      <c r="F314" s="53"/>
    </row>
    <row r="315" spans="2:6" s="43" customFormat="1" x14ac:dyDescent="0.2">
      <c r="B315" s="49"/>
      <c r="C315" s="49"/>
      <c r="D315" s="50"/>
      <c r="E315" s="49"/>
      <c r="F315" s="53"/>
    </row>
    <row r="316" spans="2:6" s="43" customFormat="1" x14ac:dyDescent="0.2">
      <c r="B316" s="49"/>
      <c r="C316" s="49"/>
      <c r="D316" s="50"/>
      <c r="E316" s="49"/>
      <c r="F316" s="53"/>
    </row>
    <row r="317" spans="2:6" s="43" customFormat="1" x14ac:dyDescent="0.2">
      <c r="B317" s="49"/>
      <c r="C317" s="49"/>
      <c r="D317" s="50"/>
      <c r="E317" s="49"/>
      <c r="F317" s="53"/>
    </row>
    <row r="318" spans="2:6" s="43" customFormat="1" x14ac:dyDescent="0.2">
      <c r="B318" s="49"/>
      <c r="C318" s="49"/>
      <c r="D318" s="50"/>
      <c r="E318" s="49"/>
      <c r="F318" s="53"/>
    </row>
    <row r="319" spans="2:6" s="43" customFormat="1" x14ac:dyDescent="0.2">
      <c r="B319" s="49"/>
      <c r="C319" s="49"/>
      <c r="D319" s="50"/>
      <c r="E319" s="49"/>
      <c r="F319" s="53"/>
    </row>
    <row r="320" spans="2:6" s="43" customFormat="1" x14ac:dyDescent="0.2">
      <c r="B320" s="49"/>
      <c r="C320" s="49"/>
      <c r="D320" s="50"/>
      <c r="E320" s="49"/>
      <c r="F320" s="53"/>
    </row>
    <row r="321" spans="2:6" s="43" customFormat="1" x14ac:dyDescent="0.2">
      <c r="B321" s="49"/>
      <c r="C321" s="49"/>
      <c r="D321" s="50"/>
      <c r="E321" s="49"/>
      <c r="F321" s="53"/>
    </row>
    <row r="322" spans="2:6" s="43" customFormat="1" x14ac:dyDescent="0.2">
      <c r="B322" s="49"/>
      <c r="C322" s="49"/>
      <c r="D322" s="50"/>
      <c r="E322" s="49"/>
      <c r="F322" s="53"/>
    </row>
    <row r="323" spans="2:6" s="43" customFormat="1" x14ac:dyDescent="0.2">
      <c r="B323" s="49"/>
      <c r="C323" s="49"/>
      <c r="D323" s="50"/>
      <c r="E323" s="49"/>
      <c r="F323" s="53"/>
    </row>
    <row r="324" spans="2:6" s="43" customFormat="1" x14ac:dyDescent="0.2">
      <c r="B324" s="49"/>
      <c r="C324" s="49"/>
      <c r="D324" s="50"/>
      <c r="E324" s="49"/>
      <c r="F324" s="53"/>
    </row>
    <row r="325" spans="2:6" s="43" customFormat="1" x14ac:dyDescent="0.2">
      <c r="B325" s="49"/>
      <c r="C325" s="49"/>
      <c r="D325" s="50"/>
      <c r="E325" s="49"/>
      <c r="F325" s="53"/>
    </row>
    <row r="326" spans="2:6" s="43" customFormat="1" x14ac:dyDescent="0.2">
      <c r="B326" s="49"/>
      <c r="C326" s="49"/>
      <c r="D326" s="50"/>
      <c r="E326" s="49"/>
      <c r="F326" s="53"/>
    </row>
    <row r="327" spans="2:6" s="43" customFormat="1" x14ac:dyDescent="0.2">
      <c r="B327" s="49"/>
      <c r="C327" s="49"/>
      <c r="D327" s="50"/>
      <c r="E327" s="49"/>
      <c r="F327" s="53"/>
    </row>
    <row r="328" spans="2:6" s="43" customFormat="1" x14ac:dyDescent="0.2">
      <c r="B328" s="49"/>
      <c r="C328" s="49"/>
      <c r="D328" s="50"/>
      <c r="E328" s="49"/>
      <c r="F328" s="53"/>
    </row>
    <row r="329" spans="2:6" s="43" customFormat="1" x14ac:dyDescent="0.2">
      <c r="B329" s="49"/>
      <c r="C329" s="49"/>
      <c r="D329" s="50"/>
      <c r="E329" s="49"/>
      <c r="F329" s="53"/>
    </row>
    <row r="330" spans="2:6" s="43" customFormat="1" x14ac:dyDescent="0.2">
      <c r="B330" s="49"/>
      <c r="C330" s="49"/>
      <c r="D330" s="50"/>
      <c r="E330" s="49"/>
      <c r="F330" s="53"/>
    </row>
    <row r="331" spans="2:6" s="43" customFormat="1" x14ac:dyDescent="0.2">
      <c r="B331" s="49"/>
      <c r="C331" s="49"/>
      <c r="D331" s="50"/>
      <c r="E331" s="49"/>
      <c r="F331" s="53"/>
    </row>
    <row r="332" spans="2:6" s="43" customFormat="1" x14ac:dyDescent="0.2">
      <c r="B332" s="49"/>
      <c r="C332" s="49"/>
      <c r="D332" s="50"/>
      <c r="E332" s="49"/>
      <c r="F332" s="53"/>
    </row>
    <row r="333" spans="2:6" s="43" customFormat="1" x14ac:dyDescent="0.2">
      <c r="B333" s="49"/>
      <c r="C333" s="49"/>
      <c r="D333" s="50"/>
      <c r="E333" s="49"/>
      <c r="F333" s="53"/>
    </row>
    <row r="334" spans="2:6" s="43" customFormat="1" x14ac:dyDescent="0.2">
      <c r="B334" s="49"/>
      <c r="C334" s="49"/>
      <c r="D334" s="50"/>
      <c r="E334" s="49"/>
      <c r="F334" s="53"/>
    </row>
    <row r="335" spans="2:6" s="43" customFormat="1" x14ac:dyDescent="0.2">
      <c r="B335" s="49"/>
      <c r="C335" s="49"/>
      <c r="D335" s="50"/>
      <c r="E335" s="49"/>
      <c r="F335" s="53"/>
    </row>
    <row r="336" spans="2:6" s="43" customFormat="1" x14ac:dyDescent="0.2">
      <c r="B336" s="49"/>
      <c r="C336" s="49"/>
      <c r="D336" s="50"/>
      <c r="E336" s="49"/>
      <c r="F336" s="53"/>
    </row>
    <row r="337" spans="2:6" s="43" customFormat="1" x14ac:dyDescent="0.2">
      <c r="B337" s="49"/>
      <c r="C337" s="49"/>
      <c r="D337" s="50"/>
      <c r="E337" s="49"/>
      <c r="F337" s="53"/>
    </row>
    <row r="338" spans="2:6" s="43" customFormat="1" x14ac:dyDescent="0.2">
      <c r="B338" s="49"/>
      <c r="C338" s="49"/>
      <c r="D338" s="50"/>
      <c r="E338" s="49"/>
      <c r="F338" s="53"/>
    </row>
    <row r="339" spans="2:6" s="43" customFormat="1" x14ac:dyDescent="0.2">
      <c r="B339" s="49"/>
      <c r="C339" s="49"/>
      <c r="D339" s="50"/>
      <c r="E339" s="49"/>
      <c r="F339" s="53"/>
    </row>
    <row r="340" spans="2:6" s="43" customFormat="1" x14ac:dyDescent="0.2">
      <c r="B340" s="49"/>
      <c r="C340" s="49"/>
      <c r="D340" s="50"/>
      <c r="E340" s="49"/>
      <c r="F340" s="53"/>
    </row>
    <row r="341" spans="2:6" s="43" customFormat="1" x14ac:dyDescent="0.2">
      <c r="B341" s="49"/>
      <c r="C341" s="49"/>
      <c r="D341" s="50"/>
      <c r="E341" s="49"/>
      <c r="F341" s="53"/>
    </row>
    <row r="342" spans="2:6" s="43" customFormat="1" x14ac:dyDescent="0.2">
      <c r="B342" s="49"/>
      <c r="C342" s="49"/>
      <c r="D342" s="50"/>
      <c r="E342" s="49"/>
      <c r="F342" s="53"/>
    </row>
    <row r="343" spans="2:6" s="43" customFormat="1" x14ac:dyDescent="0.2">
      <c r="B343" s="49"/>
      <c r="C343" s="49"/>
      <c r="D343" s="50"/>
      <c r="E343" s="49"/>
      <c r="F343" s="53"/>
    </row>
    <row r="344" spans="2:6" s="43" customFormat="1" x14ac:dyDescent="0.2">
      <c r="B344" s="49"/>
      <c r="C344" s="49"/>
      <c r="D344" s="50"/>
      <c r="E344" s="49"/>
      <c r="F344" s="53"/>
    </row>
    <row r="345" spans="2:6" s="43" customFormat="1" x14ac:dyDescent="0.2">
      <c r="B345" s="49"/>
      <c r="C345" s="49"/>
      <c r="D345" s="50"/>
      <c r="E345" s="49"/>
      <c r="F345" s="53"/>
    </row>
    <row r="346" spans="2:6" s="43" customFormat="1" x14ac:dyDescent="0.2">
      <c r="B346" s="49"/>
      <c r="C346" s="49"/>
      <c r="D346" s="50"/>
      <c r="E346" s="49"/>
      <c r="F346" s="53"/>
    </row>
    <row r="347" spans="2:6" s="43" customFormat="1" x14ac:dyDescent="0.2">
      <c r="B347" s="49"/>
      <c r="C347" s="49"/>
      <c r="D347" s="50"/>
      <c r="E347" s="49"/>
      <c r="F347" s="53"/>
    </row>
    <row r="348" spans="2:6" s="43" customFormat="1" x14ac:dyDescent="0.2">
      <c r="B348" s="49"/>
      <c r="C348" s="49"/>
      <c r="D348" s="50"/>
      <c r="E348" s="49"/>
      <c r="F348" s="53"/>
    </row>
    <row r="349" spans="2:6" s="43" customFormat="1" x14ac:dyDescent="0.2">
      <c r="B349" s="49"/>
      <c r="C349" s="49"/>
      <c r="D349" s="50"/>
      <c r="E349" s="49"/>
      <c r="F349" s="53"/>
    </row>
    <row r="350" spans="2:6" s="43" customFormat="1" x14ac:dyDescent="0.2">
      <c r="B350" s="49"/>
      <c r="C350" s="49"/>
      <c r="D350" s="50"/>
      <c r="E350" s="49"/>
      <c r="F350" s="53"/>
    </row>
    <row r="351" spans="2:6" s="43" customFormat="1" x14ac:dyDescent="0.2">
      <c r="B351" s="49"/>
      <c r="C351" s="49"/>
      <c r="D351" s="50"/>
      <c r="E351" s="49"/>
      <c r="F351" s="53"/>
    </row>
    <row r="352" spans="2:6" s="43" customFormat="1" x14ac:dyDescent="0.2">
      <c r="B352" s="49"/>
      <c r="C352" s="49"/>
      <c r="D352" s="50"/>
      <c r="E352" s="49"/>
      <c r="F352" s="53"/>
    </row>
    <row r="353" spans="2:6" s="43" customFormat="1" x14ac:dyDescent="0.2">
      <c r="B353" s="49"/>
      <c r="C353" s="49"/>
      <c r="D353" s="50"/>
      <c r="E353" s="49"/>
      <c r="F353" s="53"/>
    </row>
    <row r="354" spans="2:6" s="43" customFormat="1" x14ac:dyDescent="0.2">
      <c r="B354" s="49"/>
      <c r="C354" s="49"/>
      <c r="D354" s="50"/>
      <c r="E354" s="49"/>
      <c r="F354" s="53"/>
    </row>
    <row r="355" spans="2:6" s="43" customFormat="1" x14ac:dyDescent="0.2">
      <c r="B355" s="49"/>
      <c r="C355" s="49"/>
      <c r="D355" s="50"/>
      <c r="E355" s="49"/>
      <c r="F355" s="53"/>
    </row>
    <row r="356" spans="2:6" s="43" customFormat="1" x14ac:dyDescent="0.2">
      <c r="B356" s="49"/>
      <c r="C356" s="49"/>
      <c r="D356" s="50"/>
      <c r="E356" s="49"/>
      <c r="F356" s="53"/>
    </row>
    <row r="357" spans="2:6" s="43" customFormat="1" x14ac:dyDescent="0.2">
      <c r="B357" s="49"/>
      <c r="C357" s="49"/>
      <c r="D357" s="50"/>
      <c r="E357" s="49"/>
      <c r="F357" s="53"/>
    </row>
    <row r="358" spans="2:6" s="43" customFormat="1" x14ac:dyDescent="0.2">
      <c r="B358" s="49"/>
      <c r="C358" s="49"/>
      <c r="D358" s="50"/>
      <c r="E358" s="49"/>
      <c r="F358" s="53"/>
    </row>
    <row r="359" spans="2:6" s="43" customFormat="1" x14ac:dyDescent="0.2">
      <c r="B359" s="49"/>
      <c r="C359" s="49"/>
      <c r="D359" s="50"/>
      <c r="E359" s="49"/>
      <c r="F359" s="53"/>
    </row>
    <row r="360" spans="2:6" s="43" customFormat="1" x14ac:dyDescent="0.2">
      <c r="B360" s="49"/>
      <c r="C360" s="49"/>
      <c r="D360" s="50"/>
      <c r="E360" s="49"/>
      <c r="F360" s="53"/>
    </row>
    <row r="361" spans="2:6" s="43" customFormat="1" x14ac:dyDescent="0.2">
      <c r="B361" s="49"/>
      <c r="C361" s="49"/>
      <c r="D361" s="50"/>
      <c r="E361" s="49"/>
      <c r="F361" s="53"/>
    </row>
    <row r="362" spans="2:6" s="43" customFormat="1" x14ac:dyDescent="0.2">
      <c r="B362" s="49"/>
      <c r="C362" s="49"/>
      <c r="D362" s="50"/>
      <c r="E362" s="49"/>
      <c r="F362" s="53"/>
    </row>
    <row r="363" spans="2:6" s="43" customFormat="1" x14ac:dyDescent="0.2">
      <c r="B363" s="49"/>
      <c r="C363" s="49"/>
      <c r="D363" s="50"/>
      <c r="E363" s="49"/>
      <c r="F363" s="53"/>
    </row>
    <row r="364" spans="2:6" s="43" customFormat="1" x14ac:dyDescent="0.2">
      <c r="B364" s="49"/>
      <c r="C364" s="49"/>
      <c r="D364" s="50"/>
      <c r="E364" s="49"/>
      <c r="F364" s="53"/>
    </row>
    <row r="365" spans="2:6" s="43" customFormat="1" x14ac:dyDescent="0.2">
      <c r="B365" s="49"/>
      <c r="C365" s="49"/>
      <c r="D365" s="50"/>
      <c r="E365" s="49"/>
      <c r="F365" s="53"/>
    </row>
    <row r="366" spans="2:6" s="43" customFormat="1" x14ac:dyDescent="0.2">
      <c r="B366" s="49"/>
      <c r="C366" s="49"/>
      <c r="D366" s="50"/>
      <c r="E366" s="49"/>
      <c r="F366" s="53"/>
    </row>
    <row r="367" spans="2:6" s="43" customFormat="1" x14ac:dyDescent="0.2">
      <c r="B367" s="49"/>
      <c r="C367" s="49"/>
      <c r="D367" s="50"/>
      <c r="E367" s="49"/>
      <c r="F367" s="53"/>
    </row>
    <row r="368" spans="2:6" s="43" customFormat="1" x14ac:dyDescent="0.2">
      <c r="B368" s="49"/>
      <c r="C368" s="49"/>
      <c r="D368" s="50"/>
      <c r="E368" s="49"/>
      <c r="F368" s="53"/>
    </row>
    <row r="369" spans="2:6" s="43" customFormat="1" x14ac:dyDescent="0.2">
      <c r="B369" s="49"/>
      <c r="C369" s="49"/>
      <c r="D369" s="50"/>
      <c r="E369" s="49"/>
      <c r="F369" s="53"/>
    </row>
    <row r="370" spans="2:6" s="43" customFormat="1" x14ac:dyDescent="0.2">
      <c r="B370" s="49"/>
      <c r="C370" s="49"/>
      <c r="D370" s="50"/>
      <c r="E370" s="49"/>
      <c r="F370" s="53"/>
    </row>
    <row r="371" spans="2:6" s="43" customFormat="1" x14ac:dyDescent="0.2">
      <c r="B371" s="49"/>
      <c r="C371" s="49"/>
      <c r="D371" s="50"/>
      <c r="E371" s="49"/>
      <c r="F371" s="53"/>
    </row>
    <row r="372" spans="2:6" s="43" customFormat="1" x14ac:dyDescent="0.2">
      <c r="B372" s="49"/>
      <c r="C372" s="49"/>
      <c r="D372" s="50"/>
      <c r="E372" s="49"/>
      <c r="F372" s="53"/>
    </row>
    <row r="373" spans="2:6" s="43" customFormat="1" x14ac:dyDescent="0.2">
      <c r="B373" s="49"/>
      <c r="C373" s="49"/>
      <c r="D373" s="50"/>
      <c r="E373" s="49"/>
      <c r="F373" s="53"/>
    </row>
    <row r="374" spans="2:6" s="43" customFormat="1" x14ac:dyDescent="0.2">
      <c r="B374" s="49"/>
      <c r="C374" s="49"/>
      <c r="D374" s="50"/>
      <c r="E374" s="49"/>
      <c r="F374" s="53"/>
    </row>
    <row r="375" spans="2:6" s="43" customFormat="1" x14ac:dyDescent="0.2">
      <c r="B375" s="49"/>
      <c r="C375" s="49"/>
      <c r="D375" s="50"/>
      <c r="E375" s="49"/>
      <c r="F375" s="53"/>
    </row>
    <row r="376" spans="2:6" s="43" customFormat="1" x14ac:dyDescent="0.2">
      <c r="B376" s="49"/>
      <c r="C376" s="49"/>
      <c r="D376" s="50"/>
      <c r="E376" s="49"/>
      <c r="F376" s="53"/>
    </row>
    <row r="377" spans="2:6" s="43" customFormat="1" x14ac:dyDescent="0.2">
      <c r="B377" s="49"/>
      <c r="C377" s="49"/>
      <c r="D377" s="50"/>
      <c r="E377" s="49"/>
      <c r="F377" s="53"/>
    </row>
    <row r="378" spans="2:6" s="43" customFormat="1" x14ac:dyDescent="0.2">
      <c r="B378" s="49"/>
      <c r="C378" s="49"/>
      <c r="D378" s="50"/>
      <c r="E378" s="49"/>
      <c r="F378" s="53"/>
    </row>
    <row r="379" spans="2:6" s="43" customFormat="1" x14ac:dyDescent="0.2">
      <c r="B379" s="49"/>
      <c r="C379" s="49"/>
      <c r="D379" s="50"/>
      <c r="E379" s="49"/>
      <c r="F379" s="53"/>
    </row>
    <row r="380" spans="2:6" s="43" customFormat="1" x14ac:dyDescent="0.2">
      <c r="B380" s="49"/>
      <c r="C380" s="49"/>
      <c r="D380" s="50"/>
      <c r="E380" s="49"/>
      <c r="F380" s="53"/>
    </row>
    <row r="381" spans="2:6" s="43" customFormat="1" x14ac:dyDescent="0.2">
      <c r="B381" s="49"/>
      <c r="C381" s="49"/>
      <c r="D381" s="50"/>
      <c r="E381" s="49"/>
      <c r="F381" s="53"/>
    </row>
    <row r="382" spans="2:6" s="43" customFormat="1" x14ac:dyDescent="0.2">
      <c r="B382" s="49"/>
      <c r="C382" s="49"/>
      <c r="D382" s="50"/>
      <c r="E382" s="49"/>
      <c r="F382" s="53"/>
    </row>
    <row r="383" spans="2:6" s="43" customFormat="1" x14ac:dyDescent="0.2">
      <c r="B383" s="49"/>
      <c r="C383" s="49"/>
      <c r="D383" s="50"/>
      <c r="E383" s="49"/>
      <c r="F383" s="53"/>
    </row>
    <row r="384" spans="2:6" s="43" customFormat="1" x14ac:dyDescent="0.2">
      <c r="B384" s="49"/>
      <c r="C384" s="49"/>
      <c r="D384" s="50"/>
      <c r="E384" s="49"/>
      <c r="F384" s="53"/>
    </row>
    <row r="385" spans="2:6" s="43" customFormat="1" x14ac:dyDescent="0.2">
      <c r="B385" s="49"/>
      <c r="C385" s="49"/>
      <c r="D385" s="50"/>
      <c r="E385" s="49"/>
      <c r="F385" s="53"/>
    </row>
    <row r="386" spans="2:6" s="43" customFormat="1" x14ac:dyDescent="0.2">
      <c r="B386" s="49"/>
      <c r="C386" s="49"/>
      <c r="D386" s="50"/>
      <c r="E386" s="49"/>
      <c r="F386" s="53"/>
    </row>
    <row r="387" spans="2:6" s="43" customFormat="1" x14ac:dyDescent="0.2">
      <c r="B387" s="49"/>
      <c r="C387" s="49"/>
      <c r="D387" s="50"/>
      <c r="E387" s="49"/>
      <c r="F387" s="53"/>
    </row>
    <row r="388" spans="2:6" s="43" customFormat="1" x14ac:dyDescent="0.2">
      <c r="B388" s="49"/>
      <c r="C388" s="49"/>
      <c r="D388" s="50"/>
      <c r="E388" s="49"/>
      <c r="F388" s="53"/>
    </row>
    <row r="389" spans="2:6" s="43" customFormat="1" x14ac:dyDescent="0.2">
      <c r="B389" s="49"/>
      <c r="C389" s="49"/>
      <c r="D389" s="50"/>
      <c r="E389" s="49"/>
      <c r="F389" s="53"/>
    </row>
    <row r="390" spans="2:6" s="43" customFormat="1" x14ac:dyDescent="0.2">
      <c r="B390" s="49"/>
      <c r="C390" s="49"/>
      <c r="D390" s="50"/>
      <c r="E390" s="49"/>
      <c r="F390" s="53"/>
    </row>
    <row r="391" spans="2:6" s="43" customFormat="1" x14ac:dyDescent="0.2">
      <c r="B391" s="49"/>
      <c r="C391" s="49"/>
      <c r="D391" s="50"/>
      <c r="E391" s="49"/>
      <c r="F391" s="53"/>
    </row>
    <row r="392" spans="2:6" s="43" customFormat="1" x14ac:dyDescent="0.2">
      <c r="B392" s="49"/>
      <c r="C392" s="49"/>
      <c r="D392" s="50"/>
      <c r="E392" s="49"/>
      <c r="F392" s="53"/>
    </row>
    <row r="393" spans="2:6" s="43" customFormat="1" x14ac:dyDescent="0.2">
      <c r="B393" s="49"/>
      <c r="C393" s="49"/>
      <c r="D393" s="50"/>
      <c r="E393" s="49"/>
      <c r="F393" s="53"/>
    </row>
    <row r="394" spans="2:6" s="43" customFormat="1" x14ac:dyDescent="0.2">
      <c r="B394" s="49"/>
      <c r="C394" s="49"/>
      <c r="D394" s="50"/>
      <c r="E394" s="49"/>
      <c r="F394" s="53"/>
    </row>
    <row r="395" spans="2:6" s="43" customFormat="1" x14ac:dyDescent="0.2">
      <c r="B395" s="49"/>
      <c r="C395" s="49"/>
      <c r="D395" s="50"/>
      <c r="E395" s="49"/>
      <c r="F395" s="53"/>
    </row>
    <row r="396" spans="2:6" s="43" customFormat="1" x14ac:dyDescent="0.2">
      <c r="B396" s="49"/>
      <c r="C396" s="49"/>
      <c r="D396" s="50"/>
      <c r="E396" s="49"/>
      <c r="F396" s="53"/>
    </row>
    <row r="397" spans="2:6" s="43" customFormat="1" x14ac:dyDescent="0.2">
      <c r="B397" s="49"/>
      <c r="C397" s="49"/>
      <c r="D397" s="50"/>
      <c r="E397" s="49"/>
      <c r="F397" s="53"/>
    </row>
    <row r="398" spans="2:6" s="43" customFormat="1" x14ac:dyDescent="0.2">
      <c r="B398" s="49"/>
      <c r="C398" s="49"/>
      <c r="D398" s="50"/>
      <c r="E398" s="49"/>
      <c r="F398" s="53"/>
    </row>
    <row r="399" spans="2:6" s="43" customFormat="1" x14ac:dyDescent="0.2">
      <c r="B399" s="49"/>
      <c r="C399" s="49"/>
      <c r="D399" s="50"/>
      <c r="E399" s="49"/>
      <c r="F399" s="53"/>
    </row>
    <row r="400" spans="2:6" s="43" customFormat="1" x14ac:dyDescent="0.2">
      <c r="B400" s="49"/>
      <c r="C400" s="49"/>
      <c r="D400" s="50"/>
      <c r="E400" s="49"/>
      <c r="F400" s="53"/>
    </row>
    <row r="401" spans="2:6" s="43" customFormat="1" x14ac:dyDescent="0.2">
      <c r="B401" s="49"/>
      <c r="C401" s="49"/>
      <c r="D401" s="50"/>
      <c r="E401" s="49"/>
      <c r="F401" s="53"/>
    </row>
    <row r="402" spans="2:6" s="43" customFormat="1" x14ac:dyDescent="0.2">
      <c r="B402" s="49"/>
      <c r="C402" s="49"/>
      <c r="D402" s="50"/>
      <c r="E402" s="49"/>
      <c r="F402" s="53"/>
    </row>
    <row r="403" spans="2:6" s="43" customFormat="1" x14ac:dyDescent="0.2">
      <c r="B403" s="49"/>
      <c r="C403" s="49"/>
      <c r="D403" s="50"/>
      <c r="E403" s="49"/>
      <c r="F403" s="53"/>
    </row>
    <row r="404" spans="2:6" s="43" customFormat="1" x14ac:dyDescent="0.2">
      <c r="B404" s="49"/>
      <c r="C404" s="49"/>
      <c r="D404" s="50"/>
      <c r="E404" s="49"/>
      <c r="F404" s="53"/>
    </row>
    <row r="405" spans="2:6" s="43" customFormat="1" x14ac:dyDescent="0.2">
      <c r="B405" s="49"/>
      <c r="C405" s="49"/>
      <c r="D405" s="50"/>
      <c r="E405" s="49"/>
      <c r="F405" s="53"/>
    </row>
    <row r="406" spans="2:6" s="43" customFormat="1" x14ac:dyDescent="0.2">
      <c r="B406" s="49"/>
      <c r="C406" s="49"/>
      <c r="D406" s="50"/>
      <c r="E406" s="49"/>
      <c r="F406" s="53"/>
    </row>
    <row r="407" spans="2:6" s="43" customFormat="1" x14ac:dyDescent="0.2">
      <c r="B407" s="49"/>
      <c r="C407" s="49"/>
      <c r="D407" s="50"/>
      <c r="E407" s="49"/>
      <c r="F407" s="53"/>
    </row>
    <row r="408" spans="2:6" s="43" customFormat="1" x14ac:dyDescent="0.2">
      <c r="B408" s="49"/>
      <c r="C408" s="49"/>
      <c r="D408" s="50"/>
      <c r="E408" s="49"/>
      <c r="F408" s="53"/>
    </row>
    <row r="409" spans="2:6" s="43" customFormat="1" x14ac:dyDescent="0.2">
      <c r="B409" s="49"/>
      <c r="C409" s="49"/>
      <c r="D409" s="50"/>
      <c r="E409" s="49"/>
      <c r="F409" s="53"/>
    </row>
    <row r="410" spans="2:6" s="43" customFormat="1" x14ac:dyDescent="0.2">
      <c r="B410" s="49"/>
      <c r="C410" s="49"/>
      <c r="D410" s="50"/>
      <c r="E410" s="49"/>
      <c r="F410" s="53"/>
    </row>
    <row r="411" spans="2:6" s="43" customFormat="1" x14ac:dyDescent="0.2">
      <c r="B411" s="49"/>
      <c r="C411" s="49"/>
      <c r="D411" s="50"/>
      <c r="E411" s="49"/>
      <c r="F411" s="53"/>
    </row>
    <row r="412" spans="2:6" s="43" customFormat="1" x14ac:dyDescent="0.2">
      <c r="B412" s="49"/>
      <c r="C412" s="49"/>
      <c r="D412" s="50"/>
      <c r="E412" s="49"/>
      <c r="F412" s="53"/>
    </row>
    <row r="413" spans="2:6" s="43" customFormat="1" x14ac:dyDescent="0.2">
      <c r="B413" s="49"/>
      <c r="C413" s="49"/>
      <c r="D413" s="50"/>
      <c r="E413" s="49"/>
      <c r="F413" s="53"/>
    </row>
    <row r="414" spans="2:6" s="43" customFormat="1" x14ac:dyDescent="0.2">
      <c r="B414" s="49"/>
      <c r="C414" s="49"/>
      <c r="D414" s="50"/>
      <c r="E414" s="49"/>
      <c r="F414" s="53"/>
    </row>
    <row r="415" spans="2:6" s="43" customFormat="1" x14ac:dyDescent="0.2">
      <c r="B415" s="49"/>
      <c r="C415" s="49"/>
      <c r="D415" s="50"/>
      <c r="E415" s="49"/>
      <c r="F415" s="53"/>
    </row>
    <row r="416" spans="2:6" s="43" customFormat="1" x14ac:dyDescent="0.2">
      <c r="B416" s="49"/>
      <c r="C416" s="49"/>
      <c r="D416" s="50"/>
      <c r="E416" s="49"/>
      <c r="F416" s="53"/>
    </row>
    <row r="417" spans="2:6" s="43" customFormat="1" x14ac:dyDescent="0.2">
      <c r="B417" s="49"/>
      <c r="C417" s="49"/>
      <c r="D417" s="50"/>
      <c r="E417" s="49"/>
      <c r="F417" s="53"/>
    </row>
    <row r="418" spans="2:6" s="43" customFormat="1" x14ac:dyDescent="0.2">
      <c r="B418" s="49"/>
      <c r="C418" s="49"/>
      <c r="D418" s="50"/>
      <c r="E418" s="49"/>
      <c r="F418" s="53"/>
    </row>
    <row r="419" spans="2:6" s="43" customFormat="1" x14ac:dyDescent="0.2">
      <c r="B419" s="49"/>
      <c r="C419" s="49"/>
      <c r="D419" s="50"/>
      <c r="E419" s="49"/>
      <c r="F419" s="53"/>
    </row>
    <row r="420" spans="2:6" s="43" customFormat="1" x14ac:dyDescent="0.2">
      <c r="B420" s="49"/>
      <c r="C420" s="49"/>
      <c r="D420" s="50"/>
      <c r="E420" s="49"/>
      <c r="F420" s="53"/>
    </row>
    <row r="421" spans="2:6" s="43" customFormat="1" x14ac:dyDescent="0.2">
      <c r="B421" s="49"/>
      <c r="C421" s="49"/>
      <c r="D421" s="50"/>
      <c r="E421" s="49"/>
      <c r="F421" s="53"/>
    </row>
    <row r="422" spans="2:6" s="43" customFormat="1" x14ac:dyDescent="0.2">
      <c r="B422" s="49"/>
      <c r="C422" s="49"/>
      <c r="D422" s="50"/>
      <c r="E422" s="49"/>
      <c r="F422" s="53"/>
    </row>
    <row r="423" spans="2:6" s="43" customFormat="1" x14ac:dyDescent="0.2">
      <c r="B423" s="49"/>
      <c r="C423" s="49"/>
      <c r="D423" s="50"/>
      <c r="E423" s="49"/>
      <c r="F423" s="53"/>
    </row>
    <row r="424" spans="2:6" s="43" customFormat="1" x14ac:dyDescent="0.2">
      <c r="B424" s="49"/>
      <c r="C424" s="49"/>
      <c r="D424" s="50"/>
      <c r="E424" s="49"/>
      <c r="F424" s="53"/>
    </row>
    <row r="425" spans="2:6" s="43" customFormat="1" x14ac:dyDescent="0.2">
      <c r="B425" s="49"/>
      <c r="C425" s="49"/>
      <c r="D425" s="50"/>
      <c r="E425" s="49"/>
      <c r="F425" s="53"/>
    </row>
    <row r="426" spans="2:6" s="43" customFormat="1" x14ac:dyDescent="0.2">
      <c r="B426" s="49"/>
      <c r="C426" s="49"/>
      <c r="D426" s="50"/>
      <c r="E426" s="49"/>
      <c r="F426" s="53"/>
    </row>
    <row r="427" spans="2:6" s="43" customFormat="1" x14ac:dyDescent="0.2">
      <c r="B427" s="49"/>
      <c r="C427" s="49"/>
      <c r="D427" s="50"/>
      <c r="E427" s="49"/>
      <c r="F427" s="53"/>
    </row>
    <row r="428" spans="2:6" s="43" customFormat="1" x14ac:dyDescent="0.2">
      <c r="B428" s="49"/>
      <c r="C428" s="49"/>
      <c r="D428" s="50"/>
      <c r="E428" s="49"/>
      <c r="F428" s="53"/>
    </row>
    <row r="429" spans="2:6" s="43" customFormat="1" x14ac:dyDescent="0.2">
      <c r="B429" s="49"/>
      <c r="C429" s="49"/>
      <c r="D429" s="50"/>
      <c r="E429" s="49"/>
      <c r="F429" s="53"/>
    </row>
    <row r="430" spans="2:6" s="43" customFormat="1" x14ac:dyDescent="0.2">
      <c r="B430" s="49"/>
      <c r="C430" s="49"/>
      <c r="D430" s="50"/>
      <c r="E430" s="49"/>
      <c r="F430" s="53"/>
    </row>
    <row r="431" spans="2:6" s="43" customFormat="1" x14ac:dyDescent="0.2">
      <c r="B431" s="49"/>
      <c r="C431" s="49"/>
      <c r="D431" s="50"/>
      <c r="E431" s="49"/>
      <c r="F431" s="53"/>
    </row>
    <row r="432" spans="2:6" s="43" customFormat="1" x14ac:dyDescent="0.2">
      <c r="B432" s="49"/>
      <c r="C432" s="49"/>
      <c r="D432" s="50"/>
      <c r="E432" s="49"/>
      <c r="F432" s="53"/>
    </row>
    <row r="433" spans="2:6" s="43" customFormat="1" x14ac:dyDescent="0.2">
      <c r="B433" s="49"/>
      <c r="C433" s="49"/>
      <c r="D433" s="50"/>
      <c r="E433" s="49"/>
      <c r="F433" s="53"/>
    </row>
    <row r="434" spans="2:6" s="43" customFormat="1" x14ac:dyDescent="0.2">
      <c r="B434" s="49"/>
      <c r="C434" s="49"/>
      <c r="D434" s="50"/>
      <c r="E434" s="49"/>
      <c r="F434" s="53"/>
    </row>
    <row r="435" spans="2:6" s="43" customFormat="1" x14ac:dyDescent="0.2">
      <c r="B435" s="49"/>
      <c r="C435" s="49"/>
      <c r="D435" s="50"/>
      <c r="E435" s="49"/>
      <c r="F435" s="53"/>
    </row>
    <row r="436" spans="2:6" s="43" customFormat="1" x14ac:dyDescent="0.2">
      <c r="B436" s="49"/>
      <c r="C436" s="49"/>
      <c r="D436" s="50"/>
      <c r="E436" s="49"/>
      <c r="F436" s="53"/>
    </row>
    <row r="437" spans="2:6" s="43" customFormat="1" x14ac:dyDescent="0.2">
      <c r="B437" s="49"/>
      <c r="C437" s="49"/>
      <c r="D437" s="50"/>
      <c r="E437" s="49"/>
      <c r="F437" s="53"/>
    </row>
    <row r="438" spans="2:6" s="43" customFormat="1" x14ac:dyDescent="0.2">
      <c r="B438" s="49"/>
      <c r="C438" s="49"/>
      <c r="D438" s="50"/>
      <c r="E438" s="49"/>
      <c r="F438" s="53"/>
    </row>
    <row r="439" spans="2:6" s="43" customFormat="1" x14ac:dyDescent="0.2">
      <c r="B439" s="49"/>
      <c r="C439" s="49"/>
      <c r="D439" s="50"/>
      <c r="E439" s="49"/>
      <c r="F439" s="53"/>
    </row>
    <row r="440" spans="2:6" s="43" customFormat="1" x14ac:dyDescent="0.2">
      <c r="B440" s="49"/>
      <c r="C440" s="49"/>
      <c r="D440" s="50"/>
      <c r="E440" s="49"/>
      <c r="F440" s="53"/>
    </row>
    <row r="441" spans="2:6" s="43" customFormat="1" x14ac:dyDescent="0.2">
      <c r="B441" s="49"/>
      <c r="C441" s="49"/>
      <c r="D441" s="50"/>
      <c r="E441" s="49"/>
      <c r="F441" s="53"/>
    </row>
    <row r="442" spans="2:6" s="43" customFormat="1" x14ac:dyDescent="0.2">
      <c r="B442" s="49"/>
      <c r="C442" s="49"/>
      <c r="D442" s="50"/>
      <c r="E442" s="49"/>
      <c r="F442" s="53"/>
    </row>
    <row r="443" spans="2:6" s="43" customFormat="1" x14ac:dyDescent="0.2">
      <c r="B443" s="49"/>
      <c r="C443" s="49"/>
      <c r="D443" s="50"/>
      <c r="E443" s="49"/>
      <c r="F443" s="53"/>
    </row>
    <row r="444" spans="2:6" s="43" customFormat="1" x14ac:dyDescent="0.2">
      <c r="B444" s="49"/>
      <c r="C444" s="49"/>
      <c r="D444" s="50"/>
      <c r="E444" s="49"/>
      <c r="F444" s="53"/>
    </row>
    <row r="445" spans="2:6" s="43" customFormat="1" x14ac:dyDescent="0.2">
      <c r="B445" s="49"/>
      <c r="C445" s="49"/>
      <c r="D445" s="50"/>
      <c r="E445" s="49"/>
      <c r="F445" s="53"/>
    </row>
    <row r="446" spans="2:6" s="43" customFormat="1" x14ac:dyDescent="0.2">
      <c r="B446" s="49"/>
      <c r="C446" s="49"/>
      <c r="D446" s="50"/>
      <c r="E446" s="49"/>
      <c r="F446" s="53"/>
    </row>
    <row r="447" spans="2:6" s="43" customFormat="1" x14ac:dyDescent="0.2">
      <c r="B447" s="49"/>
      <c r="C447" s="49"/>
      <c r="D447" s="50"/>
      <c r="E447" s="49"/>
      <c r="F447" s="53"/>
    </row>
    <row r="448" spans="2:6" s="43" customFormat="1" x14ac:dyDescent="0.2">
      <c r="B448" s="49"/>
      <c r="C448" s="49"/>
      <c r="D448" s="50"/>
      <c r="E448" s="49"/>
      <c r="F448" s="53"/>
    </row>
    <row r="449" spans="2:6" s="43" customFormat="1" x14ac:dyDescent="0.2">
      <c r="B449" s="49"/>
      <c r="C449" s="49"/>
      <c r="D449" s="50"/>
      <c r="E449" s="49"/>
      <c r="F449" s="53"/>
    </row>
    <row r="450" spans="2:6" s="43" customFormat="1" x14ac:dyDescent="0.2">
      <c r="B450" s="49"/>
      <c r="C450" s="49"/>
      <c r="D450" s="50"/>
      <c r="E450" s="49"/>
      <c r="F450" s="53"/>
    </row>
    <row r="451" spans="2:6" s="43" customFormat="1" x14ac:dyDescent="0.2">
      <c r="B451" s="49"/>
      <c r="C451" s="49"/>
      <c r="D451" s="50"/>
      <c r="E451" s="49"/>
      <c r="F451" s="53"/>
    </row>
    <row r="452" spans="2:6" s="43" customFormat="1" x14ac:dyDescent="0.2">
      <c r="B452" s="49"/>
      <c r="C452" s="49"/>
      <c r="D452" s="50"/>
      <c r="E452" s="49"/>
      <c r="F452" s="53"/>
    </row>
    <row r="453" spans="2:6" s="43" customFormat="1" x14ac:dyDescent="0.2">
      <c r="B453" s="49"/>
      <c r="C453" s="49"/>
      <c r="D453" s="50"/>
      <c r="E453" s="49"/>
      <c r="F453" s="53"/>
    </row>
    <row r="454" spans="2:6" s="43" customFormat="1" x14ac:dyDescent="0.2">
      <c r="B454" s="49"/>
      <c r="C454" s="49"/>
      <c r="D454" s="50"/>
      <c r="E454" s="49"/>
      <c r="F454" s="53"/>
    </row>
    <row r="455" spans="2:6" s="43" customFormat="1" x14ac:dyDescent="0.2">
      <c r="B455" s="49"/>
      <c r="C455" s="49"/>
      <c r="D455" s="50"/>
      <c r="E455" s="49"/>
      <c r="F455" s="53"/>
    </row>
    <row r="456" spans="2:6" s="43" customFormat="1" x14ac:dyDescent="0.2">
      <c r="B456" s="49"/>
      <c r="C456" s="49"/>
      <c r="D456" s="50"/>
      <c r="E456" s="49"/>
      <c r="F456" s="53"/>
    </row>
    <row r="457" spans="2:6" s="43" customFormat="1" x14ac:dyDescent="0.2">
      <c r="B457" s="49"/>
      <c r="C457" s="49"/>
      <c r="D457" s="50"/>
      <c r="E457" s="49"/>
      <c r="F457" s="53"/>
    </row>
    <row r="458" spans="2:6" s="43" customFormat="1" x14ac:dyDescent="0.2">
      <c r="B458" s="49"/>
      <c r="C458" s="49"/>
      <c r="D458" s="50"/>
      <c r="E458" s="49"/>
      <c r="F458" s="53"/>
    </row>
    <row r="459" spans="2:6" s="43" customFormat="1" x14ac:dyDescent="0.2">
      <c r="B459" s="49"/>
      <c r="C459" s="49"/>
      <c r="D459" s="50"/>
      <c r="E459" s="49"/>
      <c r="F459" s="53"/>
    </row>
    <row r="460" spans="2:6" s="43" customFormat="1" x14ac:dyDescent="0.2">
      <c r="B460" s="49"/>
      <c r="C460" s="49"/>
      <c r="D460" s="50"/>
      <c r="E460" s="49"/>
      <c r="F460" s="53"/>
    </row>
    <row r="461" spans="2:6" s="43" customFormat="1" x14ac:dyDescent="0.2">
      <c r="B461" s="49"/>
      <c r="C461" s="49"/>
      <c r="D461" s="50"/>
      <c r="E461" s="49"/>
      <c r="F461" s="53"/>
    </row>
    <row r="462" spans="2:6" s="43" customFormat="1" x14ac:dyDescent="0.2">
      <c r="B462" s="49"/>
      <c r="C462" s="49"/>
      <c r="D462" s="50"/>
      <c r="E462" s="49"/>
      <c r="F462" s="53"/>
    </row>
    <row r="463" spans="2:6" s="43" customFormat="1" x14ac:dyDescent="0.2">
      <c r="B463" s="49"/>
      <c r="C463" s="49"/>
      <c r="D463" s="50"/>
      <c r="E463" s="49"/>
      <c r="F463" s="53"/>
    </row>
    <row r="464" spans="2:6" s="43" customFormat="1" x14ac:dyDescent="0.2">
      <c r="B464" s="49"/>
      <c r="C464" s="49"/>
      <c r="D464" s="50"/>
      <c r="E464" s="49"/>
      <c r="F464" s="53"/>
    </row>
    <row r="465" spans="2:6" s="43" customFormat="1" x14ac:dyDescent="0.2">
      <c r="B465" s="49"/>
      <c r="C465" s="49"/>
      <c r="D465" s="50"/>
      <c r="E465" s="49"/>
      <c r="F465" s="53"/>
    </row>
    <row r="466" spans="2:6" s="43" customFormat="1" x14ac:dyDescent="0.2">
      <c r="B466" s="49"/>
      <c r="C466" s="49"/>
      <c r="D466" s="50"/>
      <c r="E466" s="49"/>
      <c r="F466" s="53"/>
    </row>
    <row r="467" spans="2:6" s="43" customFormat="1" x14ac:dyDescent="0.2">
      <c r="B467" s="49"/>
      <c r="C467" s="49"/>
      <c r="D467" s="50"/>
      <c r="E467" s="49"/>
      <c r="F467" s="53"/>
    </row>
    <row r="468" spans="2:6" s="43" customFormat="1" x14ac:dyDescent="0.2">
      <c r="B468" s="49"/>
      <c r="C468" s="49"/>
      <c r="D468" s="50"/>
      <c r="E468" s="49"/>
      <c r="F468" s="53"/>
    </row>
    <row r="469" spans="2:6" s="43" customFormat="1" x14ac:dyDescent="0.2">
      <c r="B469" s="49"/>
      <c r="C469" s="49"/>
      <c r="D469" s="50"/>
      <c r="E469" s="49"/>
      <c r="F469" s="53"/>
    </row>
    <row r="470" spans="2:6" s="43" customFormat="1" x14ac:dyDescent="0.2">
      <c r="B470" s="49"/>
      <c r="C470" s="49"/>
      <c r="D470" s="50"/>
      <c r="E470" s="49"/>
      <c r="F470" s="53"/>
    </row>
    <row r="471" spans="2:6" s="43" customFormat="1" x14ac:dyDescent="0.2">
      <c r="B471" s="49"/>
      <c r="C471" s="49"/>
      <c r="D471" s="50"/>
      <c r="E471" s="49"/>
      <c r="F471" s="53"/>
    </row>
    <row r="472" spans="2:6" s="43" customFormat="1" x14ac:dyDescent="0.2">
      <c r="B472" s="49"/>
      <c r="C472" s="49"/>
      <c r="D472" s="50"/>
      <c r="E472" s="49"/>
      <c r="F472" s="53"/>
    </row>
    <row r="473" spans="2:6" s="43" customFormat="1" x14ac:dyDescent="0.2">
      <c r="B473" s="49"/>
      <c r="C473" s="49"/>
      <c r="D473" s="50"/>
      <c r="E473" s="49"/>
      <c r="F473" s="53"/>
    </row>
    <row r="474" spans="2:6" s="43" customFormat="1" x14ac:dyDescent="0.2">
      <c r="B474" s="49"/>
      <c r="C474" s="49"/>
      <c r="D474" s="50"/>
      <c r="E474" s="49"/>
      <c r="F474" s="53"/>
    </row>
    <row r="475" spans="2:6" s="43" customFormat="1" x14ac:dyDescent="0.2">
      <c r="B475" s="49"/>
      <c r="C475" s="49"/>
      <c r="D475" s="50"/>
      <c r="E475" s="49"/>
      <c r="F475" s="53"/>
    </row>
    <row r="476" spans="2:6" s="43" customFormat="1" x14ac:dyDescent="0.2">
      <c r="B476" s="49"/>
      <c r="C476" s="49"/>
      <c r="D476" s="50"/>
      <c r="E476" s="49"/>
      <c r="F476" s="53"/>
    </row>
    <row r="477" spans="2:6" s="43" customFormat="1" x14ac:dyDescent="0.2">
      <c r="B477" s="49"/>
      <c r="C477" s="49"/>
      <c r="D477" s="50"/>
      <c r="E477" s="49"/>
      <c r="F477" s="53"/>
    </row>
    <row r="478" spans="2:6" s="43" customFormat="1" x14ac:dyDescent="0.2">
      <c r="B478" s="49"/>
      <c r="C478" s="49"/>
      <c r="D478" s="50"/>
      <c r="E478" s="49"/>
      <c r="F478" s="53"/>
    </row>
    <row r="479" spans="2:6" s="43" customFormat="1" x14ac:dyDescent="0.2">
      <c r="B479" s="49"/>
      <c r="C479" s="49"/>
      <c r="D479" s="50"/>
      <c r="E479" s="49"/>
      <c r="F479" s="53"/>
    </row>
    <row r="480" spans="2:6" s="43" customFormat="1" x14ac:dyDescent="0.2">
      <c r="B480" s="49"/>
      <c r="C480" s="49"/>
      <c r="D480" s="50"/>
      <c r="E480" s="49"/>
      <c r="F480" s="53"/>
    </row>
    <row r="481" spans="2:6" s="43" customFormat="1" x14ac:dyDescent="0.2">
      <c r="B481" s="49"/>
      <c r="C481" s="49"/>
      <c r="D481" s="50"/>
      <c r="E481" s="49"/>
      <c r="F481" s="53"/>
    </row>
    <row r="482" spans="2:6" s="43" customFormat="1" x14ac:dyDescent="0.2">
      <c r="B482" s="49"/>
      <c r="C482" s="49"/>
      <c r="D482" s="50"/>
      <c r="E482" s="49"/>
      <c r="F482" s="53"/>
    </row>
    <row r="483" spans="2:6" s="43" customFormat="1" x14ac:dyDescent="0.2">
      <c r="B483" s="49"/>
      <c r="C483" s="49"/>
      <c r="D483" s="50"/>
      <c r="E483" s="49"/>
      <c r="F483" s="53"/>
    </row>
    <row r="484" spans="2:6" s="43" customFormat="1" x14ac:dyDescent="0.2">
      <c r="B484" s="49"/>
      <c r="C484" s="49"/>
      <c r="D484" s="50"/>
      <c r="E484" s="49"/>
      <c r="F484" s="53"/>
    </row>
    <row r="485" spans="2:6" s="43" customFormat="1" x14ac:dyDescent="0.2">
      <c r="B485" s="49"/>
      <c r="C485" s="49"/>
      <c r="D485" s="50"/>
      <c r="E485" s="49"/>
      <c r="F485" s="53"/>
    </row>
    <row r="486" spans="2:6" s="43" customFormat="1" x14ac:dyDescent="0.2">
      <c r="B486" s="49"/>
      <c r="C486" s="49"/>
      <c r="D486" s="50"/>
      <c r="E486" s="49"/>
      <c r="F486" s="53"/>
    </row>
    <row r="487" spans="2:6" s="43" customFormat="1" x14ac:dyDescent="0.2">
      <c r="B487" s="49"/>
      <c r="C487" s="49"/>
      <c r="D487" s="50"/>
      <c r="E487" s="49"/>
      <c r="F487" s="53"/>
    </row>
    <row r="488" spans="2:6" s="43" customFormat="1" x14ac:dyDescent="0.2">
      <c r="B488" s="49"/>
      <c r="C488" s="49"/>
      <c r="D488" s="50"/>
      <c r="E488" s="49"/>
      <c r="F488" s="53"/>
    </row>
    <row r="489" spans="2:6" s="43" customFormat="1" x14ac:dyDescent="0.2">
      <c r="B489" s="49"/>
      <c r="C489" s="49"/>
      <c r="D489" s="50"/>
      <c r="E489" s="49"/>
      <c r="F489" s="53"/>
    </row>
    <row r="490" spans="2:6" s="43" customFormat="1" x14ac:dyDescent="0.2">
      <c r="B490" s="49"/>
      <c r="C490" s="49"/>
      <c r="D490" s="50"/>
      <c r="E490" s="49"/>
      <c r="F490" s="53"/>
    </row>
    <row r="491" spans="2:6" s="43" customFormat="1" x14ac:dyDescent="0.2">
      <c r="B491" s="49"/>
      <c r="C491" s="49"/>
      <c r="D491" s="50"/>
      <c r="E491" s="49"/>
      <c r="F491" s="53"/>
    </row>
    <row r="492" spans="2:6" s="43" customFormat="1" x14ac:dyDescent="0.2">
      <c r="B492" s="49"/>
      <c r="C492" s="49"/>
      <c r="D492" s="50"/>
      <c r="E492" s="49"/>
      <c r="F492" s="53"/>
    </row>
    <row r="493" spans="2:6" s="43" customFormat="1" x14ac:dyDescent="0.2">
      <c r="B493" s="49"/>
      <c r="C493" s="49"/>
      <c r="D493" s="50"/>
      <c r="E493" s="49"/>
      <c r="F493" s="53"/>
    </row>
    <row r="494" spans="2:6" s="43" customFormat="1" x14ac:dyDescent="0.2">
      <c r="B494" s="49"/>
      <c r="C494" s="49"/>
      <c r="D494" s="50"/>
      <c r="E494" s="49"/>
      <c r="F494" s="53"/>
    </row>
    <row r="495" spans="2:6" s="43" customFormat="1" x14ac:dyDescent="0.2">
      <c r="B495" s="49"/>
      <c r="C495" s="49"/>
      <c r="D495" s="50"/>
      <c r="E495" s="49"/>
      <c r="F495" s="53"/>
    </row>
    <row r="496" spans="2:6" s="43" customFormat="1" x14ac:dyDescent="0.2">
      <c r="B496" s="49"/>
      <c r="C496" s="49"/>
      <c r="D496" s="50"/>
      <c r="E496" s="49"/>
      <c r="F496" s="53"/>
    </row>
    <row r="497" spans="2:6" s="43" customFormat="1" x14ac:dyDescent="0.2">
      <c r="B497" s="49"/>
      <c r="C497" s="49"/>
      <c r="D497" s="50"/>
      <c r="E497" s="49"/>
      <c r="F497" s="53"/>
    </row>
    <row r="498" spans="2:6" s="43" customFormat="1" x14ac:dyDescent="0.2">
      <c r="B498" s="49"/>
      <c r="C498" s="49"/>
      <c r="D498" s="50"/>
      <c r="E498" s="49"/>
      <c r="F498" s="53"/>
    </row>
    <row r="499" spans="2:6" s="43" customFormat="1" x14ac:dyDescent="0.2">
      <c r="B499" s="49"/>
      <c r="C499" s="49"/>
      <c r="D499" s="50"/>
      <c r="E499" s="49"/>
      <c r="F499" s="53"/>
    </row>
    <row r="500" spans="2:6" s="43" customFormat="1" x14ac:dyDescent="0.2">
      <c r="B500" s="49"/>
      <c r="C500" s="49"/>
      <c r="D500" s="50"/>
      <c r="E500" s="49"/>
      <c r="F500" s="53"/>
    </row>
    <row r="501" spans="2:6" s="43" customFormat="1" x14ac:dyDescent="0.2">
      <c r="B501" s="49"/>
      <c r="C501" s="49"/>
      <c r="D501" s="50"/>
      <c r="E501" s="49"/>
      <c r="F501" s="53"/>
    </row>
    <row r="502" spans="2:6" s="43" customFormat="1" x14ac:dyDescent="0.2">
      <c r="B502" s="49"/>
      <c r="C502" s="49"/>
      <c r="D502" s="50"/>
      <c r="E502" s="49"/>
      <c r="F502" s="53"/>
    </row>
    <row r="503" spans="2:6" s="43" customFormat="1" x14ac:dyDescent="0.2">
      <c r="B503" s="49"/>
      <c r="C503" s="49"/>
      <c r="D503" s="50"/>
      <c r="E503" s="49"/>
      <c r="F503" s="53"/>
    </row>
    <row r="504" spans="2:6" s="43" customFormat="1" x14ac:dyDescent="0.2">
      <c r="B504" s="49"/>
      <c r="C504" s="49"/>
      <c r="D504" s="50"/>
      <c r="E504" s="49"/>
      <c r="F504" s="53"/>
    </row>
    <row r="505" spans="2:6" s="43" customFormat="1" x14ac:dyDescent="0.2">
      <c r="B505" s="49"/>
      <c r="C505" s="49"/>
      <c r="D505" s="50"/>
      <c r="E505" s="49"/>
      <c r="F505" s="53"/>
    </row>
    <row r="506" spans="2:6" s="43" customFormat="1" x14ac:dyDescent="0.2">
      <c r="B506" s="49"/>
      <c r="C506" s="49"/>
      <c r="D506" s="50"/>
      <c r="E506" s="49"/>
      <c r="F506" s="53"/>
    </row>
    <row r="507" spans="2:6" s="43" customFormat="1" x14ac:dyDescent="0.2">
      <c r="B507" s="49"/>
      <c r="C507" s="49"/>
      <c r="D507" s="50"/>
      <c r="E507" s="49"/>
      <c r="F507" s="53"/>
    </row>
    <row r="508" spans="2:6" s="43" customFormat="1" x14ac:dyDescent="0.2">
      <c r="B508" s="49"/>
      <c r="C508" s="49"/>
      <c r="D508" s="50"/>
      <c r="E508" s="49"/>
      <c r="F508" s="53"/>
    </row>
    <row r="509" spans="2:6" s="43" customFormat="1" x14ac:dyDescent="0.2">
      <c r="B509" s="49"/>
      <c r="C509" s="49"/>
      <c r="D509" s="50"/>
      <c r="E509" s="49"/>
      <c r="F509" s="53"/>
    </row>
    <row r="510" spans="2:6" s="43" customFormat="1" x14ac:dyDescent="0.2">
      <c r="B510" s="49"/>
      <c r="C510" s="49"/>
      <c r="D510" s="50"/>
      <c r="E510" s="49"/>
      <c r="F510" s="53"/>
    </row>
    <row r="511" spans="2:6" s="43" customFormat="1" x14ac:dyDescent="0.2">
      <c r="B511" s="49"/>
      <c r="C511" s="49"/>
      <c r="D511" s="50"/>
      <c r="E511" s="49"/>
      <c r="F511" s="53"/>
    </row>
    <row r="512" spans="2:6" s="43" customFormat="1" x14ac:dyDescent="0.2">
      <c r="B512" s="49"/>
      <c r="C512" s="49"/>
      <c r="D512" s="50"/>
      <c r="E512" s="49"/>
      <c r="F512" s="53"/>
    </row>
    <row r="513" spans="2:6" s="43" customFormat="1" x14ac:dyDescent="0.2">
      <c r="B513" s="49"/>
      <c r="C513" s="49"/>
      <c r="D513" s="50"/>
      <c r="E513" s="49"/>
      <c r="F513" s="53"/>
    </row>
    <row r="514" spans="2:6" s="43" customFormat="1" x14ac:dyDescent="0.2">
      <c r="B514" s="49"/>
      <c r="C514" s="49"/>
      <c r="D514" s="50"/>
      <c r="E514" s="49"/>
      <c r="F514" s="53"/>
    </row>
    <row r="515" spans="2:6" s="43" customFormat="1" x14ac:dyDescent="0.2">
      <c r="B515" s="49"/>
      <c r="C515" s="49"/>
      <c r="D515" s="50"/>
      <c r="E515" s="49"/>
      <c r="F515" s="53"/>
    </row>
    <row r="516" spans="2:6" s="43" customFormat="1" x14ac:dyDescent="0.2">
      <c r="B516" s="49"/>
      <c r="C516" s="49"/>
      <c r="D516" s="50"/>
      <c r="E516" s="49"/>
      <c r="F516" s="53"/>
    </row>
    <row r="517" spans="2:6" s="43" customFormat="1" x14ac:dyDescent="0.2">
      <c r="B517" s="49"/>
      <c r="C517" s="49"/>
      <c r="D517" s="50"/>
      <c r="E517" s="49"/>
      <c r="F517" s="53"/>
    </row>
    <row r="518" spans="2:6" s="43" customFormat="1" x14ac:dyDescent="0.2">
      <c r="B518" s="49"/>
      <c r="C518" s="49"/>
      <c r="D518" s="50"/>
      <c r="E518" s="49"/>
      <c r="F518" s="53"/>
    </row>
    <row r="519" spans="2:6" s="43" customFormat="1" x14ac:dyDescent="0.2">
      <c r="B519" s="49"/>
      <c r="C519" s="49"/>
      <c r="D519" s="50"/>
      <c r="E519" s="49"/>
      <c r="F519" s="53"/>
    </row>
    <row r="520" spans="2:6" s="43" customFormat="1" x14ac:dyDescent="0.2">
      <c r="B520" s="49"/>
      <c r="C520" s="49"/>
      <c r="D520" s="50"/>
      <c r="E520" s="49"/>
      <c r="F520" s="53"/>
    </row>
    <row r="521" spans="2:6" s="43" customFormat="1" x14ac:dyDescent="0.2">
      <c r="B521" s="49"/>
      <c r="C521" s="49"/>
      <c r="D521" s="50"/>
      <c r="E521" s="49"/>
      <c r="F521" s="53"/>
    </row>
    <row r="522" spans="2:6" s="43" customFormat="1" x14ac:dyDescent="0.2">
      <c r="B522" s="49"/>
      <c r="C522" s="49"/>
      <c r="D522" s="50"/>
      <c r="E522" s="49"/>
      <c r="F522" s="53"/>
    </row>
    <row r="523" spans="2:6" s="43" customFormat="1" x14ac:dyDescent="0.2">
      <c r="B523" s="49"/>
      <c r="C523" s="49"/>
      <c r="D523" s="50"/>
      <c r="E523" s="49"/>
      <c r="F523" s="53"/>
    </row>
    <row r="524" spans="2:6" s="43" customFormat="1" x14ac:dyDescent="0.2">
      <c r="B524" s="49"/>
      <c r="C524" s="49"/>
      <c r="D524" s="50"/>
      <c r="E524" s="49"/>
      <c r="F524" s="53"/>
    </row>
    <row r="525" spans="2:6" s="43" customFormat="1" x14ac:dyDescent="0.2">
      <c r="B525" s="49"/>
      <c r="C525" s="49"/>
      <c r="D525" s="50"/>
      <c r="E525" s="49"/>
      <c r="F525" s="53"/>
    </row>
    <row r="526" spans="2:6" s="43" customFormat="1" x14ac:dyDescent="0.2">
      <c r="B526" s="49"/>
      <c r="C526" s="49"/>
      <c r="D526" s="50"/>
      <c r="E526" s="49"/>
      <c r="F526" s="53"/>
    </row>
    <row r="527" spans="2:6" s="43" customFormat="1" x14ac:dyDescent="0.2">
      <c r="B527" s="49"/>
      <c r="C527" s="49"/>
      <c r="D527" s="50"/>
      <c r="E527" s="49"/>
      <c r="F527" s="53"/>
    </row>
    <row r="528" spans="2:6" s="43" customFormat="1" x14ac:dyDescent="0.2">
      <c r="B528" s="49"/>
      <c r="C528" s="49"/>
      <c r="D528" s="50"/>
      <c r="E528" s="49"/>
      <c r="F528" s="53"/>
    </row>
    <row r="529" spans="2:6" s="43" customFormat="1" x14ac:dyDescent="0.2">
      <c r="B529" s="49"/>
      <c r="C529" s="49"/>
      <c r="D529" s="50"/>
      <c r="E529" s="49"/>
      <c r="F529" s="53"/>
    </row>
    <row r="530" spans="2:6" s="43" customFormat="1" x14ac:dyDescent="0.2">
      <c r="B530" s="49"/>
      <c r="C530" s="49"/>
      <c r="D530" s="50"/>
      <c r="E530" s="49"/>
      <c r="F530" s="53"/>
    </row>
    <row r="531" spans="2:6" s="43" customFormat="1" x14ac:dyDescent="0.2">
      <c r="B531" s="49"/>
      <c r="C531" s="49"/>
      <c r="D531" s="50"/>
      <c r="E531" s="49"/>
      <c r="F531" s="53"/>
    </row>
    <row r="532" spans="2:6" s="43" customFormat="1" x14ac:dyDescent="0.2">
      <c r="B532" s="49"/>
      <c r="C532" s="49"/>
      <c r="D532" s="50"/>
      <c r="E532" s="49"/>
      <c r="F532" s="53"/>
    </row>
    <row r="533" spans="2:6" s="43" customFormat="1" x14ac:dyDescent="0.2">
      <c r="B533" s="49"/>
      <c r="C533" s="49"/>
      <c r="D533" s="50"/>
      <c r="E533" s="49"/>
      <c r="F533" s="53"/>
    </row>
    <row r="534" spans="2:6" s="43" customFormat="1" x14ac:dyDescent="0.2">
      <c r="B534" s="49"/>
      <c r="C534" s="49"/>
      <c r="D534" s="50"/>
      <c r="E534" s="49"/>
      <c r="F534" s="53"/>
    </row>
    <row r="535" spans="2:6" s="43" customFormat="1" x14ac:dyDescent="0.2">
      <c r="B535" s="49"/>
      <c r="C535" s="49"/>
      <c r="D535" s="50"/>
      <c r="E535" s="49"/>
      <c r="F535" s="53"/>
    </row>
    <row r="536" spans="2:6" s="43" customFormat="1" x14ac:dyDescent="0.2">
      <c r="B536" s="49"/>
      <c r="C536" s="49"/>
      <c r="D536" s="50"/>
      <c r="E536" s="49"/>
      <c r="F536" s="53"/>
    </row>
    <row r="537" spans="2:6" s="43" customFormat="1" x14ac:dyDescent="0.2">
      <c r="B537" s="49"/>
      <c r="C537" s="49"/>
      <c r="D537" s="50"/>
      <c r="E537" s="49"/>
      <c r="F537" s="53"/>
    </row>
    <row r="538" spans="2:6" s="43" customFormat="1" x14ac:dyDescent="0.2">
      <c r="B538" s="49"/>
      <c r="C538" s="49"/>
      <c r="D538" s="50"/>
      <c r="E538" s="49"/>
      <c r="F538" s="53"/>
    </row>
    <row r="539" spans="2:6" s="43" customFormat="1" x14ac:dyDescent="0.2">
      <c r="B539" s="49"/>
      <c r="C539" s="49"/>
      <c r="D539" s="50"/>
      <c r="E539" s="49"/>
      <c r="F539" s="53"/>
    </row>
    <row r="540" spans="2:6" s="43" customFormat="1" x14ac:dyDescent="0.2">
      <c r="B540" s="49"/>
      <c r="C540" s="49"/>
      <c r="D540" s="50"/>
      <c r="E540" s="49"/>
      <c r="F540" s="53"/>
    </row>
    <row r="541" spans="2:6" s="43" customFormat="1" x14ac:dyDescent="0.2">
      <c r="B541" s="49"/>
      <c r="C541" s="49"/>
      <c r="D541" s="50"/>
      <c r="E541" s="49"/>
      <c r="F541" s="53"/>
    </row>
    <row r="542" spans="2:6" s="43" customFormat="1" x14ac:dyDescent="0.2">
      <c r="B542" s="49"/>
      <c r="C542" s="49"/>
      <c r="D542" s="50"/>
      <c r="E542" s="49"/>
      <c r="F542" s="53"/>
    </row>
    <row r="543" spans="2:6" s="43" customFormat="1" x14ac:dyDescent="0.2">
      <c r="B543" s="49"/>
      <c r="C543" s="49"/>
      <c r="D543" s="50"/>
      <c r="E543" s="49"/>
      <c r="F543" s="53"/>
    </row>
    <row r="544" spans="2:6" s="43" customFormat="1" x14ac:dyDescent="0.2">
      <c r="B544" s="49"/>
      <c r="C544" s="49"/>
      <c r="D544" s="50"/>
      <c r="E544" s="49"/>
      <c r="F544" s="53"/>
    </row>
    <row r="545" spans="2:6" s="43" customFormat="1" x14ac:dyDescent="0.2">
      <c r="B545" s="49"/>
      <c r="C545" s="49"/>
      <c r="D545" s="50"/>
      <c r="E545" s="49"/>
      <c r="F545" s="53"/>
    </row>
    <row r="546" spans="2:6" s="43" customFormat="1" x14ac:dyDescent="0.2">
      <c r="B546" s="49"/>
      <c r="C546" s="49"/>
      <c r="D546" s="50"/>
      <c r="E546" s="49"/>
      <c r="F546" s="53"/>
    </row>
    <row r="547" spans="2:6" s="43" customFormat="1" x14ac:dyDescent="0.2">
      <c r="B547" s="49"/>
      <c r="C547" s="49"/>
      <c r="D547" s="50"/>
      <c r="E547" s="49"/>
      <c r="F547" s="53"/>
    </row>
    <row r="548" spans="2:6" s="43" customFormat="1" x14ac:dyDescent="0.2">
      <c r="B548" s="49"/>
      <c r="C548" s="49"/>
      <c r="D548" s="50"/>
      <c r="E548" s="49"/>
      <c r="F548" s="53"/>
    </row>
    <row r="549" spans="2:6" s="43" customFormat="1" x14ac:dyDescent="0.2">
      <c r="B549" s="49"/>
      <c r="C549" s="49"/>
      <c r="D549" s="50"/>
      <c r="E549" s="49"/>
      <c r="F549" s="53"/>
    </row>
    <row r="550" spans="2:6" s="43" customFormat="1" x14ac:dyDescent="0.2">
      <c r="B550" s="49"/>
      <c r="C550" s="49"/>
      <c r="D550" s="50"/>
      <c r="E550" s="49"/>
      <c r="F550" s="53"/>
    </row>
    <row r="551" spans="2:6" s="43" customFormat="1" x14ac:dyDescent="0.2">
      <c r="B551" s="49"/>
      <c r="C551" s="49"/>
      <c r="D551" s="50"/>
      <c r="E551" s="49"/>
      <c r="F551" s="53"/>
    </row>
    <row r="552" spans="2:6" s="43" customFormat="1" x14ac:dyDescent="0.2">
      <c r="B552" s="49"/>
      <c r="C552" s="49"/>
      <c r="D552" s="50"/>
      <c r="E552" s="49"/>
      <c r="F552" s="53"/>
    </row>
    <row r="553" spans="2:6" s="43" customFormat="1" x14ac:dyDescent="0.2">
      <c r="B553" s="49"/>
      <c r="C553" s="49"/>
      <c r="D553" s="50"/>
      <c r="E553" s="49"/>
      <c r="F553" s="53"/>
    </row>
    <row r="554" spans="2:6" s="43" customFormat="1" x14ac:dyDescent="0.2">
      <c r="B554" s="49"/>
      <c r="C554" s="49"/>
      <c r="D554" s="50"/>
      <c r="E554" s="49"/>
      <c r="F554" s="53"/>
    </row>
    <row r="555" spans="2:6" s="43" customFormat="1" x14ac:dyDescent="0.2">
      <c r="B555" s="49"/>
      <c r="C555" s="49"/>
      <c r="D555" s="50"/>
      <c r="E555" s="49"/>
      <c r="F555" s="53"/>
    </row>
    <row r="556" spans="2:6" s="43" customFormat="1" x14ac:dyDescent="0.2">
      <c r="B556" s="49"/>
      <c r="C556" s="49"/>
      <c r="D556" s="50"/>
      <c r="E556" s="49"/>
      <c r="F556" s="53"/>
    </row>
    <row r="557" spans="2:6" s="43" customFormat="1" x14ac:dyDescent="0.2">
      <c r="B557" s="49"/>
      <c r="C557" s="49"/>
      <c r="D557" s="50"/>
      <c r="E557" s="49"/>
      <c r="F557" s="53"/>
    </row>
    <row r="558" spans="2:6" s="43" customFormat="1" x14ac:dyDescent="0.2">
      <c r="B558" s="49"/>
      <c r="C558" s="49"/>
      <c r="D558" s="50"/>
      <c r="E558" s="49"/>
      <c r="F558" s="53"/>
    </row>
    <row r="559" spans="2:6" s="43" customFormat="1" x14ac:dyDescent="0.2">
      <c r="B559" s="49"/>
      <c r="C559" s="49"/>
      <c r="D559" s="50"/>
      <c r="E559" s="49"/>
      <c r="F559" s="53"/>
    </row>
    <row r="560" spans="2:6" s="43" customFormat="1" x14ac:dyDescent="0.2">
      <c r="B560" s="49"/>
      <c r="C560" s="49"/>
      <c r="D560" s="50"/>
      <c r="E560" s="49"/>
      <c r="F560" s="53"/>
    </row>
    <row r="561" spans="2:6" s="43" customFormat="1" x14ac:dyDescent="0.2">
      <c r="B561" s="49"/>
      <c r="C561" s="49"/>
      <c r="D561" s="50"/>
      <c r="E561" s="49"/>
      <c r="F561" s="53"/>
    </row>
    <row r="562" spans="2:6" s="43" customFormat="1" x14ac:dyDescent="0.2">
      <c r="B562" s="49"/>
      <c r="C562" s="49"/>
      <c r="D562" s="50"/>
      <c r="E562" s="49"/>
      <c r="F562" s="53"/>
    </row>
    <row r="563" spans="2:6" s="43" customFormat="1" x14ac:dyDescent="0.2">
      <c r="B563" s="49"/>
      <c r="C563" s="49"/>
      <c r="D563" s="50"/>
      <c r="E563" s="49"/>
      <c r="F563" s="53"/>
    </row>
    <row r="564" spans="2:6" s="43" customFormat="1" x14ac:dyDescent="0.2">
      <c r="B564" s="49"/>
      <c r="C564" s="49"/>
      <c r="D564" s="50"/>
      <c r="E564" s="49"/>
      <c r="F564" s="53"/>
    </row>
    <row r="565" spans="2:6" s="43" customFormat="1" x14ac:dyDescent="0.2">
      <c r="B565" s="49"/>
      <c r="C565" s="49"/>
      <c r="D565" s="50"/>
      <c r="E565" s="49"/>
      <c r="F565" s="53"/>
    </row>
    <row r="566" spans="2:6" s="43" customFormat="1" x14ac:dyDescent="0.2">
      <c r="B566" s="49"/>
      <c r="C566" s="49"/>
      <c r="D566" s="50"/>
      <c r="E566" s="49"/>
      <c r="F566" s="53"/>
    </row>
    <row r="567" spans="2:6" s="43" customFormat="1" x14ac:dyDescent="0.2">
      <c r="B567" s="49"/>
      <c r="C567" s="49"/>
      <c r="D567" s="50"/>
      <c r="E567" s="49"/>
      <c r="F567" s="53"/>
    </row>
    <row r="568" spans="2:6" s="43" customFormat="1" x14ac:dyDescent="0.2">
      <c r="B568" s="49"/>
      <c r="C568" s="49"/>
      <c r="D568" s="50"/>
      <c r="E568" s="49"/>
      <c r="F568" s="53"/>
    </row>
    <row r="569" spans="2:6" s="43" customFormat="1" x14ac:dyDescent="0.2">
      <c r="B569" s="49"/>
      <c r="C569" s="49"/>
      <c r="D569" s="50"/>
      <c r="E569" s="49"/>
      <c r="F569" s="53"/>
    </row>
    <row r="570" spans="2:6" s="43" customFormat="1" x14ac:dyDescent="0.2">
      <c r="B570" s="49"/>
      <c r="C570" s="49"/>
      <c r="D570" s="50"/>
      <c r="E570" s="49"/>
      <c r="F570" s="53"/>
    </row>
    <row r="571" spans="2:6" s="43" customFormat="1" x14ac:dyDescent="0.2">
      <c r="B571" s="49"/>
      <c r="C571" s="49"/>
      <c r="D571" s="50"/>
      <c r="E571" s="49"/>
      <c r="F571" s="53"/>
    </row>
    <row r="572" spans="2:6" s="43" customFormat="1" x14ac:dyDescent="0.2">
      <c r="B572" s="49"/>
      <c r="C572" s="49"/>
      <c r="D572" s="50"/>
      <c r="E572" s="49"/>
      <c r="F572" s="53"/>
    </row>
    <row r="573" spans="2:6" s="43" customFormat="1" x14ac:dyDescent="0.2">
      <c r="B573" s="49"/>
      <c r="C573" s="49"/>
      <c r="D573" s="50"/>
      <c r="E573" s="49"/>
      <c r="F573" s="53"/>
    </row>
    <row r="574" spans="2:6" s="43" customFormat="1" x14ac:dyDescent="0.2">
      <c r="B574" s="49"/>
      <c r="C574" s="49"/>
      <c r="D574" s="50"/>
      <c r="E574" s="49"/>
      <c r="F574" s="53"/>
    </row>
    <row r="575" spans="2:6" s="43" customFormat="1" x14ac:dyDescent="0.2">
      <c r="B575" s="49"/>
      <c r="C575" s="49"/>
      <c r="D575" s="50"/>
      <c r="E575" s="49"/>
      <c r="F575" s="53"/>
    </row>
    <row r="576" spans="2:6" s="43" customFormat="1" x14ac:dyDescent="0.2">
      <c r="B576" s="49"/>
      <c r="C576" s="49"/>
      <c r="D576" s="50"/>
      <c r="E576" s="49"/>
      <c r="F576" s="53"/>
    </row>
    <row r="577" spans="2:6" s="43" customFormat="1" x14ac:dyDescent="0.2">
      <c r="B577" s="49"/>
      <c r="C577" s="49"/>
      <c r="D577" s="50"/>
      <c r="E577" s="49"/>
      <c r="F577" s="53"/>
    </row>
    <row r="578" spans="2:6" s="43" customFormat="1" x14ac:dyDescent="0.2">
      <c r="B578" s="49"/>
      <c r="C578" s="49"/>
      <c r="D578" s="50"/>
      <c r="E578" s="49"/>
      <c r="F578" s="53"/>
    </row>
    <row r="579" spans="2:6" s="43" customFormat="1" x14ac:dyDescent="0.2">
      <c r="B579" s="49"/>
      <c r="C579" s="49"/>
      <c r="D579" s="50"/>
      <c r="E579" s="49"/>
      <c r="F579" s="53"/>
    </row>
    <row r="580" spans="2:6" s="43" customFormat="1" x14ac:dyDescent="0.2">
      <c r="B580" s="49"/>
      <c r="C580" s="49"/>
      <c r="D580" s="50"/>
      <c r="E580" s="49"/>
      <c r="F580" s="53"/>
    </row>
    <row r="581" spans="2:6" s="43" customFormat="1" x14ac:dyDescent="0.2">
      <c r="B581" s="49"/>
      <c r="C581" s="49"/>
      <c r="D581" s="50"/>
      <c r="E581" s="49"/>
      <c r="F581" s="53"/>
    </row>
    <row r="582" spans="2:6" s="43" customFormat="1" x14ac:dyDescent="0.2">
      <c r="B582" s="49"/>
      <c r="C582" s="49"/>
      <c r="D582" s="50"/>
      <c r="E582" s="49"/>
      <c r="F582" s="53"/>
    </row>
    <row r="583" spans="2:6" s="43" customFormat="1" x14ac:dyDescent="0.2">
      <c r="B583" s="49"/>
      <c r="C583" s="49"/>
      <c r="D583" s="50"/>
      <c r="E583" s="49"/>
      <c r="F583" s="53"/>
    </row>
    <row r="584" spans="2:6" s="43" customFormat="1" x14ac:dyDescent="0.2">
      <c r="B584" s="49"/>
      <c r="C584" s="49"/>
      <c r="D584" s="50"/>
      <c r="E584" s="49"/>
      <c r="F584" s="53"/>
    </row>
    <row r="585" spans="2:6" s="43" customFormat="1" x14ac:dyDescent="0.2">
      <c r="B585" s="49"/>
      <c r="C585" s="49"/>
      <c r="D585" s="50"/>
      <c r="E585" s="49"/>
      <c r="F585" s="53"/>
    </row>
    <row r="586" spans="2:6" s="43" customFormat="1" x14ac:dyDescent="0.2">
      <c r="B586" s="49"/>
      <c r="C586" s="49"/>
      <c r="D586" s="50"/>
      <c r="E586" s="49"/>
      <c r="F586" s="53"/>
    </row>
    <row r="587" spans="2:6" s="43" customFormat="1" x14ac:dyDescent="0.2">
      <c r="B587" s="49"/>
      <c r="C587" s="49"/>
      <c r="D587" s="50"/>
      <c r="E587" s="49"/>
      <c r="F587" s="53"/>
    </row>
    <row r="588" spans="2:6" s="43" customFormat="1" x14ac:dyDescent="0.2">
      <c r="B588" s="49"/>
      <c r="C588" s="49"/>
      <c r="D588" s="50"/>
      <c r="E588" s="49"/>
      <c r="F588" s="53"/>
    </row>
    <row r="589" spans="2:6" s="43" customFormat="1" x14ac:dyDescent="0.2">
      <c r="B589" s="49"/>
      <c r="C589" s="49"/>
      <c r="D589" s="50"/>
      <c r="E589" s="49"/>
      <c r="F589" s="53"/>
    </row>
    <row r="590" spans="2:6" s="43" customFormat="1" x14ac:dyDescent="0.2">
      <c r="B590" s="49"/>
      <c r="C590" s="49"/>
      <c r="D590" s="50"/>
      <c r="E590" s="49"/>
      <c r="F590" s="53"/>
    </row>
    <row r="591" spans="2:6" s="43" customFormat="1" x14ac:dyDescent="0.2">
      <c r="B591" s="49"/>
      <c r="C591" s="49"/>
      <c r="D591" s="50"/>
      <c r="E591" s="49"/>
      <c r="F591" s="53"/>
    </row>
    <row r="592" spans="2:6" s="43" customFormat="1" x14ac:dyDescent="0.2">
      <c r="B592" s="49"/>
      <c r="C592" s="49"/>
      <c r="D592" s="50"/>
      <c r="E592" s="49"/>
      <c r="F592" s="53"/>
    </row>
    <row r="593" spans="2:6" s="43" customFormat="1" x14ac:dyDescent="0.2">
      <c r="B593" s="49"/>
      <c r="C593" s="49"/>
      <c r="D593" s="50"/>
      <c r="E593" s="49"/>
      <c r="F593" s="53"/>
    </row>
    <row r="594" spans="2:6" s="43" customFormat="1" x14ac:dyDescent="0.2">
      <c r="B594" s="49"/>
      <c r="C594" s="49"/>
      <c r="D594" s="50"/>
      <c r="E594" s="49"/>
      <c r="F594" s="53"/>
    </row>
    <row r="595" spans="2:6" s="43" customFormat="1" x14ac:dyDescent="0.2">
      <c r="B595" s="49"/>
      <c r="C595" s="49"/>
      <c r="D595" s="50"/>
      <c r="E595" s="49"/>
      <c r="F595" s="53"/>
    </row>
    <row r="596" spans="2:6" s="43" customFormat="1" x14ac:dyDescent="0.2">
      <c r="B596" s="49"/>
      <c r="C596" s="49"/>
      <c r="D596" s="50"/>
      <c r="E596" s="49"/>
      <c r="F596" s="53"/>
    </row>
    <row r="597" spans="2:6" s="43" customFormat="1" x14ac:dyDescent="0.2">
      <c r="B597" s="49"/>
      <c r="C597" s="49"/>
      <c r="D597" s="50"/>
      <c r="E597" s="49"/>
      <c r="F597" s="53"/>
    </row>
    <row r="598" spans="2:6" s="43" customFormat="1" x14ac:dyDescent="0.2">
      <c r="B598" s="49"/>
      <c r="C598" s="49"/>
      <c r="D598" s="50"/>
      <c r="E598" s="49"/>
      <c r="F598" s="53"/>
    </row>
    <row r="599" spans="2:6" s="43" customFormat="1" x14ac:dyDescent="0.2">
      <c r="B599" s="49"/>
      <c r="C599" s="49"/>
      <c r="D599" s="50"/>
      <c r="E599" s="49"/>
      <c r="F599" s="53"/>
    </row>
    <row r="600" spans="2:6" s="43" customFormat="1" x14ac:dyDescent="0.2">
      <c r="B600" s="49"/>
      <c r="C600" s="49"/>
      <c r="D600" s="50"/>
      <c r="E600" s="49"/>
      <c r="F600" s="53"/>
    </row>
    <row r="601" spans="2:6" s="43" customFormat="1" x14ac:dyDescent="0.2">
      <c r="B601" s="49"/>
      <c r="C601" s="49"/>
      <c r="D601" s="50"/>
      <c r="E601" s="49"/>
      <c r="F601" s="53"/>
    </row>
    <row r="602" spans="2:6" s="43" customFormat="1" x14ac:dyDescent="0.2">
      <c r="B602" s="49"/>
      <c r="C602" s="49"/>
      <c r="D602" s="50"/>
      <c r="E602" s="49"/>
      <c r="F602" s="53"/>
    </row>
    <row r="603" spans="2:6" s="43" customFormat="1" x14ac:dyDescent="0.2">
      <c r="B603" s="49"/>
      <c r="C603" s="49"/>
      <c r="D603" s="50"/>
      <c r="E603" s="49"/>
      <c r="F603" s="53"/>
    </row>
    <row r="604" spans="2:6" s="43" customFormat="1" x14ac:dyDescent="0.2">
      <c r="B604" s="49"/>
      <c r="C604" s="49"/>
      <c r="D604" s="50"/>
      <c r="E604" s="49"/>
      <c r="F604" s="53"/>
    </row>
    <row r="605" spans="2:6" s="43" customFormat="1" x14ac:dyDescent="0.2">
      <c r="B605" s="49"/>
      <c r="C605" s="49"/>
      <c r="D605" s="50"/>
      <c r="E605" s="49"/>
      <c r="F605" s="53"/>
    </row>
    <row r="606" spans="2:6" s="43" customFormat="1" x14ac:dyDescent="0.2">
      <c r="B606" s="49"/>
      <c r="C606" s="49"/>
      <c r="D606" s="50"/>
      <c r="E606" s="49"/>
      <c r="F606" s="53"/>
    </row>
    <row r="607" spans="2:6" s="43" customFormat="1" x14ac:dyDescent="0.2">
      <c r="B607" s="49"/>
      <c r="C607" s="49"/>
      <c r="D607" s="50"/>
      <c r="E607" s="49"/>
      <c r="F607" s="53"/>
    </row>
    <row r="608" spans="2:6" s="43" customFormat="1" x14ac:dyDescent="0.2">
      <c r="B608" s="49"/>
      <c r="C608" s="49"/>
      <c r="D608" s="50"/>
      <c r="E608" s="49"/>
      <c r="F608" s="53"/>
    </row>
    <row r="609" spans="2:6" s="43" customFormat="1" x14ac:dyDescent="0.2">
      <c r="B609" s="49"/>
      <c r="C609" s="49"/>
      <c r="D609" s="50"/>
      <c r="E609" s="49"/>
      <c r="F609" s="53"/>
    </row>
    <row r="610" spans="2:6" s="43" customFormat="1" x14ac:dyDescent="0.2">
      <c r="B610" s="49"/>
      <c r="C610" s="49"/>
      <c r="D610" s="50"/>
      <c r="E610" s="49"/>
      <c r="F610" s="53"/>
    </row>
    <row r="611" spans="2:6" s="43" customFormat="1" x14ac:dyDescent="0.2">
      <c r="B611" s="49"/>
      <c r="C611" s="49"/>
      <c r="D611" s="50"/>
      <c r="E611" s="49"/>
      <c r="F611" s="53"/>
    </row>
    <row r="612" spans="2:6" s="43" customFormat="1" x14ac:dyDescent="0.2">
      <c r="B612" s="49"/>
      <c r="C612" s="49"/>
      <c r="D612" s="50"/>
      <c r="E612" s="49"/>
      <c r="F612" s="53"/>
    </row>
    <row r="613" spans="2:6" s="43" customFormat="1" x14ac:dyDescent="0.2">
      <c r="B613" s="49"/>
      <c r="C613" s="49"/>
      <c r="D613" s="50"/>
      <c r="E613" s="49"/>
      <c r="F613" s="53"/>
    </row>
    <row r="614" spans="2:6" s="43" customFormat="1" x14ac:dyDescent="0.2">
      <c r="B614" s="49"/>
      <c r="C614" s="49"/>
      <c r="D614" s="50"/>
      <c r="E614" s="49"/>
      <c r="F614" s="53"/>
    </row>
    <row r="615" spans="2:6" s="43" customFormat="1" x14ac:dyDescent="0.2">
      <c r="B615" s="49"/>
      <c r="C615" s="49"/>
      <c r="D615" s="50"/>
      <c r="E615" s="49"/>
      <c r="F615" s="53"/>
    </row>
    <row r="616" spans="2:6" s="43" customFormat="1" x14ac:dyDescent="0.2">
      <c r="B616" s="49"/>
      <c r="C616" s="49"/>
      <c r="D616" s="50"/>
      <c r="E616" s="49"/>
      <c r="F616" s="53"/>
    </row>
    <row r="617" spans="2:6" s="43" customFormat="1" x14ac:dyDescent="0.2">
      <c r="B617" s="49"/>
      <c r="C617" s="49"/>
      <c r="D617" s="50"/>
      <c r="E617" s="49"/>
      <c r="F617" s="53"/>
    </row>
    <row r="618" spans="2:6" s="43" customFormat="1" x14ac:dyDescent="0.2">
      <c r="B618" s="49"/>
      <c r="C618" s="49"/>
      <c r="D618" s="50"/>
      <c r="E618" s="49"/>
      <c r="F618" s="53"/>
    </row>
    <row r="619" spans="2:6" s="43" customFormat="1" x14ac:dyDescent="0.2">
      <c r="B619" s="49"/>
      <c r="C619" s="49"/>
      <c r="D619" s="50"/>
      <c r="E619" s="49"/>
      <c r="F619" s="53"/>
    </row>
    <row r="620" spans="2:6" s="43" customFormat="1" x14ac:dyDescent="0.2">
      <c r="B620" s="49"/>
      <c r="C620" s="49"/>
      <c r="D620" s="50"/>
      <c r="E620" s="49"/>
      <c r="F620" s="53"/>
    </row>
    <row r="621" spans="2:6" s="43" customFormat="1" x14ac:dyDescent="0.2">
      <c r="B621" s="49"/>
      <c r="C621" s="49"/>
      <c r="D621" s="50"/>
      <c r="E621" s="49"/>
      <c r="F621" s="53"/>
    </row>
    <row r="622" spans="2:6" s="43" customFormat="1" x14ac:dyDescent="0.2">
      <c r="B622" s="49"/>
      <c r="C622" s="49"/>
      <c r="D622" s="50"/>
      <c r="E622" s="49"/>
      <c r="F622" s="53"/>
    </row>
    <row r="623" spans="2:6" s="43" customFormat="1" x14ac:dyDescent="0.2">
      <c r="B623" s="49"/>
      <c r="C623" s="49"/>
      <c r="D623" s="50"/>
      <c r="E623" s="49"/>
      <c r="F623" s="53"/>
    </row>
    <row r="624" spans="2:6" s="43" customFormat="1" x14ac:dyDescent="0.2">
      <c r="B624" s="49"/>
      <c r="C624" s="49"/>
      <c r="D624" s="50"/>
      <c r="E624" s="49"/>
      <c r="F624" s="53"/>
    </row>
    <row r="625" spans="2:6" s="43" customFormat="1" x14ac:dyDescent="0.2">
      <c r="B625" s="49"/>
      <c r="C625" s="49"/>
      <c r="D625" s="50"/>
      <c r="E625" s="49"/>
      <c r="F625" s="53"/>
    </row>
    <row r="626" spans="2:6" s="43" customFormat="1" x14ac:dyDescent="0.2">
      <c r="B626" s="49"/>
      <c r="C626" s="49"/>
      <c r="D626" s="50"/>
      <c r="E626" s="49"/>
      <c r="F626" s="53"/>
    </row>
    <row r="627" spans="2:6" s="43" customFormat="1" x14ac:dyDescent="0.2">
      <c r="B627" s="49"/>
      <c r="C627" s="49"/>
      <c r="D627" s="50"/>
      <c r="E627" s="49"/>
      <c r="F627" s="53"/>
    </row>
    <row r="628" spans="2:6" s="43" customFormat="1" x14ac:dyDescent="0.2">
      <c r="B628" s="49"/>
      <c r="C628" s="49"/>
      <c r="D628" s="50"/>
      <c r="E628" s="49"/>
      <c r="F628" s="53"/>
    </row>
    <row r="629" spans="2:6" s="43" customFormat="1" x14ac:dyDescent="0.2">
      <c r="B629" s="49"/>
      <c r="C629" s="49"/>
      <c r="D629" s="50"/>
      <c r="E629" s="49"/>
      <c r="F629" s="53"/>
    </row>
    <row r="630" spans="2:6" s="43" customFormat="1" x14ac:dyDescent="0.2">
      <c r="B630" s="49"/>
      <c r="C630" s="49"/>
      <c r="D630" s="50"/>
      <c r="E630" s="49"/>
      <c r="F630" s="53"/>
    </row>
    <row r="631" spans="2:6" s="43" customFormat="1" x14ac:dyDescent="0.2">
      <c r="B631" s="49"/>
      <c r="C631" s="49"/>
      <c r="D631" s="50"/>
      <c r="E631" s="49"/>
      <c r="F631" s="53"/>
    </row>
    <row r="632" spans="2:6" s="43" customFormat="1" x14ac:dyDescent="0.2">
      <c r="B632" s="49"/>
      <c r="C632" s="49"/>
      <c r="D632" s="50"/>
      <c r="E632" s="49"/>
      <c r="F632" s="53"/>
    </row>
    <row r="633" spans="2:6" s="43" customFormat="1" x14ac:dyDescent="0.2">
      <c r="B633" s="49"/>
      <c r="C633" s="49"/>
      <c r="D633" s="50"/>
      <c r="E633" s="49"/>
      <c r="F633" s="53"/>
    </row>
    <row r="634" spans="2:6" s="43" customFormat="1" x14ac:dyDescent="0.2">
      <c r="B634" s="49"/>
      <c r="C634" s="49"/>
      <c r="D634" s="50"/>
      <c r="E634" s="49"/>
      <c r="F634" s="53"/>
    </row>
    <row r="635" spans="2:6" s="43" customFormat="1" x14ac:dyDescent="0.2">
      <c r="B635" s="49"/>
      <c r="C635" s="49"/>
      <c r="D635" s="50"/>
      <c r="E635" s="49"/>
      <c r="F635" s="53"/>
    </row>
    <row r="636" spans="2:6" s="43" customFormat="1" x14ac:dyDescent="0.2">
      <c r="B636" s="49"/>
      <c r="C636" s="49"/>
      <c r="D636" s="50"/>
      <c r="E636" s="49"/>
      <c r="F636" s="53"/>
    </row>
    <row r="637" spans="2:6" s="43" customFormat="1" x14ac:dyDescent="0.2">
      <c r="B637" s="49"/>
      <c r="C637" s="49"/>
      <c r="D637" s="50"/>
      <c r="E637" s="49"/>
      <c r="F637" s="53"/>
    </row>
    <row r="638" spans="2:6" s="43" customFormat="1" x14ac:dyDescent="0.2">
      <c r="B638" s="49"/>
      <c r="C638" s="49"/>
      <c r="D638" s="50"/>
      <c r="E638" s="49"/>
      <c r="F638" s="53"/>
    </row>
    <row r="639" spans="2:6" s="43" customFormat="1" x14ac:dyDescent="0.2">
      <c r="B639" s="49"/>
      <c r="C639" s="49"/>
      <c r="D639" s="50"/>
      <c r="E639" s="49"/>
      <c r="F639" s="53"/>
    </row>
    <row r="640" spans="2:6" s="43" customFormat="1" x14ac:dyDescent="0.2">
      <c r="B640" s="49"/>
      <c r="C640" s="49"/>
      <c r="D640" s="50"/>
      <c r="E640" s="49"/>
      <c r="F640" s="53"/>
    </row>
    <row r="641" spans="2:6" s="43" customFormat="1" x14ac:dyDescent="0.2">
      <c r="B641" s="49"/>
      <c r="C641" s="49"/>
      <c r="D641" s="50"/>
      <c r="E641" s="49"/>
      <c r="F641" s="53"/>
    </row>
    <row r="642" spans="2:6" s="43" customFormat="1" x14ac:dyDescent="0.2">
      <c r="B642" s="49"/>
      <c r="C642" s="49"/>
      <c r="D642" s="50"/>
      <c r="E642" s="49"/>
      <c r="F642" s="53"/>
    </row>
    <row r="643" spans="2:6" s="43" customFormat="1" x14ac:dyDescent="0.2">
      <c r="B643" s="49"/>
      <c r="C643" s="49"/>
      <c r="D643" s="50"/>
      <c r="E643" s="49"/>
      <c r="F643" s="53"/>
    </row>
    <row r="644" spans="2:6" s="43" customFormat="1" x14ac:dyDescent="0.2">
      <c r="B644" s="49"/>
      <c r="C644" s="49"/>
      <c r="D644" s="50"/>
      <c r="E644" s="49"/>
      <c r="F644" s="53"/>
    </row>
    <row r="645" spans="2:6" s="43" customFormat="1" x14ac:dyDescent="0.2">
      <c r="B645" s="49"/>
      <c r="C645" s="49"/>
      <c r="D645" s="50"/>
      <c r="E645" s="49"/>
      <c r="F645" s="53"/>
    </row>
    <row r="646" spans="2:6" s="43" customFormat="1" x14ac:dyDescent="0.2">
      <c r="B646" s="49"/>
      <c r="C646" s="49"/>
      <c r="D646" s="50"/>
      <c r="E646" s="49"/>
      <c r="F646" s="53"/>
    </row>
    <row r="647" spans="2:6" s="43" customFormat="1" x14ac:dyDescent="0.2">
      <c r="B647" s="49"/>
      <c r="C647" s="49"/>
      <c r="D647" s="50"/>
      <c r="E647" s="49"/>
      <c r="F647" s="53"/>
    </row>
    <row r="648" spans="2:6" s="43" customFormat="1" x14ac:dyDescent="0.2">
      <c r="B648" s="49"/>
      <c r="C648" s="49"/>
      <c r="D648" s="50"/>
      <c r="E648" s="49"/>
      <c r="F648" s="53"/>
    </row>
    <row r="649" spans="2:6" s="43" customFormat="1" x14ac:dyDescent="0.2">
      <c r="B649" s="49"/>
      <c r="C649" s="49"/>
      <c r="D649" s="50"/>
      <c r="E649" s="49"/>
      <c r="F649" s="53"/>
    </row>
    <row r="650" spans="2:6" s="43" customFormat="1" x14ac:dyDescent="0.2">
      <c r="B650" s="49"/>
      <c r="C650" s="49"/>
      <c r="D650" s="50"/>
      <c r="E650" s="49"/>
      <c r="F650" s="53"/>
    </row>
    <row r="651" spans="2:6" s="43" customFormat="1" x14ac:dyDescent="0.2">
      <c r="B651" s="49"/>
      <c r="C651" s="49"/>
      <c r="D651" s="50"/>
      <c r="E651" s="49"/>
      <c r="F651" s="53"/>
    </row>
    <row r="652" spans="2:6" s="43" customFormat="1" x14ac:dyDescent="0.2">
      <c r="B652" s="49"/>
      <c r="C652" s="49"/>
      <c r="D652" s="50"/>
      <c r="E652" s="49"/>
      <c r="F652" s="53"/>
    </row>
    <row r="653" spans="2:6" s="43" customFormat="1" x14ac:dyDescent="0.2">
      <c r="B653" s="49"/>
      <c r="C653" s="49"/>
      <c r="D653" s="50"/>
      <c r="E653" s="49"/>
      <c r="F653" s="53"/>
    </row>
    <row r="654" spans="2:6" s="43" customFormat="1" x14ac:dyDescent="0.2">
      <c r="B654" s="49"/>
      <c r="C654" s="49"/>
      <c r="D654" s="50"/>
      <c r="E654" s="49"/>
      <c r="F654" s="53"/>
    </row>
    <row r="655" spans="2:6" s="43" customFormat="1" x14ac:dyDescent="0.2">
      <c r="B655" s="49"/>
      <c r="C655" s="49"/>
      <c r="D655" s="50"/>
      <c r="E655" s="49"/>
      <c r="F655" s="53"/>
    </row>
    <row r="656" spans="2:6" s="43" customFormat="1" x14ac:dyDescent="0.2">
      <c r="B656" s="49"/>
      <c r="C656" s="49"/>
      <c r="D656" s="50"/>
      <c r="E656" s="49"/>
      <c r="F656" s="53"/>
    </row>
    <row r="657" spans="2:6" s="43" customFormat="1" x14ac:dyDescent="0.2">
      <c r="B657" s="49"/>
      <c r="C657" s="49"/>
      <c r="D657" s="50"/>
      <c r="E657" s="49"/>
      <c r="F657" s="53"/>
    </row>
    <row r="658" spans="2:6" s="43" customFormat="1" x14ac:dyDescent="0.2">
      <c r="B658" s="49"/>
      <c r="C658" s="49"/>
      <c r="D658" s="50"/>
      <c r="E658" s="49"/>
      <c r="F658" s="53"/>
    </row>
    <row r="659" spans="2:6" s="43" customFormat="1" x14ac:dyDescent="0.2">
      <c r="B659" s="49"/>
      <c r="C659" s="49"/>
      <c r="D659" s="50"/>
      <c r="E659" s="49"/>
      <c r="F659" s="53"/>
    </row>
    <row r="660" spans="2:6" s="43" customFormat="1" x14ac:dyDescent="0.2">
      <c r="B660" s="49"/>
      <c r="C660" s="49"/>
      <c r="D660" s="50"/>
      <c r="E660" s="49"/>
      <c r="F660" s="53"/>
    </row>
    <row r="661" spans="2:6" s="43" customFormat="1" x14ac:dyDescent="0.2">
      <c r="B661" s="49"/>
      <c r="C661" s="49"/>
      <c r="D661" s="50"/>
      <c r="E661" s="49"/>
      <c r="F661" s="53"/>
    </row>
    <row r="662" spans="2:6" s="43" customFormat="1" x14ac:dyDescent="0.2">
      <c r="B662" s="49"/>
      <c r="C662" s="49"/>
      <c r="D662" s="50"/>
      <c r="E662" s="49"/>
      <c r="F662" s="53"/>
    </row>
    <row r="663" spans="2:6" s="43" customFormat="1" x14ac:dyDescent="0.2">
      <c r="B663" s="49"/>
      <c r="C663" s="49"/>
      <c r="D663" s="50"/>
      <c r="E663" s="49"/>
      <c r="F663" s="53"/>
    </row>
    <row r="664" spans="2:6" s="43" customFormat="1" x14ac:dyDescent="0.2">
      <c r="B664" s="49"/>
      <c r="C664" s="49"/>
      <c r="D664" s="50"/>
      <c r="E664" s="49"/>
      <c r="F664" s="53"/>
    </row>
    <row r="665" spans="2:6" s="43" customFormat="1" x14ac:dyDescent="0.2">
      <c r="B665" s="49"/>
      <c r="C665" s="49"/>
      <c r="D665" s="50"/>
      <c r="E665" s="49"/>
      <c r="F665" s="53"/>
    </row>
    <row r="666" spans="2:6" s="43" customFormat="1" x14ac:dyDescent="0.2">
      <c r="B666" s="49"/>
      <c r="C666" s="49"/>
      <c r="D666" s="50"/>
      <c r="E666" s="49"/>
      <c r="F666" s="53"/>
    </row>
    <row r="667" spans="2:6" s="43" customFormat="1" x14ac:dyDescent="0.2">
      <c r="B667" s="49"/>
      <c r="C667" s="49"/>
      <c r="D667" s="50"/>
      <c r="E667" s="49"/>
      <c r="F667" s="53"/>
    </row>
    <row r="668" spans="2:6" s="43" customFormat="1" x14ac:dyDescent="0.2">
      <c r="B668" s="49"/>
      <c r="C668" s="49"/>
      <c r="D668" s="50"/>
      <c r="E668" s="49"/>
      <c r="F668" s="53"/>
    </row>
    <row r="669" spans="2:6" s="43" customFormat="1" x14ac:dyDescent="0.2">
      <c r="B669" s="49"/>
      <c r="C669" s="49"/>
      <c r="D669" s="50"/>
      <c r="E669" s="49"/>
      <c r="F669" s="53"/>
    </row>
    <row r="670" spans="2:6" s="43" customFormat="1" x14ac:dyDescent="0.2">
      <c r="B670" s="49"/>
      <c r="C670" s="49"/>
      <c r="D670" s="50"/>
      <c r="E670" s="49"/>
      <c r="F670" s="53"/>
    </row>
    <row r="671" spans="2:6" s="43" customFormat="1" x14ac:dyDescent="0.2">
      <c r="B671" s="49"/>
      <c r="C671" s="49"/>
      <c r="D671" s="50"/>
      <c r="E671" s="49"/>
      <c r="F671" s="53"/>
    </row>
    <row r="672" spans="2:6" s="43" customFormat="1" x14ac:dyDescent="0.2">
      <c r="B672" s="49"/>
      <c r="C672" s="49"/>
      <c r="D672" s="50"/>
      <c r="E672" s="49"/>
      <c r="F672" s="53"/>
    </row>
    <row r="673" spans="2:6" s="43" customFormat="1" x14ac:dyDescent="0.2">
      <c r="B673" s="49"/>
      <c r="C673" s="49"/>
      <c r="D673" s="50"/>
      <c r="E673" s="49"/>
      <c r="F673" s="53"/>
    </row>
    <row r="674" spans="2:6" s="43" customFormat="1" x14ac:dyDescent="0.2">
      <c r="B674" s="49"/>
      <c r="C674" s="49"/>
      <c r="D674" s="50"/>
      <c r="E674" s="49"/>
      <c r="F674" s="53"/>
    </row>
    <row r="675" spans="2:6" s="43" customFormat="1" x14ac:dyDescent="0.2">
      <c r="B675" s="49"/>
      <c r="C675" s="49"/>
      <c r="D675" s="50"/>
      <c r="E675" s="49"/>
      <c r="F675" s="53"/>
    </row>
    <row r="676" spans="2:6" s="43" customFormat="1" x14ac:dyDescent="0.2">
      <c r="B676" s="49"/>
      <c r="C676" s="49"/>
      <c r="D676" s="50"/>
      <c r="E676" s="49"/>
      <c r="F676" s="53"/>
    </row>
    <row r="677" spans="2:6" s="43" customFormat="1" x14ac:dyDescent="0.2">
      <c r="B677" s="49"/>
      <c r="C677" s="49"/>
      <c r="D677" s="50"/>
      <c r="E677" s="49"/>
      <c r="F677" s="53"/>
    </row>
    <row r="678" spans="2:6" s="43" customFormat="1" x14ac:dyDescent="0.2">
      <c r="B678" s="49"/>
      <c r="C678" s="49"/>
      <c r="D678" s="50"/>
      <c r="E678" s="49"/>
      <c r="F678" s="53"/>
    </row>
    <row r="679" spans="2:6" s="43" customFormat="1" x14ac:dyDescent="0.2">
      <c r="B679" s="49"/>
      <c r="C679" s="49"/>
      <c r="D679" s="50"/>
      <c r="E679" s="49"/>
      <c r="F679" s="53"/>
    </row>
    <row r="680" spans="2:6" s="43" customFormat="1" x14ac:dyDescent="0.2">
      <c r="B680" s="49"/>
      <c r="C680" s="49"/>
      <c r="D680" s="50"/>
      <c r="E680" s="49"/>
      <c r="F680" s="53"/>
    </row>
    <row r="681" spans="2:6" s="43" customFormat="1" x14ac:dyDescent="0.2">
      <c r="B681" s="49"/>
      <c r="C681" s="49"/>
      <c r="D681" s="50"/>
      <c r="E681" s="49"/>
      <c r="F681" s="53"/>
    </row>
    <row r="682" spans="2:6" s="43" customFormat="1" x14ac:dyDescent="0.2">
      <c r="B682" s="49"/>
      <c r="C682" s="49"/>
      <c r="D682" s="50"/>
      <c r="E682" s="49"/>
      <c r="F682" s="53"/>
    </row>
    <row r="683" spans="2:6" s="43" customFormat="1" x14ac:dyDescent="0.2">
      <c r="B683" s="49"/>
      <c r="C683" s="49"/>
      <c r="D683" s="50"/>
      <c r="E683" s="49"/>
      <c r="F683" s="53"/>
    </row>
    <row r="684" spans="2:6" s="43" customFormat="1" x14ac:dyDescent="0.2">
      <c r="B684" s="49"/>
      <c r="C684" s="49"/>
      <c r="D684" s="50"/>
      <c r="E684" s="49"/>
      <c r="F684" s="53"/>
    </row>
    <row r="685" spans="2:6" s="43" customFormat="1" x14ac:dyDescent="0.2">
      <c r="B685" s="49"/>
      <c r="C685" s="49"/>
      <c r="D685" s="50"/>
      <c r="E685" s="49"/>
      <c r="F685" s="53"/>
    </row>
    <row r="686" spans="2:6" s="43" customFormat="1" x14ac:dyDescent="0.2">
      <c r="B686" s="49"/>
      <c r="C686" s="49"/>
      <c r="D686" s="50"/>
      <c r="E686" s="49"/>
      <c r="F686" s="53"/>
    </row>
    <row r="687" spans="2:6" s="43" customFormat="1" x14ac:dyDescent="0.2">
      <c r="B687" s="49"/>
      <c r="C687" s="49"/>
      <c r="D687" s="50"/>
      <c r="E687" s="49"/>
      <c r="F687" s="53"/>
    </row>
    <row r="688" spans="2:6" s="43" customFormat="1" x14ac:dyDescent="0.2">
      <c r="B688" s="49"/>
      <c r="C688" s="49"/>
      <c r="D688" s="50"/>
      <c r="E688" s="49"/>
      <c r="F688" s="53"/>
    </row>
    <row r="689" spans="2:6" s="43" customFormat="1" x14ac:dyDescent="0.2">
      <c r="B689" s="49"/>
      <c r="C689" s="49"/>
      <c r="D689" s="50"/>
      <c r="E689" s="49"/>
      <c r="F689" s="53"/>
    </row>
    <row r="690" spans="2:6" s="43" customFormat="1" x14ac:dyDescent="0.2">
      <c r="B690" s="49"/>
      <c r="C690" s="49"/>
      <c r="D690" s="50"/>
      <c r="E690" s="49"/>
      <c r="F690" s="53"/>
    </row>
    <row r="691" spans="2:6" s="43" customFormat="1" x14ac:dyDescent="0.2">
      <c r="B691" s="49"/>
      <c r="C691" s="49"/>
      <c r="D691" s="50"/>
      <c r="E691" s="49"/>
      <c r="F691" s="53"/>
    </row>
    <row r="692" spans="2:6" s="43" customFormat="1" x14ac:dyDescent="0.2">
      <c r="B692" s="49"/>
      <c r="C692" s="49"/>
      <c r="D692" s="50"/>
      <c r="E692" s="49"/>
      <c r="F692" s="53"/>
    </row>
    <row r="693" spans="2:6" s="43" customFormat="1" x14ac:dyDescent="0.2">
      <c r="B693" s="49"/>
      <c r="C693" s="49"/>
      <c r="D693" s="50"/>
      <c r="E693" s="49"/>
      <c r="F693" s="53"/>
    </row>
    <row r="694" spans="2:6" s="43" customFormat="1" x14ac:dyDescent="0.2">
      <c r="B694" s="49"/>
      <c r="C694" s="49"/>
      <c r="D694" s="50"/>
      <c r="E694" s="49"/>
      <c r="F694" s="53"/>
    </row>
    <row r="695" spans="2:6" s="43" customFormat="1" x14ac:dyDescent="0.2">
      <c r="B695" s="49"/>
      <c r="C695" s="49"/>
      <c r="D695" s="50"/>
      <c r="E695" s="49"/>
      <c r="F695" s="53"/>
    </row>
    <row r="696" spans="2:6" s="43" customFormat="1" x14ac:dyDescent="0.2">
      <c r="B696" s="49"/>
      <c r="C696" s="49"/>
      <c r="D696" s="50"/>
      <c r="E696" s="49"/>
      <c r="F696" s="53"/>
    </row>
    <row r="697" spans="2:6" s="43" customFormat="1" x14ac:dyDescent="0.2">
      <c r="B697" s="49"/>
      <c r="C697" s="49"/>
      <c r="D697" s="50"/>
      <c r="E697" s="49"/>
      <c r="F697" s="53"/>
    </row>
    <row r="698" spans="2:6" s="43" customFormat="1" x14ac:dyDescent="0.2">
      <c r="B698" s="49"/>
      <c r="C698" s="49"/>
      <c r="D698" s="50"/>
      <c r="E698" s="49"/>
      <c r="F698" s="53"/>
    </row>
    <row r="699" spans="2:6" s="43" customFormat="1" x14ac:dyDescent="0.2">
      <c r="B699" s="49"/>
      <c r="C699" s="49"/>
      <c r="D699" s="50"/>
      <c r="E699" s="49"/>
      <c r="F699" s="53"/>
    </row>
    <row r="700" spans="2:6" s="43" customFormat="1" x14ac:dyDescent="0.2">
      <c r="B700" s="49"/>
      <c r="C700" s="49"/>
      <c r="D700" s="50"/>
      <c r="E700" s="49"/>
      <c r="F700" s="53"/>
    </row>
    <row r="701" spans="2:6" s="43" customFormat="1" x14ac:dyDescent="0.2">
      <c r="B701" s="49"/>
      <c r="C701" s="49"/>
      <c r="D701" s="50"/>
      <c r="E701" s="49"/>
      <c r="F701" s="53"/>
    </row>
    <row r="702" spans="2:6" s="43" customFormat="1" x14ac:dyDescent="0.2">
      <c r="B702" s="49"/>
      <c r="C702" s="49"/>
      <c r="D702" s="50"/>
      <c r="E702" s="49"/>
      <c r="F702" s="53"/>
    </row>
    <row r="703" spans="2:6" s="43" customFormat="1" x14ac:dyDescent="0.2">
      <c r="B703" s="49"/>
      <c r="C703" s="49"/>
      <c r="D703" s="50"/>
      <c r="E703" s="49"/>
      <c r="F703" s="53"/>
    </row>
    <row r="704" spans="2:6" s="43" customFormat="1" x14ac:dyDescent="0.2">
      <c r="B704" s="49"/>
      <c r="C704" s="49"/>
      <c r="D704" s="50"/>
      <c r="E704" s="49"/>
      <c r="F704" s="53"/>
    </row>
    <row r="705" spans="2:6" s="43" customFormat="1" x14ac:dyDescent="0.2">
      <c r="B705" s="49"/>
      <c r="C705" s="49"/>
      <c r="D705" s="50"/>
      <c r="E705" s="49"/>
      <c r="F705" s="53"/>
    </row>
    <row r="706" spans="2:6" s="43" customFormat="1" x14ac:dyDescent="0.2">
      <c r="B706" s="49"/>
      <c r="C706" s="49"/>
      <c r="D706" s="50"/>
      <c r="E706" s="49"/>
      <c r="F706" s="53"/>
    </row>
    <row r="707" spans="2:6" s="43" customFormat="1" x14ac:dyDescent="0.2">
      <c r="B707" s="49"/>
      <c r="C707" s="49"/>
      <c r="D707" s="50"/>
      <c r="E707" s="49"/>
      <c r="F707" s="53"/>
    </row>
    <row r="708" spans="2:6" s="43" customFormat="1" x14ac:dyDescent="0.2">
      <c r="B708" s="49"/>
      <c r="C708" s="49"/>
      <c r="D708" s="50"/>
      <c r="E708" s="49"/>
      <c r="F708" s="53"/>
    </row>
    <row r="709" spans="2:6" s="43" customFormat="1" x14ac:dyDescent="0.2">
      <c r="B709" s="49"/>
      <c r="C709" s="49"/>
      <c r="D709" s="50"/>
      <c r="E709" s="49"/>
      <c r="F709" s="53"/>
    </row>
    <row r="710" spans="2:6" s="43" customFormat="1" x14ac:dyDescent="0.2">
      <c r="B710" s="49"/>
      <c r="C710" s="49"/>
      <c r="D710" s="50"/>
      <c r="E710" s="49"/>
      <c r="F710" s="53"/>
    </row>
    <row r="711" spans="2:6" s="43" customFormat="1" x14ac:dyDescent="0.2">
      <c r="B711" s="49"/>
      <c r="C711" s="49"/>
      <c r="D711" s="50"/>
      <c r="E711" s="49"/>
      <c r="F711" s="53"/>
    </row>
    <row r="712" spans="2:6" s="43" customFormat="1" x14ac:dyDescent="0.2">
      <c r="B712" s="49"/>
      <c r="C712" s="49"/>
      <c r="D712" s="50"/>
      <c r="E712" s="49"/>
      <c r="F712" s="53"/>
    </row>
    <row r="713" spans="2:6" s="43" customFormat="1" x14ac:dyDescent="0.2">
      <c r="B713" s="49"/>
      <c r="C713" s="49"/>
      <c r="D713" s="50"/>
      <c r="E713" s="49"/>
      <c r="F713" s="53"/>
    </row>
    <row r="714" spans="2:6" s="43" customFormat="1" x14ac:dyDescent="0.2">
      <c r="B714" s="49"/>
      <c r="C714" s="49"/>
      <c r="D714" s="50"/>
      <c r="E714" s="49"/>
      <c r="F714" s="53"/>
    </row>
    <row r="715" spans="2:6" s="43" customFormat="1" x14ac:dyDescent="0.2">
      <c r="B715" s="49"/>
      <c r="C715" s="49"/>
      <c r="D715" s="50"/>
      <c r="E715" s="49"/>
      <c r="F715" s="53"/>
    </row>
    <row r="716" spans="2:6" s="43" customFormat="1" x14ac:dyDescent="0.2">
      <c r="B716" s="49"/>
      <c r="C716" s="49"/>
      <c r="D716" s="50"/>
      <c r="E716" s="49"/>
      <c r="F716" s="53"/>
    </row>
    <row r="717" spans="2:6" s="43" customFormat="1" x14ac:dyDescent="0.2">
      <c r="B717" s="49"/>
      <c r="C717" s="49"/>
      <c r="D717" s="50"/>
      <c r="E717" s="49"/>
      <c r="F717" s="53"/>
    </row>
    <row r="718" spans="2:6" s="43" customFormat="1" x14ac:dyDescent="0.2">
      <c r="B718" s="49"/>
      <c r="C718" s="49"/>
      <c r="D718" s="50"/>
      <c r="E718" s="49"/>
      <c r="F718" s="53"/>
    </row>
    <row r="719" spans="2:6" s="43" customFormat="1" x14ac:dyDescent="0.2">
      <c r="B719" s="49"/>
      <c r="C719" s="49"/>
      <c r="D719" s="50"/>
      <c r="E719" s="49"/>
      <c r="F719" s="53"/>
    </row>
    <row r="720" spans="2:6" s="43" customFormat="1" x14ac:dyDescent="0.2">
      <c r="B720" s="49"/>
      <c r="C720" s="49"/>
      <c r="D720" s="50"/>
      <c r="E720" s="49"/>
      <c r="F720" s="53"/>
    </row>
    <row r="721" spans="2:6" s="43" customFormat="1" x14ac:dyDescent="0.2">
      <c r="B721" s="49"/>
      <c r="C721" s="49"/>
      <c r="D721" s="50"/>
      <c r="E721" s="49"/>
      <c r="F721" s="53"/>
    </row>
    <row r="722" spans="2:6" s="43" customFormat="1" x14ac:dyDescent="0.2">
      <c r="B722" s="49"/>
      <c r="C722" s="49"/>
      <c r="D722" s="50"/>
      <c r="E722" s="49"/>
      <c r="F722" s="53"/>
    </row>
    <row r="723" spans="2:6" s="43" customFormat="1" x14ac:dyDescent="0.2">
      <c r="B723" s="49"/>
      <c r="C723" s="49"/>
      <c r="D723" s="50"/>
      <c r="E723" s="49"/>
      <c r="F723" s="53"/>
    </row>
    <row r="724" spans="2:6" s="43" customFormat="1" x14ac:dyDescent="0.2">
      <c r="B724" s="49"/>
      <c r="C724" s="49"/>
      <c r="D724" s="50"/>
      <c r="E724" s="49"/>
      <c r="F724" s="53"/>
    </row>
    <row r="725" spans="2:6" s="43" customFormat="1" x14ac:dyDescent="0.2">
      <c r="B725" s="49"/>
      <c r="C725" s="49"/>
      <c r="D725" s="50"/>
      <c r="E725" s="49"/>
      <c r="F725" s="53"/>
    </row>
    <row r="726" spans="2:6" s="43" customFormat="1" x14ac:dyDescent="0.2">
      <c r="B726" s="49"/>
      <c r="C726" s="49"/>
      <c r="D726" s="50"/>
      <c r="E726" s="49"/>
      <c r="F726" s="53"/>
    </row>
    <row r="727" spans="2:6" s="43" customFormat="1" x14ac:dyDescent="0.2">
      <c r="B727" s="49"/>
      <c r="C727" s="49"/>
      <c r="D727" s="50"/>
      <c r="E727" s="49"/>
      <c r="F727" s="53"/>
    </row>
    <row r="728" spans="2:6" s="43" customFormat="1" x14ac:dyDescent="0.2">
      <c r="B728" s="49"/>
      <c r="C728" s="49"/>
      <c r="D728" s="50"/>
      <c r="E728" s="49"/>
      <c r="F728" s="53"/>
    </row>
    <row r="729" spans="2:6" s="43" customFormat="1" x14ac:dyDescent="0.2">
      <c r="B729" s="49"/>
      <c r="C729" s="49"/>
      <c r="D729" s="50"/>
      <c r="E729" s="49"/>
      <c r="F729" s="53"/>
    </row>
    <row r="730" spans="2:6" s="43" customFormat="1" x14ac:dyDescent="0.2">
      <c r="B730" s="49"/>
      <c r="C730" s="49"/>
      <c r="D730" s="50"/>
      <c r="E730" s="49"/>
      <c r="F730" s="53"/>
    </row>
    <row r="731" spans="2:6" s="43" customFormat="1" x14ac:dyDescent="0.2">
      <c r="B731" s="49"/>
      <c r="C731" s="49"/>
      <c r="D731" s="50"/>
      <c r="E731" s="49"/>
      <c r="F731" s="53"/>
    </row>
    <row r="732" spans="2:6" s="43" customFormat="1" x14ac:dyDescent="0.2">
      <c r="B732" s="49"/>
      <c r="C732" s="49"/>
      <c r="D732" s="50"/>
      <c r="E732" s="49"/>
      <c r="F732" s="53"/>
    </row>
    <row r="733" spans="2:6" s="43" customFormat="1" x14ac:dyDescent="0.2">
      <c r="B733" s="49"/>
      <c r="C733" s="49"/>
      <c r="D733" s="50"/>
      <c r="E733" s="49"/>
      <c r="F733" s="53"/>
    </row>
    <row r="734" spans="2:6" s="43" customFormat="1" x14ac:dyDescent="0.2">
      <c r="B734" s="49"/>
      <c r="C734" s="49"/>
      <c r="D734" s="50"/>
      <c r="E734" s="49"/>
      <c r="F734" s="53"/>
    </row>
    <row r="735" spans="2:6" s="43" customFormat="1" x14ac:dyDescent="0.2">
      <c r="B735" s="49"/>
      <c r="C735" s="49"/>
      <c r="D735" s="50"/>
      <c r="E735" s="49"/>
      <c r="F735" s="53"/>
    </row>
    <row r="736" spans="2:6" s="43" customFormat="1" x14ac:dyDescent="0.2">
      <c r="B736" s="49"/>
      <c r="C736" s="49"/>
      <c r="D736" s="50"/>
      <c r="E736" s="49"/>
      <c r="F736" s="53"/>
    </row>
    <row r="737" spans="2:6" s="43" customFormat="1" x14ac:dyDescent="0.2">
      <c r="B737" s="49"/>
      <c r="C737" s="49"/>
      <c r="D737" s="50"/>
      <c r="E737" s="49"/>
      <c r="F737" s="53"/>
    </row>
    <row r="738" spans="2:6" s="43" customFormat="1" x14ac:dyDescent="0.2">
      <c r="B738" s="49"/>
      <c r="C738" s="49"/>
      <c r="D738" s="50"/>
      <c r="E738" s="49"/>
      <c r="F738" s="53"/>
    </row>
    <row r="739" spans="2:6" s="43" customFormat="1" x14ac:dyDescent="0.2">
      <c r="B739" s="49"/>
      <c r="C739" s="49"/>
      <c r="D739" s="50"/>
      <c r="E739" s="49"/>
      <c r="F739" s="53"/>
    </row>
    <row r="740" spans="2:6" s="43" customFormat="1" x14ac:dyDescent="0.2">
      <c r="B740" s="49"/>
      <c r="C740" s="49"/>
      <c r="D740" s="50"/>
      <c r="E740" s="49"/>
      <c r="F740" s="53"/>
    </row>
    <row r="741" spans="2:6" s="43" customFormat="1" x14ac:dyDescent="0.2">
      <c r="B741" s="49"/>
      <c r="C741" s="49"/>
      <c r="D741" s="50"/>
      <c r="E741" s="49"/>
      <c r="F741" s="53"/>
    </row>
    <row r="742" spans="2:6" s="43" customFormat="1" x14ac:dyDescent="0.2">
      <c r="B742" s="49"/>
      <c r="C742" s="49"/>
      <c r="D742" s="50"/>
      <c r="E742" s="49"/>
      <c r="F742" s="53"/>
    </row>
    <row r="743" spans="2:6" s="43" customFormat="1" x14ac:dyDescent="0.2">
      <c r="B743" s="49"/>
      <c r="C743" s="49"/>
      <c r="D743" s="50"/>
      <c r="E743" s="49"/>
      <c r="F743" s="53"/>
    </row>
    <row r="744" spans="2:6" s="43" customFormat="1" x14ac:dyDescent="0.2">
      <c r="B744" s="49"/>
      <c r="C744" s="49"/>
      <c r="D744" s="50"/>
      <c r="E744" s="49"/>
      <c r="F744" s="53"/>
    </row>
    <row r="745" spans="2:6" s="43" customFormat="1" x14ac:dyDescent="0.2">
      <c r="B745" s="49"/>
      <c r="C745" s="49"/>
      <c r="D745" s="50"/>
      <c r="E745" s="49"/>
      <c r="F745" s="53"/>
    </row>
    <row r="746" spans="2:6" s="43" customFormat="1" x14ac:dyDescent="0.2">
      <c r="B746" s="49"/>
      <c r="C746" s="49"/>
      <c r="D746" s="50"/>
      <c r="E746" s="49"/>
      <c r="F746" s="53"/>
    </row>
    <row r="747" spans="2:6" s="43" customFormat="1" x14ac:dyDescent="0.2">
      <c r="B747" s="49"/>
      <c r="C747" s="49"/>
      <c r="D747" s="50"/>
      <c r="E747" s="49"/>
      <c r="F747" s="53"/>
    </row>
    <row r="748" spans="2:6" s="43" customFormat="1" x14ac:dyDescent="0.2">
      <c r="B748" s="49"/>
      <c r="C748" s="49"/>
      <c r="D748" s="50"/>
      <c r="E748" s="49"/>
      <c r="F748" s="53"/>
    </row>
    <row r="749" spans="2:6" s="43" customFormat="1" x14ac:dyDescent="0.2">
      <c r="B749" s="49"/>
      <c r="C749" s="49"/>
      <c r="D749" s="50"/>
      <c r="E749" s="49"/>
      <c r="F749" s="53"/>
    </row>
    <row r="750" spans="2:6" s="43" customFormat="1" x14ac:dyDescent="0.2">
      <c r="B750" s="49"/>
      <c r="C750" s="49"/>
      <c r="D750" s="50"/>
      <c r="E750" s="49"/>
      <c r="F750" s="53"/>
    </row>
    <row r="751" spans="2:6" s="43" customFormat="1" x14ac:dyDescent="0.2">
      <c r="B751" s="49"/>
      <c r="C751" s="49"/>
      <c r="D751" s="50"/>
      <c r="E751" s="49"/>
      <c r="F751" s="53"/>
    </row>
    <row r="752" spans="2:6" s="43" customFormat="1" x14ac:dyDescent="0.2">
      <c r="B752" s="49"/>
      <c r="C752" s="49"/>
      <c r="D752" s="50"/>
      <c r="E752" s="49"/>
      <c r="F752" s="53"/>
    </row>
    <row r="753" spans="2:6" s="43" customFormat="1" x14ac:dyDescent="0.2">
      <c r="B753" s="49"/>
      <c r="C753" s="49"/>
      <c r="D753" s="50"/>
      <c r="E753" s="49"/>
      <c r="F753" s="53"/>
    </row>
    <row r="754" spans="2:6" s="43" customFormat="1" x14ac:dyDescent="0.2">
      <c r="B754" s="49"/>
      <c r="C754" s="49"/>
      <c r="D754" s="50"/>
      <c r="E754" s="49"/>
      <c r="F754" s="53"/>
    </row>
    <row r="755" spans="2:6" s="43" customFormat="1" x14ac:dyDescent="0.2">
      <c r="B755" s="49"/>
      <c r="C755" s="49"/>
      <c r="D755" s="50"/>
      <c r="E755" s="49"/>
      <c r="F755" s="53"/>
    </row>
    <row r="756" spans="2:6" s="43" customFormat="1" x14ac:dyDescent="0.2">
      <c r="B756" s="49"/>
      <c r="C756" s="49"/>
      <c r="D756" s="50"/>
      <c r="E756" s="49"/>
      <c r="F756" s="53"/>
    </row>
    <row r="757" spans="2:6" s="43" customFormat="1" x14ac:dyDescent="0.2">
      <c r="B757" s="49"/>
      <c r="C757" s="49"/>
      <c r="D757" s="50"/>
      <c r="E757" s="49"/>
      <c r="F757" s="53"/>
    </row>
    <row r="758" spans="2:6" s="43" customFormat="1" x14ac:dyDescent="0.2">
      <c r="B758" s="49"/>
      <c r="C758" s="49"/>
      <c r="D758" s="50"/>
      <c r="E758" s="49"/>
      <c r="F758" s="53"/>
    </row>
    <row r="759" spans="2:6" s="43" customFormat="1" x14ac:dyDescent="0.2">
      <c r="B759" s="49"/>
      <c r="C759" s="49"/>
      <c r="D759" s="50"/>
      <c r="E759" s="49"/>
      <c r="F759" s="53"/>
    </row>
    <row r="760" spans="2:6" s="43" customFormat="1" x14ac:dyDescent="0.2">
      <c r="B760" s="49"/>
      <c r="C760" s="49"/>
      <c r="D760" s="50"/>
      <c r="E760" s="49"/>
      <c r="F760" s="53"/>
    </row>
    <row r="761" spans="2:6" s="43" customFormat="1" x14ac:dyDescent="0.2">
      <c r="B761" s="49"/>
      <c r="C761" s="49"/>
      <c r="D761" s="50"/>
      <c r="E761" s="49"/>
      <c r="F761" s="53"/>
    </row>
    <row r="762" spans="2:6" s="43" customFormat="1" x14ac:dyDescent="0.2">
      <c r="B762" s="49"/>
      <c r="C762" s="49"/>
      <c r="D762" s="50"/>
      <c r="E762" s="49"/>
      <c r="F762" s="53"/>
    </row>
    <row r="763" spans="2:6" s="43" customFormat="1" x14ac:dyDescent="0.2">
      <c r="B763" s="49"/>
      <c r="C763" s="49"/>
      <c r="D763" s="50"/>
      <c r="E763" s="49"/>
      <c r="F763" s="53"/>
    </row>
    <row r="764" spans="2:6" s="43" customFormat="1" x14ac:dyDescent="0.2">
      <c r="B764" s="49"/>
      <c r="C764" s="49"/>
      <c r="D764" s="50"/>
      <c r="E764" s="49"/>
      <c r="F764" s="53"/>
    </row>
    <row r="765" spans="2:6" s="43" customFormat="1" x14ac:dyDescent="0.2">
      <c r="B765" s="49"/>
      <c r="C765" s="49"/>
      <c r="D765" s="50"/>
      <c r="E765" s="49"/>
      <c r="F765" s="53"/>
    </row>
    <row r="766" spans="2:6" s="43" customFormat="1" x14ac:dyDescent="0.2">
      <c r="B766" s="49"/>
      <c r="C766" s="49"/>
      <c r="D766" s="50"/>
      <c r="E766" s="49"/>
      <c r="F766" s="53"/>
    </row>
    <row r="767" spans="2:6" s="43" customFormat="1" x14ac:dyDescent="0.2">
      <c r="B767" s="49"/>
      <c r="C767" s="49"/>
      <c r="D767" s="50"/>
      <c r="E767" s="49"/>
      <c r="F767" s="53"/>
    </row>
    <row r="768" spans="2:6" s="43" customFormat="1" x14ac:dyDescent="0.2">
      <c r="B768" s="49"/>
      <c r="C768" s="49"/>
      <c r="D768" s="50"/>
      <c r="E768" s="49"/>
      <c r="F768" s="53"/>
    </row>
    <row r="769" spans="2:6" s="43" customFormat="1" x14ac:dyDescent="0.2">
      <c r="B769" s="49"/>
      <c r="C769" s="49"/>
      <c r="D769" s="50"/>
      <c r="E769" s="49"/>
      <c r="F769" s="53"/>
    </row>
    <row r="770" spans="2:6" s="43" customFormat="1" x14ac:dyDescent="0.2">
      <c r="B770" s="49"/>
      <c r="C770" s="49"/>
      <c r="D770" s="50"/>
      <c r="E770" s="49"/>
      <c r="F770" s="53"/>
    </row>
    <row r="771" spans="2:6" s="43" customFormat="1" x14ac:dyDescent="0.2">
      <c r="B771" s="49"/>
      <c r="C771" s="49"/>
      <c r="D771" s="50"/>
      <c r="E771" s="49"/>
      <c r="F771" s="53"/>
    </row>
    <row r="772" spans="2:6" s="43" customFormat="1" x14ac:dyDescent="0.2">
      <c r="B772" s="49"/>
      <c r="C772" s="49"/>
      <c r="D772" s="50"/>
      <c r="E772" s="49"/>
      <c r="F772" s="53"/>
    </row>
    <row r="773" spans="2:6" s="43" customFormat="1" x14ac:dyDescent="0.2">
      <c r="B773" s="49"/>
      <c r="C773" s="49"/>
      <c r="D773" s="50"/>
      <c r="E773" s="49"/>
      <c r="F773" s="53"/>
    </row>
    <row r="774" spans="2:6" s="43" customFormat="1" x14ac:dyDescent="0.2">
      <c r="B774" s="49"/>
      <c r="C774" s="49"/>
      <c r="D774" s="50"/>
      <c r="E774" s="49"/>
      <c r="F774" s="53"/>
    </row>
    <row r="775" spans="2:6" s="43" customFormat="1" x14ac:dyDescent="0.2">
      <c r="B775" s="49"/>
      <c r="C775" s="49"/>
      <c r="D775" s="50"/>
      <c r="E775" s="49"/>
      <c r="F775" s="53"/>
    </row>
    <row r="776" spans="2:6" s="43" customFormat="1" x14ac:dyDescent="0.2">
      <c r="B776" s="49"/>
      <c r="C776" s="49"/>
      <c r="D776" s="50"/>
      <c r="E776" s="49"/>
      <c r="F776" s="53"/>
    </row>
    <row r="777" spans="2:6" s="43" customFormat="1" x14ac:dyDescent="0.2">
      <c r="B777" s="49"/>
      <c r="C777" s="49"/>
      <c r="D777" s="50"/>
      <c r="E777" s="49"/>
      <c r="F777" s="53"/>
    </row>
    <row r="778" spans="2:6" s="43" customFormat="1" x14ac:dyDescent="0.2">
      <c r="B778" s="49"/>
      <c r="C778" s="49"/>
      <c r="D778" s="50"/>
      <c r="E778" s="49"/>
      <c r="F778" s="53"/>
    </row>
  </sheetData>
  <sheetProtection password="A60F" sheet="1" objects="1" scenarios="1"/>
  <mergeCells count="76">
    <mergeCell ref="B191:F191"/>
    <mergeCell ref="B192:F192"/>
    <mergeCell ref="B194:C194"/>
    <mergeCell ref="B195:C195"/>
    <mergeCell ref="A177:A181"/>
    <mergeCell ref="B177:B178"/>
    <mergeCell ref="B179:B180"/>
    <mergeCell ref="B185:C185"/>
    <mergeCell ref="B184:C184"/>
    <mergeCell ref="C133:C140"/>
    <mergeCell ref="C141:C154"/>
    <mergeCell ref="C155:C157"/>
    <mergeCell ref="C173:C175"/>
    <mergeCell ref="B182:E182"/>
    <mergeCell ref="B158:E158"/>
    <mergeCell ref="B159:B160"/>
    <mergeCell ref="B161:B162"/>
    <mergeCell ref="B164:C164"/>
    <mergeCell ref="B165:F165"/>
    <mergeCell ref="B167:B174"/>
    <mergeCell ref="C167:C171"/>
    <mergeCell ref="B166:E166"/>
    <mergeCell ref="B176:E176"/>
    <mergeCell ref="B133:B157"/>
    <mergeCell ref="C122:C127"/>
    <mergeCell ref="C128:C129"/>
    <mergeCell ref="B88:E88"/>
    <mergeCell ref="B89:B91"/>
    <mergeCell ref="C89:C90"/>
    <mergeCell ref="B92:E92"/>
    <mergeCell ref="B93:B105"/>
    <mergeCell ref="C93:C103"/>
    <mergeCell ref="C104:C105"/>
    <mergeCell ref="B106:E106"/>
    <mergeCell ref="B107:B129"/>
    <mergeCell ref="C109:C115"/>
    <mergeCell ref="C116:C121"/>
    <mergeCell ref="B80:B87"/>
    <mergeCell ref="C81:C84"/>
    <mergeCell ref="B51:B53"/>
    <mergeCell ref="C51:C53"/>
    <mergeCell ref="B54:E54"/>
    <mergeCell ref="B55:B59"/>
    <mergeCell ref="C55:C58"/>
    <mergeCell ref="B60:E60"/>
    <mergeCell ref="B61:B65"/>
    <mergeCell ref="C61:C64"/>
    <mergeCell ref="B66:E66"/>
    <mergeCell ref="B67:B79"/>
    <mergeCell ref="C67:C72"/>
    <mergeCell ref="A48:A50"/>
    <mergeCell ref="B48:B50"/>
    <mergeCell ref="C49:C50"/>
    <mergeCell ref="B22:E22"/>
    <mergeCell ref="B23:B28"/>
    <mergeCell ref="A25:A28"/>
    <mergeCell ref="A29:A30"/>
    <mergeCell ref="B29:B30"/>
    <mergeCell ref="A31:A33"/>
    <mergeCell ref="B31:B35"/>
    <mergeCell ref="B36:B37"/>
    <mergeCell ref="B38:E38"/>
    <mergeCell ref="B39:B47"/>
    <mergeCell ref="A40:A41"/>
    <mergeCell ref="C45:C47"/>
    <mergeCell ref="B12:B18"/>
    <mergeCell ref="C13:C18"/>
    <mergeCell ref="B19:E19"/>
    <mergeCell ref="B20:B21"/>
    <mergeCell ref="C20:C21"/>
    <mergeCell ref="B7:E7"/>
    <mergeCell ref="B8:B10"/>
    <mergeCell ref="C8:C9"/>
    <mergeCell ref="B1:F3"/>
    <mergeCell ref="B11:E11"/>
    <mergeCell ref="B4:F4"/>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54"/>
  <sheetViews>
    <sheetView showGridLines="0" zoomScale="80" zoomScaleNormal="80" workbookViewId="0">
      <selection activeCell="C15" sqref="C15"/>
    </sheetView>
  </sheetViews>
  <sheetFormatPr baseColWidth="10" defaultRowHeight="15.75" x14ac:dyDescent="0.25"/>
  <cols>
    <col min="1" max="1" width="11.42578125" style="350"/>
    <col min="2" max="2" width="9.5703125" style="350" customWidth="1"/>
    <col min="3" max="3" width="86" style="350" customWidth="1"/>
    <col min="4" max="4" width="26.28515625" style="334" customWidth="1"/>
    <col min="5" max="5" width="25.28515625" style="328" bestFit="1" customWidth="1"/>
    <col min="6" max="6" width="28" style="328" customWidth="1"/>
    <col min="7" max="7" width="25.28515625" style="328" bestFit="1" customWidth="1"/>
    <col min="8" max="8" width="9.42578125" style="328" customWidth="1"/>
    <col min="9" max="9" width="37.7109375" style="328" customWidth="1"/>
    <col min="10" max="10" width="25.7109375" style="328" customWidth="1"/>
    <col min="11" max="11" width="11.85546875" style="328" customWidth="1"/>
    <col min="12" max="12" width="24.7109375" style="328" customWidth="1"/>
    <col min="13" max="13" width="21.5703125" style="328" customWidth="1"/>
    <col min="14" max="14" width="27.28515625" style="328" customWidth="1"/>
    <col min="15" max="15" width="15.85546875" style="328" customWidth="1"/>
    <col min="16" max="16384" width="11.42578125" style="328"/>
  </cols>
  <sheetData>
    <row r="1" spans="1:15" ht="43.5" customHeight="1" x14ac:dyDescent="0.2">
      <c r="A1" s="543" t="s">
        <v>1441</v>
      </c>
      <c r="B1" s="544"/>
      <c r="C1" s="544"/>
      <c r="D1" s="544"/>
    </row>
    <row r="2" spans="1:15" s="334" customFormat="1" ht="47.25" x14ac:dyDescent="0.25">
      <c r="A2" s="365" t="s">
        <v>1431</v>
      </c>
      <c r="B2" s="365" t="s">
        <v>1424</v>
      </c>
      <c r="C2" s="366" t="s">
        <v>1425</v>
      </c>
      <c r="D2" s="366" t="s">
        <v>1426</v>
      </c>
    </row>
    <row r="3" spans="1:15" ht="23.25" customHeight="1" x14ac:dyDescent="0.25">
      <c r="A3" s="329">
        <v>1</v>
      </c>
      <c r="B3" s="330" t="s">
        <v>1</v>
      </c>
      <c r="C3" s="331"/>
      <c r="D3" s="361">
        <f>SUM(D4:D22)</f>
        <v>247237373639.39999</v>
      </c>
    </row>
    <row r="4" spans="1:15" ht="44.25" customHeight="1" x14ac:dyDescent="0.2">
      <c r="A4" s="332">
        <v>1</v>
      </c>
      <c r="B4" s="332">
        <v>1202</v>
      </c>
      <c r="C4" s="333" t="s">
        <v>135</v>
      </c>
      <c r="D4" s="362">
        <f>'POAI IV TRIM 2020'!AF36+'POAI IV TRIM 2020'!AF76</f>
        <v>115128400</v>
      </c>
    </row>
    <row r="5" spans="1:15" ht="30" x14ac:dyDescent="0.2">
      <c r="A5" s="332">
        <v>2</v>
      </c>
      <c r="B5" s="332">
        <v>1203</v>
      </c>
      <c r="C5" s="333" t="s">
        <v>256</v>
      </c>
      <c r="D5" s="362">
        <f>'POAI IV TRIM 2020'!AF78</f>
        <v>15000000</v>
      </c>
      <c r="H5" s="351"/>
      <c r="I5" s="351"/>
      <c r="J5" s="351"/>
      <c r="K5" s="351"/>
      <c r="L5" s="351"/>
      <c r="M5" s="351"/>
      <c r="N5" s="351"/>
      <c r="O5" s="351"/>
    </row>
    <row r="6" spans="1:15" ht="30" x14ac:dyDescent="0.2">
      <c r="A6" s="332">
        <v>3</v>
      </c>
      <c r="B6" s="332">
        <v>1206</v>
      </c>
      <c r="C6" s="333" t="s">
        <v>263</v>
      </c>
      <c r="D6" s="362">
        <f>'POAI IV TRIM 2020'!AF80</f>
        <v>15000000</v>
      </c>
      <c r="H6" s="352"/>
      <c r="I6" s="352"/>
      <c r="J6" s="353"/>
      <c r="K6" s="354"/>
      <c r="L6" s="355"/>
      <c r="M6" s="356"/>
      <c r="N6" s="355"/>
      <c r="O6" s="356"/>
    </row>
    <row r="7" spans="1:15" x14ac:dyDescent="0.2">
      <c r="A7" s="332">
        <v>11</v>
      </c>
      <c r="B7" s="332">
        <v>1903</v>
      </c>
      <c r="C7" s="333" t="s">
        <v>896</v>
      </c>
      <c r="D7" s="362">
        <f>'POAI IV TRIM 2020'!AF265</f>
        <v>3706899934.8600001</v>
      </c>
      <c r="E7" s="334"/>
      <c r="H7" s="352"/>
      <c r="I7" s="352"/>
      <c r="J7" s="353"/>
      <c r="K7" s="354"/>
      <c r="L7" s="355"/>
      <c r="M7" s="356"/>
      <c r="N7" s="355"/>
      <c r="O7" s="356"/>
    </row>
    <row r="8" spans="1:15" ht="29.25" customHeight="1" x14ac:dyDescent="0.2">
      <c r="A8" s="332">
        <v>12</v>
      </c>
      <c r="B8" s="332">
        <v>1905</v>
      </c>
      <c r="C8" s="333" t="s">
        <v>719</v>
      </c>
      <c r="D8" s="362">
        <f>'POAI IV TRIM 2020'!AF222+'POAI IV TRIM 2020'!AF289</f>
        <v>6527893531.2400007</v>
      </c>
      <c r="H8" s="352"/>
      <c r="I8" s="352"/>
      <c r="J8" s="353"/>
      <c r="K8" s="354"/>
      <c r="L8" s="355"/>
      <c r="M8" s="356"/>
      <c r="N8" s="355"/>
      <c r="O8" s="356"/>
    </row>
    <row r="9" spans="1:15" x14ac:dyDescent="0.2">
      <c r="A9" s="332">
        <v>13</v>
      </c>
      <c r="B9" s="332">
        <v>1906</v>
      </c>
      <c r="C9" s="333" t="s">
        <v>144</v>
      </c>
      <c r="D9" s="362">
        <f>'POAI IV TRIM 2020'!AF38+'POAI IV TRIM 2020'!AF320</f>
        <v>39396019311.220001</v>
      </c>
      <c r="H9" s="352"/>
      <c r="I9" s="352"/>
      <c r="J9" s="353"/>
      <c r="K9" s="354"/>
      <c r="L9" s="355"/>
      <c r="M9" s="356"/>
      <c r="N9" s="355"/>
      <c r="O9" s="356"/>
    </row>
    <row r="10" spans="1:15" ht="30" x14ac:dyDescent="0.2">
      <c r="A10" s="332">
        <v>15</v>
      </c>
      <c r="B10" s="332">
        <v>2201</v>
      </c>
      <c r="C10" s="333" t="s">
        <v>153</v>
      </c>
      <c r="D10" s="362">
        <f>'POAI IV TRIM 2020'!AF40+'POAI IV TRIM 2020'!AF82+'POAI IV TRIM 2020'!AF195+'POAI IV TRIM 2020'!AF368</f>
        <v>179429197627.70999</v>
      </c>
      <c r="E10" s="334"/>
      <c r="H10" s="357"/>
      <c r="I10" s="351"/>
      <c r="J10" s="358"/>
      <c r="K10" s="354"/>
      <c r="L10" s="358"/>
      <c r="M10" s="354"/>
      <c r="N10" s="358"/>
      <c r="O10" s="356"/>
    </row>
    <row r="11" spans="1:15" ht="30" x14ac:dyDescent="0.2">
      <c r="A11" s="332">
        <v>16</v>
      </c>
      <c r="B11" s="332">
        <v>2301</v>
      </c>
      <c r="C11" s="333" t="s">
        <v>1132</v>
      </c>
      <c r="D11" s="362">
        <f>'POAI IV TRIM 2020'!AF330</f>
        <v>200000000</v>
      </c>
    </row>
    <row r="12" spans="1:15" ht="45" x14ac:dyDescent="0.2">
      <c r="A12" s="332">
        <v>17</v>
      </c>
      <c r="B12" s="332">
        <v>2302</v>
      </c>
      <c r="C12" s="333" t="s">
        <v>1144</v>
      </c>
      <c r="D12" s="362">
        <f>'POAI IV TRIM 2020'!AF333</f>
        <v>7164000</v>
      </c>
    </row>
    <row r="13" spans="1:15" ht="30" x14ac:dyDescent="0.2">
      <c r="A13" s="332">
        <v>25</v>
      </c>
      <c r="B13" s="332">
        <v>3301</v>
      </c>
      <c r="C13" s="333" t="s">
        <v>163</v>
      </c>
      <c r="D13" s="362">
        <f>'POAI IV TRIM 2020'!AF42+'POAI IV TRIM 2020'!AF113+'POAI IV TRIM 2020'!AF225</f>
        <v>2727601771.02</v>
      </c>
    </row>
    <row r="14" spans="1:15" ht="30" x14ac:dyDescent="0.2">
      <c r="A14" s="332">
        <v>26</v>
      </c>
      <c r="B14" s="335">
        <v>3302</v>
      </c>
      <c r="C14" s="333" t="s">
        <v>396</v>
      </c>
      <c r="D14" s="362">
        <f>'POAI IV TRIM 2020'!AF120</f>
        <v>405194764.30000001</v>
      </c>
    </row>
    <row r="15" spans="1:15" ht="30" x14ac:dyDescent="0.2">
      <c r="A15" s="332">
        <v>35</v>
      </c>
      <c r="B15" s="332">
        <v>4101</v>
      </c>
      <c r="C15" s="333" t="s">
        <v>274</v>
      </c>
      <c r="D15" s="362">
        <f>'POAI IV TRIM 2020'!AF84</f>
        <v>522730761</v>
      </c>
    </row>
    <row r="16" spans="1:15" ht="30" x14ac:dyDescent="0.2">
      <c r="A16" s="332">
        <v>36</v>
      </c>
      <c r="B16" s="332">
        <v>4102</v>
      </c>
      <c r="C16" s="333" t="s">
        <v>737</v>
      </c>
      <c r="D16" s="362">
        <f>'POAI IV TRIM 2020'!AF227</f>
        <v>687297832</v>
      </c>
    </row>
    <row r="17" spans="1:4" ht="30" x14ac:dyDescent="0.2">
      <c r="A17" s="332">
        <v>37</v>
      </c>
      <c r="B17" s="332">
        <v>4103</v>
      </c>
      <c r="C17" s="333" t="s">
        <v>301</v>
      </c>
      <c r="D17" s="362">
        <f>'POAI IV TRIM 2020'!AF90+'POAI IV TRIM 2020'!AF236</f>
        <v>248758667</v>
      </c>
    </row>
    <row r="18" spans="1:4" ht="30" x14ac:dyDescent="0.2">
      <c r="A18" s="332">
        <v>38</v>
      </c>
      <c r="B18" s="332">
        <v>4104</v>
      </c>
      <c r="C18" s="333" t="s">
        <v>825</v>
      </c>
      <c r="D18" s="362">
        <f>'POAI IV TRIM 2020'!AF244</f>
        <v>4791979434.3899994</v>
      </c>
    </row>
    <row r="19" spans="1:4" ht="30" x14ac:dyDescent="0.2">
      <c r="A19" s="332">
        <v>39</v>
      </c>
      <c r="B19" s="332">
        <v>4301</v>
      </c>
      <c r="C19" s="333" t="s">
        <v>170</v>
      </c>
      <c r="D19" s="362">
        <f>'POAI IV TRIM 2020'!AF44+'POAI IV TRIM 2020'!AF347+'POAI IV TRIM 2020'!AF366</f>
        <v>4426881630.0699997</v>
      </c>
    </row>
    <row r="20" spans="1:4" ht="39.75" customHeight="1" x14ac:dyDescent="0.2">
      <c r="A20" s="332">
        <v>40</v>
      </c>
      <c r="B20" s="332">
        <v>4302</v>
      </c>
      <c r="C20" s="333" t="s">
        <v>177</v>
      </c>
      <c r="D20" s="362">
        <f>'POAI IV TRIM 2020'!AF46+'POAI IV TRIM 2020'!AF360</f>
        <v>1329713916.5799999</v>
      </c>
    </row>
    <row r="21" spans="1:4" ht="15" x14ac:dyDescent="0.2">
      <c r="A21" s="332">
        <v>41</v>
      </c>
      <c r="B21" s="332">
        <f>'POAI IV TRIM 2020'!D92</f>
        <v>4501</v>
      </c>
      <c r="C21" s="333" t="s">
        <v>309</v>
      </c>
      <c r="D21" s="362">
        <f>'POAI IV TRIM 2020'!AF92+'POAI IV TRIM 2020'!AF254</f>
        <v>2441073558.0099998</v>
      </c>
    </row>
    <row r="22" spans="1:4" ht="45" x14ac:dyDescent="0.2">
      <c r="A22" s="332">
        <v>44</v>
      </c>
      <c r="B22" s="332" t="s">
        <v>1292</v>
      </c>
      <c r="C22" s="333" t="s">
        <v>708</v>
      </c>
      <c r="D22" s="362">
        <f>'POAI IV TRIM 2020'!AF217</f>
        <v>243838500</v>
      </c>
    </row>
    <row r="23" spans="1:4" ht="22.5" customHeight="1" x14ac:dyDescent="0.25">
      <c r="A23" s="329">
        <v>2</v>
      </c>
      <c r="B23" s="330" t="s">
        <v>2</v>
      </c>
      <c r="C23" s="336"/>
      <c r="D23" s="361">
        <f>SUM(D24:D37)</f>
        <v>3847235864.8199997</v>
      </c>
    </row>
    <row r="24" spans="1:4" ht="30" x14ac:dyDescent="0.2">
      <c r="A24" s="332">
        <v>4</v>
      </c>
      <c r="B24" s="332">
        <v>1702</v>
      </c>
      <c r="C24" s="333" t="s">
        <v>458</v>
      </c>
      <c r="D24" s="362">
        <f>'POAI IV TRIM 2020'!AF141</f>
        <v>680027523.97000003</v>
      </c>
    </row>
    <row r="25" spans="1:4" ht="30" x14ac:dyDescent="0.2">
      <c r="A25" s="332">
        <v>5</v>
      </c>
      <c r="B25" s="332">
        <v>1703</v>
      </c>
      <c r="C25" s="333" t="s">
        <v>509</v>
      </c>
      <c r="D25" s="362">
        <f>'POAI IV TRIM 2020'!AF153</f>
        <v>40000000</v>
      </c>
    </row>
    <row r="26" spans="1:4" ht="30" x14ac:dyDescent="0.2">
      <c r="A26" s="335">
        <v>6</v>
      </c>
      <c r="B26" s="332">
        <v>1704</v>
      </c>
      <c r="C26" s="333" t="s">
        <v>514</v>
      </c>
      <c r="D26" s="362">
        <f>'POAI IV TRIM 2020'!AF155</f>
        <v>40000000</v>
      </c>
    </row>
    <row r="27" spans="1:4" ht="15" x14ac:dyDescent="0.2">
      <c r="A27" s="335">
        <v>7</v>
      </c>
      <c r="B27" s="332">
        <v>1706</v>
      </c>
      <c r="C27" s="333" t="s">
        <v>525</v>
      </c>
      <c r="D27" s="362">
        <f>'POAI IV TRIM 2020'!AF158</f>
        <v>12800000</v>
      </c>
    </row>
    <row r="28" spans="1:4" ht="15" x14ac:dyDescent="0.2">
      <c r="A28" s="335">
        <v>8</v>
      </c>
      <c r="B28" s="332">
        <v>1707</v>
      </c>
      <c r="C28" s="333" t="s">
        <v>530</v>
      </c>
      <c r="D28" s="362">
        <f>'POAI IV TRIM 2020'!AF160</f>
        <v>50000000</v>
      </c>
    </row>
    <row r="29" spans="1:4" ht="30" x14ac:dyDescent="0.2">
      <c r="A29" s="335">
        <v>9</v>
      </c>
      <c r="B29" s="332">
        <v>1708</v>
      </c>
      <c r="C29" s="333" t="s">
        <v>535</v>
      </c>
      <c r="D29" s="362">
        <f>'POAI IV TRIM 2020'!AF162</f>
        <v>30519269</v>
      </c>
    </row>
    <row r="30" spans="1:4" ht="15" x14ac:dyDescent="0.2">
      <c r="A30" s="335">
        <v>10</v>
      </c>
      <c r="B30" s="332">
        <v>1709</v>
      </c>
      <c r="C30" s="333" t="s">
        <v>181</v>
      </c>
      <c r="D30" s="362">
        <f>'POAI IV TRIM 2020'!AF49+'POAI IV TRIM 2020'!AF165</f>
        <v>77000000</v>
      </c>
    </row>
    <row r="31" spans="1:4" ht="15" x14ac:dyDescent="0.2">
      <c r="A31" s="332">
        <v>14</v>
      </c>
      <c r="B31" s="332">
        <v>2102</v>
      </c>
      <c r="C31" s="333" t="s">
        <v>1427</v>
      </c>
      <c r="D31" s="362">
        <v>0</v>
      </c>
    </row>
    <row r="32" spans="1:4" ht="30" x14ac:dyDescent="0.2">
      <c r="A32" s="332">
        <v>27</v>
      </c>
      <c r="B32" s="332">
        <v>3502</v>
      </c>
      <c r="C32" s="333" t="s">
        <v>189</v>
      </c>
      <c r="D32" s="362">
        <f>'POAI IV TRIM 2020'!AF51+'POAI IV TRIM 2020'!AF125+'POAI IV TRIM 2020'!AF168</f>
        <v>1584204071.8499999</v>
      </c>
    </row>
    <row r="33" spans="1:4" ht="15" x14ac:dyDescent="0.2">
      <c r="A33" s="332">
        <v>28</v>
      </c>
      <c r="B33" s="332">
        <v>3602</v>
      </c>
      <c r="C33" s="333" t="s">
        <v>439</v>
      </c>
      <c r="D33" s="362">
        <f>'POAI IV TRIM 2020'!AF134</f>
        <v>1235685000</v>
      </c>
    </row>
    <row r="34" spans="1:4" ht="30" x14ac:dyDescent="0.2">
      <c r="A34" s="332">
        <v>29</v>
      </c>
      <c r="B34" s="332">
        <v>3604</v>
      </c>
      <c r="C34" s="333" t="s">
        <v>885</v>
      </c>
      <c r="D34" s="362">
        <f>'POAI IV TRIM 2020'!AF258</f>
        <v>25000000</v>
      </c>
    </row>
    <row r="35" spans="1:4" ht="44.25" customHeight="1" x14ac:dyDescent="0.2">
      <c r="A35" s="332">
        <v>30</v>
      </c>
      <c r="B35" s="332">
        <v>3902</v>
      </c>
      <c r="C35" s="333" t="s">
        <v>1428</v>
      </c>
      <c r="D35" s="362">
        <v>0</v>
      </c>
    </row>
    <row r="36" spans="1:4" ht="15" x14ac:dyDescent="0.2">
      <c r="A36" s="332">
        <v>31</v>
      </c>
      <c r="B36" s="332" t="s">
        <v>1152</v>
      </c>
      <c r="C36" s="333" t="s">
        <v>1153</v>
      </c>
      <c r="D36" s="362">
        <f>'POAI IV TRIM 2020'!AF336</f>
        <v>54000000</v>
      </c>
    </row>
    <row r="37" spans="1:4" ht="15" x14ac:dyDescent="0.2">
      <c r="A37" s="332">
        <v>32</v>
      </c>
      <c r="B37" s="332" t="s">
        <v>1429</v>
      </c>
      <c r="C37" s="333" t="s">
        <v>1161</v>
      </c>
      <c r="D37" s="362">
        <f>'POAI IV TRIM 2020'!AF338</f>
        <v>18000000</v>
      </c>
    </row>
    <row r="38" spans="1:4" x14ac:dyDescent="0.25">
      <c r="A38" s="329">
        <v>3</v>
      </c>
      <c r="B38" s="330" t="s">
        <v>3</v>
      </c>
      <c r="C38" s="336"/>
      <c r="D38" s="361">
        <f>SUM(D39:D48)</f>
        <v>5864049290.6600008</v>
      </c>
    </row>
    <row r="39" spans="1:4" ht="15" x14ac:dyDescent="0.2">
      <c r="A39" s="332">
        <v>18</v>
      </c>
      <c r="B39" s="332">
        <v>2402</v>
      </c>
      <c r="C39" s="333" t="s">
        <v>194</v>
      </c>
      <c r="D39" s="362">
        <f>'POAI IV TRIM 2020'!AF54+'POAI IV TRIM 2020'!AF371</f>
        <v>987305413.94000006</v>
      </c>
    </row>
    <row r="40" spans="1:4" ht="30" customHeight="1" x14ac:dyDescent="0.2">
      <c r="A40" s="332">
        <v>19</v>
      </c>
      <c r="B40" s="332">
        <v>2409</v>
      </c>
      <c r="C40" s="333" t="s">
        <v>1234</v>
      </c>
      <c r="D40" s="362">
        <f>'POAI IV TRIM 2020'!AF383</f>
        <v>107000000</v>
      </c>
    </row>
    <row r="41" spans="1:4" ht="30" x14ac:dyDescent="0.2">
      <c r="A41" s="332">
        <v>20</v>
      </c>
      <c r="B41" s="332" t="s">
        <v>554</v>
      </c>
      <c r="C41" s="333" t="s">
        <v>555</v>
      </c>
      <c r="D41" s="362">
        <f>'POAI IV TRIM 2020'!AF172</f>
        <v>40000000</v>
      </c>
    </row>
    <row r="42" spans="1:4" ht="30" x14ac:dyDescent="0.2">
      <c r="A42" s="332">
        <v>21</v>
      </c>
      <c r="B42" s="332" t="s">
        <v>201</v>
      </c>
      <c r="C42" s="333" t="s">
        <v>202</v>
      </c>
      <c r="D42" s="362">
        <f>'POAI IV TRIM 2020'!AF57+'POAI IV TRIM 2020'!AF174</f>
        <v>601049867</v>
      </c>
    </row>
    <row r="43" spans="1:4" ht="30" x14ac:dyDescent="0.2">
      <c r="A43" s="335">
        <v>22</v>
      </c>
      <c r="B43" s="332" t="s">
        <v>588</v>
      </c>
      <c r="C43" s="333" t="s">
        <v>589</v>
      </c>
      <c r="D43" s="362">
        <f>'POAI IV TRIM 2020'!AF180</f>
        <v>26000000</v>
      </c>
    </row>
    <row r="44" spans="1:4" ht="15" x14ac:dyDescent="0.2">
      <c r="A44" s="335">
        <v>23</v>
      </c>
      <c r="B44" s="332">
        <v>3205</v>
      </c>
      <c r="C44" s="333" t="s">
        <v>207</v>
      </c>
      <c r="D44" s="362">
        <f>'POAI IV TRIM 2020'!AF59+'POAI IV TRIM 2020'!AF97+'POAI IV TRIM 2020'!AF182</f>
        <v>258063334</v>
      </c>
    </row>
    <row r="45" spans="1:4" ht="30" x14ac:dyDescent="0.2">
      <c r="A45" s="335">
        <v>24</v>
      </c>
      <c r="B45" s="332" t="s">
        <v>599</v>
      </c>
      <c r="C45" s="333" t="s">
        <v>600</v>
      </c>
      <c r="D45" s="362">
        <f>'POAI IV TRIM 2020'!AF184</f>
        <v>20000000</v>
      </c>
    </row>
    <row r="46" spans="1:4" ht="15" x14ac:dyDescent="0.2">
      <c r="A46" s="335">
        <v>33</v>
      </c>
      <c r="B46" s="335" t="s">
        <v>1430</v>
      </c>
      <c r="C46" s="333" t="s">
        <v>211</v>
      </c>
      <c r="D46" s="362">
        <f>'POAI IV TRIM 2020'!AF61+'POAI IV TRIM 2020'!AF373</f>
        <v>540091726.37</v>
      </c>
    </row>
    <row r="47" spans="1:4" ht="30" x14ac:dyDescent="0.2">
      <c r="A47" s="332">
        <v>34</v>
      </c>
      <c r="B47" s="332">
        <v>4003</v>
      </c>
      <c r="C47" s="333" t="s">
        <v>217</v>
      </c>
      <c r="D47" s="362">
        <f>'POAI IV TRIM 2020'!AF63</f>
        <v>2885729741.0500002</v>
      </c>
    </row>
    <row r="48" spans="1:4" ht="30" x14ac:dyDescent="0.2">
      <c r="A48" s="337">
        <v>43</v>
      </c>
      <c r="B48" s="337">
        <v>4503</v>
      </c>
      <c r="C48" s="338" t="s">
        <v>330</v>
      </c>
      <c r="D48" s="362">
        <f>'POAI IV TRIM 2020'!AF100</f>
        <v>398809208.30000001</v>
      </c>
    </row>
    <row r="49" spans="1:16369" s="346" customFormat="1" x14ac:dyDescent="0.25">
      <c r="A49" s="339">
        <v>4</v>
      </c>
      <c r="B49" s="340" t="s">
        <v>70</v>
      </c>
      <c r="C49" s="341"/>
      <c r="D49" s="361">
        <f>SUM(D50:D52)</f>
        <v>4931381465.7399998</v>
      </c>
      <c r="E49" s="364"/>
      <c r="F49" s="364"/>
      <c r="G49" s="364"/>
      <c r="H49" s="345"/>
      <c r="I49" s="343"/>
      <c r="J49" s="344"/>
      <c r="K49" s="344"/>
      <c r="L49" s="345"/>
      <c r="M49" s="345"/>
      <c r="N49" s="342"/>
      <c r="O49" s="343"/>
      <c r="P49" s="344"/>
      <c r="Q49" s="345"/>
      <c r="R49" s="342"/>
      <c r="S49" s="343"/>
      <c r="T49" s="344"/>
      <c r="U49" s="345"/>
      <c r="V49" s="342"/>
      <c r="W49" s="343"/>
      <c r="X49" s="344"/>
      <c r="Y49" s="345"/>
      <c r="Z49" s="342"/>
      <c r="AA49" s="343"/>
      <c r="AB49" s="344"/>
      <c r="AC49" s="345"/>
      <c r="AD49" s="342"/>
      <c r="AE49" s="343"/>
      <c r="AF49" s="344"/>
      <c r="AG49" s="345"/>
      <c r="AH49" s="342"/>
      <c r="AI49" s="343"/>
      <c r="AJ49" s="344"/>
      <c r="AK49" s="345"/>
      <c r="AL49" s="342"/>
      <c r="AM49" s="343"/>
      <c r="AN49" s="344"/>
      <c r="AO49" s="345"/>
      <c r="AP49" s="342"/>
      <c r="AQ49" s="343"/>
      <c r="AR49" s="344"/>
      <c r="AS49" s="345"/>
      <c r="AT49" s="342"/>
      <c r="AU49" s="343"/>
      <c r="AV49" s="344"/>
      <c r="AW49" s="345"/>
      <c r="AX49" s="342"/>
      <c r="AY49" s="343"/>
      <c r="AZ49" s="344"/>
      <c r="BA49" s="345"/>
      <c r="BB49" s="342"/>
      <c r="BC49" s="343"/>
      <c r="BD49" s="344"/>
      <c r="BE49" s="345"/>
      <c r="BF49" s="342"/>
      <c r="BG49" s="343"/>
      <c r="BH49" s="344"/>
      <c r="BI49" s="345"/>
      <c r="BJ49" s="342"/>
      <c r="BK49" s="343"/>
      <c r="BL49" s="344"/>
      <c r="BM49" s="345"/>
      <c r="BN49" s="342"/>
      <c r="BO49" s="343"/>
      <c r="BP49" s="344"/>
      <c r="BQ49" s="345"/>
      <c r="BR49" s="342"/>
      <c r="BS49" s="343"/>
      <c r="BT49" s="344"/>
      <c r="BU49" s="345"/>
      <c r="BV49" s="342"/>
      <c r="BW49" s="343"/>
      <c r="BX49" s="344"/>
      <c r="BY49" s="345"/>
      <c r="BZ49" s="342"/>
      <c r="CA49" s="343"/>
      <c r="CB49" s="344"/>
      <c r="CC49" s="345"/>
      <c r="CD49" s="342"/>
      <c r="CE49" s="343"/>
      <c r="CF49" s="344"/>
      <c r="CG49" s="345"/>
      <c r="CH49" s="342"/>
      <c r="CI49" s="343"/>
      <c r="CJ49" s="344"/>
      <c r="CK49" s="345"/>
      <c r="CL49" s="342"/>
      <c r="CM49" s="343"/>
      <c r="CN49" s="344"/>
      <c r="CO49" s="345"/>
      <c r="CP49" s="342"/>
      <c r="CQ49" s="343"/>
      <c r="CR49" s="344"/>
      <c r="CS49" s="345"/>
      <c r="CT49" s="342"/>
      <c r="CU49" s="343"/>
      <c r="CV49" s="344"/>
      <c r="CW49" s="345"/>
      <c r="CX49" s="342"/>
      <c r="CY49" s="343"/>
      <c r="CZ49" s="344"/>
      <c r="DA49" s="345"/>
      <c r="DB49" s="342"/>
      <c r="DC49" s="343"/>
      <c r="DD49" s="344"/>
      <c r="DE49" s="345"/>
      <c r="DF49" s="342"/>
      <c r="DG49" s="343"/>
      <c r="DH49" s="344"/>
      <c r="DI49" s="345"/>
      <c r="DJ49" s="342"/>
      <c r="DK49" s="343"/>
      <c r="DL49" s="344"/>
      <c r="DM49" s="345"/>
      <c r="DN49" s="342"/>
      <c r="DO49" s="343"/>
      <c r="DP49" s="344"/>
      <c r="DQ49" s="345"/>
      <c r="DR49" s="342"/>
      <c r="DS49" s="343"/>
      <c r="DT49" s="344"/>
      <c r="DU49" s="345"/>
      <c r="DV49" s="342"/>
      <c r="DW49" s="343"/>
      <c r="DX49" s="344"/>
      <c r="DY49" s="345"/>
      <c r="DZ49" s="342"/>
      <c r="EA49" s="343"/>
      <c r="EB49" s="344"/>
      <c r="EC49" s="345"/>
      <c r="ED49" s="342"/>
      <c r="EE49" s="343"/>
      <c r="EF49" s="344"/>
      <c r="EG49" s="345"/>
      <c r="EH49" s="342"/>
      <c r="EI49" s="343"/>
      <c r="EJ49" s="344"/>
      <c r="EK49" s="345"/>
      <c r="EL49" s="342"/>
      <c r="EM49" s="343"/>
      <c r="EN49" s="344"/>
      <c r="EO49" s="345"/>
      <c r="EP49" s="342"/>
      <c r="EQ49" s="343"/>
      <c r="ER49" s="344"/>
      <c r="ES49" s="345"/>
      <c r="ET49" s="342"/>
      <c r="EU49" s="343"/>
      <c r="EV49" s="344"/>
      <c r="EW49" s="345"/>
      <c r="EX49" s="342"/>
      <c r="EY49" s="343"/>
      <c r="EZ49" s="344"/>
      <c r="FA49" s="345"/>
      <c r="FB49" s="342"/>
      <c r="FC49" s="343"/>
      <c r="FD49" s="344"/>
      <c r="FE49" s="345"/>
      <c r="FF49" s="342"/>
      <c r="FG49" s="343"/>
      <c r="FH49" s="344"/>
      <c r="FI49" s="345"/>
      <c r="FJ49" s="342"/>
      <c r="FK49" s="343"/>
      <c r="FL49" s="344"/>
      <c r="FM49" s="345"/>
      <c r="FN49" s="342"/>
      <c r="FO49" s="343"/>
      <c r="FP49" s="344"/>
      <c r="FQ49" s="345"/>
      <c r="FR49" s="342"/>
      <c r="FS49" s="343"/>
      <c r="FT49" s="344"/>
      <c r="FU49" s="345"/>
      <c r="FV49" s="342"/>
      <c r="FW49" s="343"/>
      <c r="FX49" s="344"/>
      <c r="FY49" s="345"/>
      <c r="FZ49" s="342"/>
      <c r="GA49" s="343"/>
      <c r="GB49" s="344"/>
      <c r="GC49" s="345"/>
      <c r="GD49" s="342"/>
      <c r="GE49" s="343"/>
      <c r="GF49" s="344"/>
      <c r="GG49" s="345"/>
      <c r="GH49" s="342"/>
      <c r="GI49" s="343"/>
      <c r="GJ49" s="344"/>
      <c r="GK49" s="345"/>
      <c r="GL49" s="342"/>
      <c r="GM49" s="343"/>
      <c r="GN49" s="344"/>
      <c r="GO49" s="345"/>
      <c r="GP49" s="342"/>
      <c r="GQ49" s="343"/>
      <c r="GR49" s="344"/>
      <c r="GS49" s="345"/>
      <c r="GT49" s="342"/>
      <c r="GU49" s="343"/>
      <c r="GV49" s="344"/>
      <c r="GW49" s="345"/>
      <c r="GX49" s="342"/>
      <c r="GY49" s="343"/>
      <c r="GZ49" s="344"/>
      <c r="HA49" s="345"/>
      <c r="HB49" s="342"/>
      <c r="HC49" s="343"/>
      <c r="HD49" s="344"/>
      <c r="HE49" s="345"/>
      <c r="HF49" s="342"/>
      <c r="HG49" s="343"/>
      <c r="HH49" s="344"/>
      <c r="HI49" s="345"/>
      <c r="HJ49" s="342"/>
      <c r="HK49" s="343"/>
      <c r="HL49" s="344"/>
      <c r="HM49" s="345"/>
      <c r="HN49" s="342"/>
      <c r="HO49" s="343"/>
      <c r="HP49" s="344"/>
      <c r="HQ49" s="345"/>
      <c r="HR49" s="342"/>
      <c r="HS49" s="343"/>
      <c r="HT49" s="344"/>
      <c r="HU49" s="345"/>
      <c r="HV49" s="342"/>
      <c r="HW49" s="343"/>
      <c r="HX49" s="344"/>
      <c r="HY49" s="345"/>
      <c r="HZ49" s="342"/>
      <c r="IA49" s="343"/>
      <c r="IB49" s="344"/>
      <c r="IC49" s="345"/>
      <c r="ID49" s="342"/>
      <c r="IE49" s="343"/>
      <c r="IF49" s="344"/>
      <c r="IG49" s="345"/>
      <c r="IH49" s="342"/>
      <c r="II49" s="343"/>
      <c r="IJ49" s="344"/>
      <c r="IK49" s="345"/>
      <c r="IL49" s="342"/>
      <c r="IM49" s="343"/>
      <c r="IN49" s="344"/>
      <c r="IO49" s="345"/>
      <c r="IP49" s="342"/>
      <c r="IQ49" s="343"/>
      <c r="IR49" s="344"/>
      <c r="IS49" s="345"/>
      <c r="IT49" s="342"/>
      <c r="IU49" s="343"/>
      <c r="IV49" s="344"/>
      <c r="IW49" s="345"/>
      <c r="IX49" s="342"/>
      <c r="IY49" s="343"/>
      <c r="IZ49" s="344"/>
      <c r="JA49" s="345"/>
      <c r="JB49" s="342"/>
      <c r="JC49" s="343"/>
      <c r="JD49" s="344"/>
      <c r="JE49" s="345"/>
      <c r="JF49" s="342"/>
      <c r="JG49" s="343"/>
      <c r="JH49" s="344"/>
      <c r="JI49" s="345"/>
      <c r="JJ49" s="342"/>
      <c r="JK49" s="343"/>
      <c r="JL49" s="344"/>
      <c r="JM49" s="345"/>
      <c r="JN49" s="342"/>
      <c r="JO49" s="343"/>
      <c r="JP49" s="344"/>
      <c r="JQ49" s="345"/>
      <c r="JR49" s="342"/>
      <c r="JS49" s="343"/>
      <c r="JT49" s="344"/>
      <c r="JU49" s="345"/>
      <c r="JV49" s="342"/>
      <c r="JW49" s="343"/>
      <c r="JX49" s="344"/>
      <c r="JY49" s="345"/>
      <c r="JZ49" s="342"/>
      <c r="KA49" s="343"/>
      <c r="KB49" s="344"/>
      <c r="KC49" s="345"/>
      <c r="KD49" s="342"/>
      <c r="KE49" s="343"/>
      <c r="KF49" s="344"/>
      <c r="KG49" s="345"/>
      <c r="KH49" s="342"/>
      <c r="KI49" s="343"/>
      <c r="KJ49" s="344"/>
      <c r="KK49" s="345"/>
      <c r="KL49" s="342"/>
      <c r="KM49" s="343"/>
      <c r="KN49" s="344"/>
      <c r="KO49" s="345"/>
      <c r="KP49" s="342"/>
      <c r="KQ49" s="343"/>
      <c r="KR49" s="344"/>
      <c r="KS49" s="345"/>
      <c r="KT49" s="342"/>
      <c r="KU49" s="343"/>
      <c r="KV49" s="344"/>
      <c r="KW49" s="345"/>
      <c r="KX49" s="342"/>
      <c r="KY49" s="343"/>
      <c r="KZ49" s="344"/>
      <c r="LA49" s="345"/>
      <c r="LB49" s="342"/>
      <c r="LC49" s="343"/>
      <c r="LD49" s="344"/>
      <c r="LE49" s="345"/>
      <c r="LF49" s="342"/>
      <c r="LG49" s="343"/>
      <c r="LH49" s="344"/>
      <c r="LI49" s="345"/>
      <c r="LJ49" s="342"/>
      <c r="LK49" s="343"/>
      <c r="LL49" s="344"/>
      <c r="LM49" s="345"/>
      <c r="LN49" s="342"/>
      <c r="LO49" s="343"/>
      <c r="LP49" s="344"/>
      <c r="LQ49" s="345"/>
      <c r="LR49" s="342"/>
      <c r="LS49" s="343"/>
      <c r="LT49" s="344"/>
      <c r="LU49" s="345"/>
      <c r="LV49" s="342"/>
      <c r="LW49" s="343"/>
      <c r="LX49" s="344"/>
      <c r="LY49" s="345"/>
      <c r="LZ49" s="342"/>
      <c r="MA49" s="343"/>
      <c r="MB49" s="344"/>
      <c r="MC49" s="345"/>
      <c r="MD49" s="342"/>
      <c r="ME49" s="343"/>
      <c r="MF49" s="344"/>
      <c r="MG49" s="345"/>
      <c r="MH49" s="342"/>
      <c r="MI49" s="343"/>
      <c r="MJ49" s="344"/>
      <c r="MK49" s="345"/>
      <c r="ML49" s="342"/>
      <c r="MM49" s="343"/>
      <c r="MN49" s="344"/>
      <c r="MO49" s="345"/>
      <c r="MP49" s="342"/>
      <c r="MQ49" s="343"/>
      <c r="MR49" s="344"/>
      <c r="MS49" s="345"/>
      <c r="MT49" s="342"/>
      <c r="MU49" s="343"/>
      <c r="MV49" s="344"/>
      <c r="MW49" s="345"/>
      <c r="MX49" s="342"/>
      <c r="MY49" s="343"/>
      <c r="MZ49" s="344"/>
      <c r="NA49" s="345"/>
      <c r="NB49" s="342"/>
      <c r="NC49" s="343"/>
      <c r="ND49" s="344"/>
      <c r="NE49" s="345"/>
      <c r="NF49" s="342"/>
      <c r="NG49" s="343"/>
      <c r="NH49" s="344"/>
      <c r="NI49" s="345"/>
      <c r="NJ49" s="342"/>
      <c r="NK49" s="343"/>
      <c r="NL49" s="344"/>
      <c r="NM49" s="345"/>
      <c r="NN49" s="342"/>
      <c r="NO49" s="343"/>
      <c r="NP49" s="344"/>
      <c r="NQ49" s="345"/>
      <c r="NR49" s="342"/>
      <c r="NS49" s="343"/>
      <c r="NT49" s="344"/>
      <c r="NU49" s="345"/>
      <c r="NV49" s="342"/>
      <c r="NW49" s="343"/>
      <c r="NX49" s="344"/>
      <c r="NY49" s="345"/>
      <c r="NZ49" s="342"/>
      <c r="OA49" s="343"/>
      <c r="OB49" s="344"/>
      <c r="OC49" s="345"/>
      <c r="OD49" s="342"/>
      <c r="OE49" s="343"/>
      <c r="OF49" s="344"/>
      <c r="OG49" s="345"/>
      <c r="OH49" s="342"/>
      <c r="OI49" s="343"/>
      <c r="OJ49" s="344"/>
      <c r="OK49" s="345"/>
      <c r="OL49" s="342"/>
      <c r="OM49" s="343"/>
      <c r="ON49" s="344"/>
      <c r="OO49" s="345"/>
      <c r="OP49" s="342"/>
      <c r="OQ49" s="343"/>
      <c r="OR49" s="344"/>
      <c r="OS49" s="345"/>
      <c r="OT49" s="342"/>
      <c r="OU49" s="343"/>
      <c r="OV49" s="344"/>
      <c r="OW49" s="345"/>
      <c r="OX49" s="342"/>
      <c r="OY49" s="343"/>
      <c r="OZ49" s="344"/>
      <c r="PA49" s="345"/>
      <c r="PB49" s="342"/>
      <c r="PC49" s="343"/>
      <c r="PD49" s="344"/>
      <c r="PE49" s="345"/>
      <c r="PF49" s="342"/>
      <c r="PG49" s="343"/>
      <c r="PH49" s="344"/>
      <c r="PI49" s="345"/>
      <c r="PJ49" s="342"/>
      <c r="PK49" s="343"/>
      <c r="PL49" s="344"/>
      <c r="PM49" s="345"/>
      <c r="PN49" s="342"/>
      <c r="PO49" s="343"/>
      <c r="PP49" s="344"/>
      <c r="PQ49" s="345"/>
      <c r="PR49" s="342"/>
      <c r="PS49" s="343"/>
      <c r="PT49" s="344"/>
      <c r="PU49" s="345"/>
      <c r="PV49" s="342"/>
      <c r="PW49" s="343"/>
      <c r="PX49" s="344"/>
      <c r="PY49" s="345"/>
      <c r="PZ49" s="342"/>
      <c r="QA49" s="343"/>
      <c r="QB49" s="344"/>
      <c r="QC49" s="345"/>
      <c r="QD49" s="342"/>
      <c r="QE49" s="343"/>
      <c r="QF49" s="344"/>
      <c r="QG49" s="345"/>
      <c r="QH49" s="342"/>
      <c r="QI49" s="343"/>
      <c r="QJ49" s="344"/>
      <c r="QK49" s="345"/>
      <c r="QL49" s="342"/>
      <c r="QM49" s="343"/>
      <c r="QN49" s="344"/>
      <c r="QO49" s="345"/>
      <c r="QP49" s="342"/>
      <c r="QQ49" s="343"/>
      <c r="QR49" s="344"/>
      <c r="QS49" s="345"/>
      <c r="QT49" s="342"/>
      <c r="QU49" s="343"/>
      <c r="QV49" s="344"/>
      <c r="QW49" s="345"/>
      <c r="QX49" s="342"/>
      <c r="QY49" s="343"/>
      <c r="QZ49" s="344"/>
      <c r="RA49" s="345"/>
      <c r="RB49" s="342"/>
      <c r="RC49" s="343"/>
      <c r="RD49" s="344"/>
      <c r="RE49" s="345"/>
      <c r="RF49" s="342"/>
      <c r="RG49" s="343"/>
      <c r="RH49" s="344"/>
      <c r="RI49" s="345"/>
      <c r="RJ49" s="342"/>
      <c r="RK49" s="343"/>
      <c r="RL49" s="344"/>
      <c r="RM49" s="345"/>
      <c r="RN49" s="342"/>
      <c r="RO49" s="343"/>
      <c r="RP49" s="344"/>
      <c r="RQ49" s="345"/>
      <c r="RR49" s="342"/>
      <c r="RS49" s="343"/>
      <c r="RT49" s="344"/>
      <c r="RU49" s="345"/>
      <c r="RV49" s="342"/>
      <c r="RW49" s="343"/>
      <c r="RX49" s="344"/>
      <c r="RY49" s="345"/>
      <c r="RZ49" s="342"/>
      <c r="SA49" s="343"/>
      <c r="SB49" s="344"/>
      <c r="SC49" s="345"/>
      <c r="SD49" s="342"/>
      <c r="SE49" s="343"/>
      <c r="SF49" s="344"/>
      <c r="SG49" s="345"/>
      <c r="SH49" s="342"/>
      <c r="SI49" s="343"/>
      <c r="SJ49" s="344"/>
      <c r="SK49" s="345"/>
      <c r="SL49" s="342"/>
      <c r="SM49" s="343"/>
      <c r="SN49" s="344"/>
      <c r="SO49" s="345"/>
      <c r="SP49" s="342"/>
      <c r="SQ49" s="343"/>
      <c r="SR49" s="344"/>
      <c r="SS49" s="345"/>
      <c r="ST49" s="342"/>
      <c r="SU49" s="343"/>
      <c r="SV49" s="344"/>
      <c r="SW49" s="345"/>
      <c r="SX49" s="342"/>
      <c r="SY49" s="343"/>
      <c r="SZ49" s="344"/>
      <c r="TA49" s="345"/>
      <c r="TB49" s="342"/>
      <c r="TC49" s="343"/>
      <c r="TD49" s="344"/>
      <c r="TE49" s="345"/>
      <c r="TF49" s="342"/>
      <c r="TG49" s="343"/>
      <c r="TH49" s="344"/>
      <c r="TI49" s="345"/>
      <c r="TJ49" s="342"/>
      <c r="TK49" s="343"/>
      <c r="TL49" s="344"/>
      <c r="TM49" s="345"/>
      <c r="TN49" s="342"/>
      <c r="TO49" s="343"/>
      <c r="TP49" s="344"/>
      <c r="TQ49" s="345"/>
      <c r="TR49" s="342"/>
      <c r="TS49" s="343"/>
      <c r="TT49" s="344"/>
      <c r="TU49" s="345"/>
      <c r="TV49" s="342"/>
      <c r="TW49" s="343"/>
      <c r="TX49" s="344"/>
      <c r="TY49" s="345"/>
      <c r="TZ49" s="342"/>
      <c r="UA49" s="343"/>
      <c r="UB49" s="344"/>
      <c r="UC49" s="345"/>
      <c r="UD49" s="342"/>
      <c r="UE49" s="343"/>
      <c r="UF49" s="344"/>
      <c r="UG49" s="345"/>
      <c r="UH49" s="342"/>
      <c r="UI49" s="343"/>
      <c r="UJ49" s="344"/>
      <c r="UK49" s="345"/>
      <c r="UL49" s="342"/>
      <c r="UM49" s="343"/>
      <c r="UN49" s="344"/>
      <c r="UO49" s="345"/>
      <c r="UP49" s="342"/>
      <c r="UQ49" s="343"/>
      <c r="UR49" s="344"/>
      <c r="US49" s="345"/>
      <c r="UT49" s="342"/>
      <c r="UU49" s="343"/>
      <c r="UV49" s="344"/>
      <c r="UW49" s="345"/>
      <c r="UX49" s="342"/>
      <c r="UY49" s="343"/>
      <c r="UZ49" s="344"/>
      <c r="VA49" s="345"/>
      <c r="VB49" s="342"/>
      <c r="VC49" s="343"/>
      <c r="VD49" s="344"/>
      <c r="VE49" s="345"/>
      <c r="VF49" s="342"/>
      <c r="VG49" s="343"/>
      <c r="VH49" s="344"/>
      <c r="VI49" s="345"/>
      <c r="VJ49" s="342"/>
      <c r="VK49" s="343"/>
      <c r="VL49" s="344"/>
      <c r="VM49" s="345"/>
      <c r="VN49" s="342"/>
      <c r="VO49" s="343"/>
      <c r="VP49" s="344"/>
      <c r="VQ49" s="345"/>
      <c r="VR49" s="342"/>
      <c r="VS49" s="343"/>
      <c r="VT49" s="344"/>
      <c r="VU49" s="345"/>
      <c r="VV49" s="342"/>
      <c r="VW49" s="343"/>
      <c r="VX49" s="344"/>
      <c r="VY49" s="345"/>
      <c r="VZ49" s="342"/>
      <c r="WA49" s="343"/>
      <c r="WB49" s="344"/>
      <c r="WC49" s="345"/>
      <c r="WD49" s="342"/>
      <c r="WE49" s="343"/>
      <c r="WF49" s="344"/>
      <c r="WG49" s="345"/>
      <c r="WH49" s="342"/>
      <c r="WI49" s="343"/>
      <c r="WJ49" s="344"/>
      <c r="WK49" s="345"/>
      <c r="WL49" s="342"/>
      <c r="WM49" s="343"/>
      <c r="WN49" s="344"/>
      <c r="WO49" s="345"/>
      <c r="WP49" s="342"/>
      <c r="WQ49" s="343"/>
      <c r="WR49" s="344"/>
      <c r="WS49" s="345"/>
      <c r="WT49" s="342"/>
      <c r="WU49" s="343"/>
      <c r="WV49" s="344"/>
      <c r="WW49" s="345"/>
      <c r="WX49" s="342"/>
      <c r="WY49" s="343"/>
      <c r="WZ49" s="344"/>
      <c r="XA49" s="345"/>
      <c r="XB49" s="342"/>
      <c r="XC49" s="343"/>
      <c r="XD49" s="344"/>
      <c r="XE49" s="345"/>
      <c r="XF49" s="342"/>
      <c r="XG49" s="343"/>
      <c r="XH49" s="344"/>
      <c r="XI49" s="345"/>
      <c r="XJ49" s="342"/>
      <c r="XK49" s="343"/>
      <c r="XL49" s="344"/>
      <c r="XM49" s="345"/>
      <c r="XN49" s="342"/>
      <c r="XO49" s="343"/>
      <c r="XP49" s="344"/>
      <c r="XQ49" s="345"/>
      <c r="XR49" s="342"/>
      <c r="XS49" s="343"/>
      <c r="XT49" s="344"/>
      <c r="XU49" s="345"/>
      <c r="XV49" s="342"/>
      <c r="XW49" s="343"/>
      <c r="XX49" s="344"/>
      <c r="XY49" s="345"/>
      <c r="XZ49" s="342"/>
      <c r="YA49" s="343"/>
      <c r="YB49" s="344"/>
      <c r="YC49" s="345"/>
      <c r="YD49" s="342"/>
      <c r="YE49" s="343"/>
      <c r="YF49" s="344"/>
      <c r="YG49" s="345"/>
      <c r="YH49" s="342"/>
      <c r="YI49" s="343"/>
      <c r="YJ49" s="344"/>
      <c r="YK49" s="345"/>
      <c r="YL49" s="342"/>
      <c r="YM49" s="343"/>
      <c r="YN49" s="344"/>
      <c r="YO49" s="345"/>
      <c r="YP49" s="342"/>
      <c r="YQ49" s="343"/>
      <c r="YR49" s="344"/>
      <c r="YS49" s="345"/>
      <c r="YT49" s="342"/>
      <c r="YU49" s="343"/>
      <c r="YV49" s="344"/>
      <c r="YW49" s="345"/>
      <c r="YX49" s="342"/>
      <c r="YY49" s="343"/>
      <c r="YZ49" s="344"/>
      <c r="ZA49" s="345"/>
      <c r="ZB49" s="342"/>
      <c r="ZC49" s="343"/>
      <c r="ZD49" s="344"/>
      <c r="ZE49" s="345"/>
      <c r="ZF49" s="342"/>
      <c r="ZG49" s="343"/>
      <c r="ZH49" s="344"/>
      <c r="ZI49" s="345"/>
      <c r="ZJ49" s="342"/>
      <c r="ZK49" s="343"/>
      <c r="ZL49" s="344"/>
      <c r="ZM49" s="345"/>
      <c r="ZN49" s="342"/>
      <c r="ZO49" s="343"/>
      <c r="ZP49" s="344"/>
      <c r="ZQ49" s="345"/>
      <c r="ZR49" s="342"/>
      <c r="ZS49" s="343"/>
      <c r="ZT49" s="344"/>
      <c r="ZU49" s="345"/>
      <c r="ZV49" s="342"/>
      <c r="ZW49" s="343"/>
      <c r="ZX49" s="344"/>
      <c r="ZY49" s="345"/>
      <c r="ZZ49" s="342"/>
      <c r="AAA49" s="343"/>
      <c r="AAB49" s="344"/>
      <c r="AAC49" s="345"/>
      <c r="AAD49" s="342"/>
      <c r="AAE49" s="343"/>
      <c r="AAF49" s="344"/>
      <c r="AAG49" s="345"/>
      <c r="AAH49" s="342"/>
      <c r="AAI49" s="343"/>
      <c r="AAJ49" s="344"/>
      <c r="AAK49" s="345"/>
      <c r="AAL49" s="342"/>
      <c r="AAM49" s="343"/>
      <c r="AAN49" s="344"/>
      <c r="AAO49" s="345"/>
      <c r="AAP49" s="342"/>
      <c r="AAQ49" s="343"/>
      <c r="AAR49" s="344"/>
      <c r="AAS49" s="345"/>
      <c r="AAT49" s="342"/>
      <c r="AAU49" s="343"/>
      <c r="AAV49" s="344"/>
      <c r="AAW49" s="345"/>
      <c r="AAX49" s="342"/>
      <c r="AAY49" s="343"/>
      <c r="AAZ49" s="344"/>
      <c r="ABA49" s="345"/>
      <c r="ABB49" s="342"/>
      <c r="ABC49" s="343"/>
      <c r="ABD49" s="344"/>
      <c r="ABE49" s="345"/>
      <c r="ABF49" s="342"/>
      <c r="ABG49" s="343"/>
      <c r="ABH49" s="344"/>
      <c r="ABI49" s="345"/>
      <c r="ABJ49" s="342"/>
      <c r="ABK49" s="343"/>
      <c r="ABL49" s="344"/>
      <c r="ABM49" s="345"/>
      <c r="ABN49" s="342"/>
      <c r="ABO49" s="343"/>
      <c r="ABP49" s="344"/>
      <c r="ABQ49" s="345"/>
      <c r="ABR49" s="342"/>
      <c r="ABS49" s="343"/>
      <c r="ABT49" s="344"/>
      <c r="ABU49" s="345"/>
      <c r="ABV49" s="342"/>
      <c r="ABW49" s="343"/>
      <c r="ABX49" s="344"/>
      <c r="ABY49" s="345"/>
      <c r="ABZ49" s="342"/>
      <c r="ACA49" s="343"/>
      <c r="ACB49" s="344"/>
      <c r="ACC49" s="345"/>
      <c r="ACD49" s="342"/>
      <c r="ACE49" s="343"/>
      <c r="ACF49" s="344"/>
      <c r="ACG49" s="345"/>
      <c r="ACH49" s="342"/>
      <c r="ACI49" s="343"/>
      <c r="ACJ49" s="344"/>
      <c r="ACK49" s="345"/>
      <c r="ACL49" s="342"/>
      <c r="ACM49" s="343"/>
      <c r="ACN49" s="344"/>
      <c r="ACO49" s="345"/>
      <c r="ACP49" s="342"/>
      <c r="ACQ49" s="343"/>
      <c r="ACR49" s="344"/>
      <c r="ACS49" s="345"/>
      <c r="ACT49" s="342"/>
      <c r="ACU49" s="343"/>
      <c r="ACV49" s="344"/>
      <c r="ACW49" s="345"/>
      <c r="ACX49" s="342"/>
      <c r="ACY49" s="343"/>
      <c r="ACZ49" s="344"/>
      <c r="ADA49" s="345"/>
      <c r="ADB49" s="342"/>
      <c r="ADC49" s="343"/>
      <c r="ADD49" s="344"/>
      <c r="ADE49" s="345"/>
      <c r="ADF49" s="342"/>
      <c r="ADG49" s="343"/>
      <c r="ADH49" s="344"/>
      <c r="ADI49" s="345"/>
      <c r="ADJ49" s="342"/>
      <c r="ADK49" s="343"/>
      <c r="ADL49" s="344"/>
      <c r="ADM49" s="345"/>
      <c r="ADN49" s="342"/>
      <c r="ADO49" s="343"/>
      <c r="ADP49" s="344"/>
      <c r="ADQ49" s="345"/>
      <c r="ADR49" s="342"/>
      <c r="ADS49" s="343"/>
      <c r="ADT49" s="344"/>
      <c r="ADU49" s="345"/>
      <c r="ADV49" s="342"/>
      <c r="ADW49" s="343"/>
      <c r="ADX49" s="344"/>
      <c r="ADY49" s="345"/>
      <c r="ADZ49" s="342"/>
      <c r="AEA49" s="343"/>
      <c r="AEB49" s="344"/>
      <c r="AEC49" s="345"/>
      <c r="AED49" s="342"/>
      <c r="AEE49" s="343"/>
      <c r="AEF49" s="344"/>
      <c r="AEG49" s="345"/>
      <c r="AEH49" s="342"/>
      <c r="AEI49" s="343"/>
      <c r="AEJ49" s="344"/>
      <c r="AEK49" s="345"/>
      <c r="AEL49" s="342"/>
      <c r="AEM49" s="343"/>
      <c r="AEN49" s="344"/>
      <c r="AEO49" s="345"/>
      <c r="AEP49" s="342"/>
      <c r="AEQ49" s="343"/>
      <c r="AER49" s="344"/>
      <c r="AES49" s="345"/>
      <c r="AET49" s="342"/>
      <c r="AEU49" s="343"/>
      <c r="AEV49" s="344"/>
      <c r="AEW49" s="345"/>
      <c r="AEX49" s="342"/>
      <c r="AEY49" s="343"/>
      <c r="AEZ49" s="344"/>
      <c r="AFA49" s="345"/>
      <c r="AFB49" s="342"/>
      <c r="AFC49" s="343"/>
      <c r="AFD49" s="344"/>
      <c r="AFE49" s="345"/>
      <c r="AFF49" s="342"/>
      <c r="AFG49" s="343"/>
      <c r="AFH49" s="344"/>
      <c r="AFI49" s="345"/>
      <c r="AFJ49" s="342"/>
      <c r="AFK49" s="343"/>
      <c r="AFL49" s="344"/>
      <c r="AFM49" s="345"/>
      <c r="AFN49" s="342"/>
      <c r="AFO49" s="343"/>
      <c r="AFP49" s="344"/>
      <c r="AFQ49" s="345"/>
      <c r="AFR49" s="342"/>
      <c r="AFS49" s="343"/>
      <c r="AFT49" s="344"/>
      <c r="AFU49" s="345"/>
      <c r="AFV49" s="342"/>
      <c r="AFW49" s="343"/>
      <c r="AFX49" s="344"/>
      <c r="AFY49" s="345"/>
      <c r="AFZ49" s="342"/>
      <c r="AGA49" s="343"/>
      <c r="AGB49" s="344"/>
      <c r="AGC49" s="345"/>
      <c r="AGD49" s="342"/>
      <c r="AGE49" s="343"/>
      <c r="AGF49" s="344"/>
      <c r="AGG49" s="345"/>
      <c r="AGH49" s="342"/>
      <c r="AGI49" s="343"/>
      <c r="AGJ49" s="344"/>
      <c r="AGK49" s="345"/>
      <c r="AGL49" s="342"/>
      <c r="AGM49" s="343"/>
      <c r="AGN49" s="344"/>
      <c r="AGO49" s="345"/>
      <c r="AGP49" s="342"/>
      <c r="AGQ49" s="343"/>
      <c r="AGR49" s="344"/>
      <c r="AGS49" s="345"/>
      <c r="AGT49" s="342"/>
      <c r="AGU49" s="343"/>
      <c r="AGV49" s="344"/>
      <c r="AGW49" s="345"/>
      <c r="AGX49" s="342"/>
      <c r="AGY49" s="343"/>
      <c r="AGZ49" s="344"/>
      <c r="AHA49" s="345"/>
      <c r="AHB49" s="342"/>
      <c r="AHC49" s="343"/>
      <c r="AHD49" s="344"/>
      <c r="AHE49" s="345"/>
      <c r="AHF49" s="342"/>
      <c r="AHG49" s="343"/>
      <c r="AHH49" s="344"/>
      <c r="AHI49" s="345"/>
      <c r="AHJ49" s="342"/>
      <c r="AHK49" s="343"/>
      <c r="AHL49" s="344"/>
      <c r="AHM49" s="345"/>
      <c r="AHN49" s="342"/>
      <c r="AHO49" s="343"/>
      <c r="AHP49" s="344"/>
      <c r="AHQ49" s="345"/>
      <c r="AHR49" s="342"/>
      <c r="AHS49" s="343"/>
      <c r="AHT49" s="344"/>
      <c r="AHU49" s="345"/>
      <c r="AHV49" s="342"/>
      <c r="AHW49" s="343"/>
      <c r="AHX49" s="344"/>
      <c r="AHY49" s="345"/>
      <c r="AHZ49" s="342"/>
      <c r="AIA49" s="343"/>
      <c r="AIB49" s="344"/>
      <c r="AIC49" s="345"/>
      <c r="AID49" s="342"/>
      <c r="AIE49" s="343"/>
      <c r="AIF49" s="344"/>
      <c r="AIG49" s="345"/>
      <c r="AIH49" s="342"/>
      <c r="AII49" s="343"/>
      <c r="AIJ49" s="344"/>
      <c r="AIK49" s="345"/>
      <c r="AIL49" s="342"/>
      <c r="AIM49" s="343"/>
      <c r="AIN49" s="344"/>
      <c r="AIO49" s="345"/>
      <c r="AIP49" s="342"/>
      <c r="AIQ49" s="343"/>
      <c r="AIR49" s="344"/>
      <c r="AIS49" s="345"/>
      <c r="AIT49" s="342"/>
      <c r="AIU49" s="343"/>
      <c r="AIV49" s="344"/>
      <c r="AIW49" s="345"/>
      <c r="AIX49" s="342"/>
      <c r="AIY49" s="343"/>
      <c r="AIZ49" s="344"/>
      <c r="AJA49" s="345"/>
      <c r="AJB49" s="342"/>
      <c r="AJC49" s="343"/>
      <c r="AJD49" s="344"/>
      <c r="AJE49" s="345"/>
      <c r="AJF49" s="342"/>
      <c r="AJG49" s="343"/>
      <c r="AJH49" s="344"/>
      <c r="AJI49" s="345"/>
      <c r="AJJ49" s="342"/>
      <c r="AJK49" s="343"/>
      <c r="AJL49" s="344"/>
      <c r="AJM49" s="345"/>
      <c r="AJN49" s="342"/>
      <c r="AJO49" s="343"/>
      <c r="AJP49" s="344"/>
      <c r="AJQ49" s="345"/>
      <c r="AJR49" s="342"/>
      <c r="AJS49" s="343"/>
      <c r="AJT49" s="344"/>
      <c r="AJU49" s="345"/>
      <c r="AJV49" s="342"/>
      <c r="AJW49" s="343"/>
      <c r="AJX49" s="344"/>
      <c r="AJY49" s="345"/>
      <c r="AJZ49" s="342"/>
      <c r="AKA49" s="343"/>
      <c r="AKB49" s="344"/>
      <c r="AKC49" s="345"/>
      <c r="AKD49" s="342"/>
      <c r="AKE49" s="343"/>
      <c r="AKF49" s="344"/>
      <c r="AKG49" s="345"/>
      <c r="AKH49" s="342"/>
      <c r="AKI49" s="343"/>
      <c r="AKJ49" s="344"/>
      <c r="AKK49" s="345"/>
      <c r="AKL49" s="342"/>
      <c r="AKM49" s="343"/>
      <c r="AKN49" s="344"/>
      <c r="AKO49" s="345"/>
      <c r="AKP49" s="342"/>
      <c r="AKQ49" s="343"/>
      <c r="AKR49" s="344"/>
      <c r="AKS49" s="345"/>
      <c r="AKT49" s="342"/>
      <c r="AKU49" s="343"/>
      <c r="AKV49" s="344"/>
      <c r="AKW49" s="345"/>
      <c r="AKX49" s="342"/>
      <c r="AKY49" s="343"/>
      <c r="AKZ49" s="344"/>
      <c r="ALA49" s="345"/>
      <c r="ALB49" s="342"/>
      <c r="ALC49" s="343"/>
      <c r="ALD49" s="344"/>
      <c r="ALE49" s="345"/>
      <c r="ALF49" s="342"/>
      <c r="ALG49" s="343"/>
      <c r="ALH49" s="344"/>
      <c r="ALI49" s="345"/>
      <c r="ALJ49" s="342"/>
      <c r="ALK49" s="343"/>
      <c r="ALL49" s="344"/>
      <c r="ALM49" s="345"/>
      <c r="ALN49" s="342"/>
      <c r="ALO49" s="343"/>
      <c r="ALP49" s="344"/>
      <c r="ALQ49" s="345"/>
      <c r="ALR49" s="342"/>
      <c r="ALS49" s="343"/>
      <c r="ALT49" s="344"/>
      <c r="ALU49" s="345"/>
      <c r="ALV49" s="342"/>
      <c r="ALW49" s="343"/>
      <c r="ALX49" s="344"/>
      <c r="ALY49" s="345"/>
      <c r="ALZ49" s="342"/>
      <c r="AMA49" s="343"/>
      <c r="AMB49" s="344"/>
      <c r="AMC49" s="345"/>
      <c r="AMD49" s="342"/>
      <c r="AME49" s="343"/>
      <c r="AMF49" s="344"/>
      <c r="AMG49" s="345"/>
      <c r="AMH49" s="342"/>
      <c r="AMI49" s="343"/>
      <c r="AMJ49" s="344"/>
      <c r="AMK49" s="345"/>
      <c r="AML49" s="342"/>
      <c r="AMM49" s="343"/>
      <c r="AMN49" s="344"/>
      <c r="AMO49" s="345"/>
      <c r="AMP49" s="342"/>
      <c r="AMQ49" s="343"/>
      <c r="AMR49" s="344"/>
      <c r="AMS49" s="345"/>
      <c r="AMT49" s="342"/>
      <c r="AMU49" s="343"/>
      <c r="AMV49" s="344"/>
      <c r="AMW49" s="345"/>
      <c r="AMX49" s="342"/>
      <c r="AMY49" s="343"/>
      <c r="AMZ49" s="344"/>
      <c r="ANA49" s="345"/>
      <c r="ANB49" s="342"/>
      <c r="ANC49" s="343"/>
      <c r="AND49" s="344"/>
      <c r="ANE49" s="345"/>
      <c r="ANF49" s="342"/>
      <c r="ANG49" s="343"/>
      <c r="ANH49" s="344"/>
      <c r="ANI49" s="345"/>
      <c r="ANJ49" s="342"/>
      <c r="ANK49" s="343"/>
      <c r="ANL49" s="344"/>
      <c r="ANM49" s="345"/>
      <c r="ANN49" s="342"/>
      <c r="ANO49" s="343"/>
      <c r="ANP49" s="344"/>
      <c r="ANQ49" s="345"/>
      <c r="ANR49" s="342"/>
      <c r="ANS49" s="343"/>
      <c r="ANT49" s="344"/>
      <c r="ANU49" s="345"/>
      <c r="ANV49" s="342"/>
      <c r="ANW49" s="343"/>
      <c r="ANX49" s="344"/>
      <c r="ANY49" s="345"/>
      <c r="ANZ49" s="342"/>
      <c r="AOA49" s="343"/>
      <c r="AOB49" s="344"/>
      <c r="AOC49" s="345"/>
      <c r="AOD49" s="342"/>
      <c r="AOE49" s="343"/>
      <c r="AOF49" s="344"/>
      <c r="AOG49" s="345"/>
      <c r="AOH49" s="342"/>
      <c r="AOI49" s="343"/>
      <c r="AOJ49" s="344"/>
      <c r="AOK49" s="345"/>
      <c r="AOL49" s="342"/>
      <c r="AOM49" s="343"/>
      <c r="AON49" s="344"/>
      <c r="AOO49" s="345"/>
      <c r="AOP49" s="342"/>
      <c r="AOQ49" s="343"/>
      <c r="AOR49" s="344"/>
      <c r="AOS49" s="345"/>
      <c r="AOT49" s="342"/>
      <c r="AOU49" s="343"/>
      <c r="AOV49" s="344"/>
      <c r="AOW49" s="345"/>
      <c r="AOX49" s="342"/>
      <c r="AOY49" s="343"/>
      <c r="AOZ49" s="344"/>
      <c r="APA49" s="345"/>
      <c r="APB49" s="342"/>
      <c r="APC49" s="343"/>
      <c r="APD49" s="344"/>
      <c r="APE49" s="345"/>
      <c r="APF49" s="342"/>
      <c r="APG49" s="343"/>
      <c r="APH49" s="344"/>
      <c r="API49" s="345"/>
      <c r="APJ49" s="342"/>
      <c r="APK49" s="343"/>
      <c r="APL49" s="344"/>
      <c r="APM49" s="345"/>
      <c r="APN49" s="342"/>
      <c r="APO49" s="343"/>
      <c r="APP49" s="344"/>
      <c r="APQ49" s="345"/>
      <c r="APR49" s="342"/>
      <c r="APS49" s="343"/>
      <c r="APT49" s="344"/>
      <c r="APU49" s="345"/>
      <c r="APV49" s="342"/>
      <c r="APW49" s="343"/>
      <c r="APX49" s="344"/>
      <c r="APY49" s="345"/>
      <c r="APZ49" s="342"/>
      <c r="AQA49" s="343"/>
      <c r="AQB49" s="344"/>
      <c r="AQC49" s="345"/>
      <c r="AQD49" s="342"/>
      <c r="AQE49" s="343"/>
      <c r="AQF49" s="344"/>
      <c r="AQG49" s="345"/>
      <c r="AQH49" s="342"/>
      <c r="AQI49" s="343"/>
      <c r="AQJ49" s="344"/>
      <c r="AQK49" s="345"/>
      <c r="AQL49" s="342"/>
      <c r="AQM49" s="343"/>
      <c r="AQN49" s="344"/>
      <c r="AQO49" s="345"/>
      <c r="AQP49" s="342"/>
      <c r="AQQ49" s="343"/>
      <c r="AQR49" s="344"/>
      <c r="AQS49" s="345"/>
      <c r="AQT49" s="342"/>
      <c r="AQU49" s="343"/>
      <c r="AQV49" s="344"/>
      <c r="AQW49" s="345"/>
      <c r="AQX49" s="342"/>
      <c r="AQY49" s="343"/>
      <c r="AQZ49" s="344"/>
      <c r="ARA49" s="345"/>
      <c r="ARB49" s="342"/>
      <c r="ARC49" s="343"/>
      <c r="ARD49" s="344"/>
      <c r="ARE49" s="345"/>
      <c r="ARF49" s="342"/>
      <c r="ARG49" s="343"/>
      <c r="ARH49" s="344"/>
      <c r="ARI49" s="345"/>
      <c r="ARJ49" s="342"/>
      <c r="ARK49" s="343"/>
      <c r="ARL49" s="344"/>
      <c r="ARM49" s="345"/>
      <c r="ARN49" s="342"/>
      <c r="ARO49" s="343"/>
      <c r="ARP49" s="344"/>
      <c r="ARQ49" s="345"/>
      <c r="ARR49" s="342"/>
      <c r="ARS49" s="343"/>
      <c r="ART49" s="344"/>
      <c r="ARU49" s="345"/>
      <c r="ARV49" s="342"/>
      <c r="ARW49" s="343"/>
      <c r="ARX49" s="344"/>
      <c r="ARY49" s="345"/>
      <c r="ARZ49" s="342"/>
      <c r="ASA49" s="343"/>
      <c r="ASB49" s="344"/>
      <c r="ASC49" s="345"/>
      <c r="ASD49" s="342"/>
      <c r="ASE49" s="343"/>
      <c r="ASF49" s="344"/>
      <c r="ASG49" s="345"/>
      <c r="ASH49" s="342"/>
      <c r="ASI49" s="343"/>
      <c r="ASJ49" s="344"/>
      <c r="ASK49" s="345"/>
      <c r="ASL49" s="342"/>
      <c r="ASM49" s="343"/>
      <c r="ASN49" s="344"/>
      <c r="ASO49" s="345"/>
      <c r="ASP49" s="342"/>
      <c r="ASQ49" s="343"/>
      <c r="ASR49" s="344"/>
      <c r="ASS49" s="345"/>
      <c r="AST49" s="342"/>
      <c r="ASU49" s="343"/>
      <c r="ASV49" s="344"/>
      <c r="ASW49" s="345"/>
      <c r="ASX49" s="342"/>
      <c r="ASY49" s="343"/>
      <c r="ASZ49" s="344"/>
      <c r="ATA49" s="345"/>
      <c r="ATB49" s="342"/>
      <c r="ATC49" s="343"/>
      <c r="ATD49" s="344"/>
      <c r="ATE49" s="345"/>
      <c r="ATF49" s="342"/>
      <c r="ATG49" s="343"/>
      <c r="ATH49" s="344"/>
      <c r="ATI49" s="345"/>
      <c r="ATJ49" s="342"/>
      <c r="ATK49" s="343"/>
      <c r="ATL49" s="344"/>
      <c r="ATM49" s="345"/>
      <c r="ATN49" s="342"/>
      <c r="ATO49" s="343"/>
      <c r="ATP49" s="344"/>
      <c r="ATQ49" s="345"/>
      <c r="ATR49" s="342"/>
      <c r="ATS49" s="343"/>
      <c r="ATT49" s="344"/>
      <c r="ATU49" s="345"/>
      <c r="ATV49" s="342"/>
      <c r="ATW49" s="343"/>
      <c r="ATX49" s="344"/>
      <c r="ATY49" s="345"/>
      <c r="ATZ49" s="342"/>
      <c r="AUA49" s="343"/>
      <c r="AUB49" s="344"/>
      <c r="AUC49" s="345"/>
      <c r="AUD49" s="342"/>
      <c r="AUE49" s="343"/>
      <c r="AUF49" s="344"/>
      <c r="AUG49" s="345"/>
      <c r="AUH49" s="342"/>
      <c r="AUI49" s="343"/>
      <c r="AUJ49" s="344"/>
      <c r="AUK49" s="345"/>
      <c r="AUL49" s="342"/>
      <c r="AUM49" s="343"/>
      <c r="AUN49" s="344"/>
      <c r="AUO49" s="345"/>
      <c r="AUP49" s="342"/>
      <c r="AUQ49" s="343"/>
      <c r="AUR49" s="344"/>
      <c r="AUS49" s="345"/>
      <c r="AUT49" s="342"/>
      <c r="AUU49" s="343"/>
      <c r="AUV49" s="344"/>
      <c r="AUW49" s="345"/>
      <c r="AUX49" s="342"/>
      <c r="AUY49" s="343"/>
      <c r="AUZ49" s="344"/>
      <c r="AVA49" s="345"/>
      <c r="AVB49" s="342"/>
      <c r="AVC49" s="343"/>
      <c r="AVD49" s="344"/>
      <c r="AVE49" s="345"/>
      <c r="AVF49" s="342"/>
      <c r="AVG49" s="343"/>
      <c r="AVH49" s="344"/>
      <c r="AVI49" s="345"/>
      <c r="AVJ49" s="342"/>
      <c r="AVK49" s="343"/>
      <c r="AVL49" s="344"/>
      <c r="AVM49" s="345"/>
      <c r="AVN49" s="342"/>
      <c r="AVO49" s="343"/>
      <c r="AVP49" s="344"/>
      <c r="AVQ49" s="345"/>
      <c r="AVR49" s="342"/>
      <c r="AVS49" s="343"/>
      <c r="AVT49" s="344"/>
      <c r="AVU49" s="345"/>
      <c r="AVV49" s="342"/>
      <c r="AVW49" s="343"/>
      <c r="AVX49" s="344"/>
      <c r="AVY49" s="345"/>
      <c r="AVZ49" s="342"/>
      <c r="AWA49" s="343"/>
      <c r="AWB49" s="344"/>
      <c r="AWC49" s="345"/>
      <c r="AWD49" s="342"/>
      <c r="AWE49" s="343"/>
      <c r="AWF49" s="344"/>
      <c r="AWG49" s="345"/>
      <c r="AWH49" s="342"/>
      <c r="AWI49" s="343"/>
      <c r="AWJ49" s="344"/>
      <c r="AWK49" s="345"/>
      <c r="AWL49" s="342"/>
      <c r="AWM49" s="343"/>
      <c r="AWN49" s="344"/>
      <c r="AWO49" s="345"/>
      <c r="AWP49" s="342"/>
      <c r="AWQ49" s="343"/>
      <c r="AWR49" s="344"/>
      <c r="AWS49" s="345"/>
      <c r="AWT49" s="342"/>
      <c r="AWU49" s="343"/>
      <c r="AWV49" s="344"/>
      <c r="AWW49" s="345"/>
      <c r="AWX49" s="342"/>
      <c r="AWY49" s="343"/>
      <c r="AWZ49" s="344"/>
      <c r="AXA49" s="345"/>
      <c r="AXB49" s="342"/>
      <c r="AXC49" s="343"/>
      <c r="AXD49" s="344"/>
      <c r="AXE49" s="345"/>
      <c r="AXF49" s="342"/>
      <c r="AXG49" s="343"/>
      <c r="AXH49" s="344"/>
      <c r="AXI49" s="345"/>
      <c r="AXJ49" s="342"/>
      <c r="AXK49" s="343"/>
      <c r="AXL49" s="344"/>
      <c r="AXM49" s="345"/>
      <c r="AXN49" s="342"/>
      <c r="AXO49" s="343"/>
      <c r="AXP49" s="344"/>
      <c r="AXQ49" s="345"/>
      <c r="AXR49" s="342"/>
      <c r="AXS49" s="343"/>
      <c r="AXT49" s="344"/>
      <c r="AXU49" s="345"/>
      <c r="AXV49" s="342"/>
      <c r="AXW49" s="343"/>
      <c r="AXX49" s="344"/>
      <c r="AXY49" s="345"/>
      <c r="AXZ49" s="342"/>
      <c r="AYA49" s="343"/>
      <c r="AYB49" s="344"/>
      <c r="AYC49" s="345"/>
      <c r="AYD49" s="342"/>
      <c r="AYE49" s="343"/>
      <c r="AYF49" s="344"/>
      <c r="AYG49" s="345"/>
      <c r="AYH49" s="342"/>
      <c r="AYI49" s="343"/>
      <c r="AYJ49" s="344"/>
      <c r="AYK49" s="345"/>
      <c r="AYL49" s="342"/>
      <c r="AYM49" s="343"/>
      <c r="AYN49" s="344"/>
      <c r="AYO49" s="345"/>
      <c r="AYP49" s="342"/>
      <c r="AYQ49" s="343"/>
      <c r="AYR49" s="344"/>
      <c r="AYS49" s="345"/>
      <c r="AYT49" s="342"/>
      <c r="AYU49" s="343"/>
      <c r="AYV49" s="344"/>
      <c r="AYW49" s="345"/>
      <c r="AYX49" s="342"/>
      <c r="AYY49" s="343"/>
      <c r="AYZ49" s="344"/>
      <c r="AZA49" s="345"/>
      <c r="AZB49" s="342"/>
      <c r="AZC49" s="343"/>
      <c r="AZD49" s="344"/>
      <c r="AZE49" s="345"/>
      <c r="AZF49" s="342"/>
      <c r="AZG49" s="343"/>
      <c r="AZH49" s="344"/>
      <c r="AZI49" s="345"/>
      <c r="AZJ49" s="342"/>
      <c r="AZK49" s="343"/>
      <c r="AZL49" s="344"/>
      <c r="AZM49" s="345"/>
      <c r="AZN49" s="342"/>
      <c r="AZO49" s="343"/>
      <c r="AZP49" s="344"/>
      <c r="AZQ49" s="345"/>
      <c r="AZR49" s="342"/>
      <c r="AZS49" s="343"/>
      <c r="AZT49" s="344"/>
      <c r="AZU49" s="345"/>
      <c r="AZV49" s="342"/>
      <c r="AZW49" s="343"/>
      <c r="AZX49" s="344"/>
      <c r="AZY49" s="345"/>
      <c r="AZZ49" s="342"/>
      <c r="BAA49" s="343"/>
      <c r="BAB49" s="344"/>
      <c r="BAC49" s="345"/>
      <c r="BAD49" s="342"/>
      <c r="BAE49" s="343"/>
      <c r="BAF49" s="344"/>
      <c r="BAG49" s="345"/>
      <c r="BAH49" s="342"/>
      <c r="BAI49" s="343"/>
      <c r="BAJ49" s="344"/>
      <c r="BAK49" s="345"/>
      <c r="BAL49" s="342"/>
      <c r="BAM49" s="343"/>
      <c r="BAN49" s="344"/>
      <c r="BAO49" s="345"/>
      <c r="BAP49" s="342"/>
      <c r="BAQ49" s="343"/>
      <c r="BAR49" s="344"/>
      <c r="BAS49" s="345"/>
      <c r="BAT49" s="342"/>
      <c r="BAU49" s="343"/>
      <c r="BAV49" s="344"/>
      <c r="BAW49" s="345"/>
      <c r="BAX49" s="342"/>
      <c r="BAY49" s="343"/>
      <c r="BAZ49" s="344"/>
      <c r="BBA49" s="345"/>
      <c r="BBB49" s="342"/>
      <c r="BBC49" s="343"/>
      <c r="BBD49" s="344"/>
      <c r="BBE49" s="345"/>
      <c r="BBF49" s="342"/>
      <c r="BBG49" s="343"/>
      <c r="BBH49" s="344"/>
      <c r="BBI49" s="345"/>
      <c r="BBJ49" s="342"/>
      <c r="BBK49" s="343"/>
      <c r="BBL49" s="344"/>
      <c r="BBM49" s="345"/>
      <c r="BBN49" s="342"/>
      <c r="BBO49" s="343"/>
      <c r="BBP49" s="344"/>
      <c r="BBQ49" s="345"/>
      <c r="BBR49" s="342"/>
      <c r="BBS49" s="343"/>
      <c r="BBT49" s="344"/>
      <c r="BBU49" s="345"/>
      <c r="BBV49" s="342"/>
      <c r="BBW49" s="343"/>
      <c r="BBX49" s="344"/>
      <c r="BBY49" s="345"/>
      <c r="BBZ49" s="342"/>
      <c r="BCA49" s="343"/>
      <c r="BCB49" s="344"/>
      <c r="BCC49" s="345"/>
      <c r="BCD49" s="342"/>
      <c r="BCE49" s="343"/>
      <c r="BCF49" s="344"/>
      <c r="BCG49" s="345"/>
      <c r="BCH49" s="342"/>
      <c r="BCI49" s="343"/>
      <c r="BCJ49" s="344"/>
      <c r="BCK49" s="345"/>
      <c r="BCL49" s="342"/>
      <c r="BCM49" s="343"/>
      <c r="BCN49" s="344"/>
      <c r="BCO49" s="345"/>
      <c r="BCP49" s="342"/>
      <c r="BCQ49" s="343"/>
      <c r="BCR49" s="344"/>
      <c r="BCS49" s="345"/>
      <c r="BCT49" s="342"/>
      <c r="BCU49" s="343"/>
      <c r="BCV49" s="344"/>
      <c r="BCW49" s="345"/>
      <c r="BCX49" s="342"/>
      <c r="BCY49" s="343"/>
      <c r="BCZ49" s="344"/>
      <c r="BDA49" s="345"/>
      <c r="BDB49" s="342"/>
      <c r="BDC49" s="343"/>
      <c r="BDD49" s="344"/>
      <c r="BDE49" s="345"/>
      <c r="BDF49" s="342"/>
      <c r="BDG49" s="343"/>
      <c r="BDH49" s="344"/>
      <c r="BDI49" s="345"/>
      <c r="BDJ49" s="342"/>
      <c r="BDK49" s="343"/>
      <c r="BDL49" s="344"/>
      <c r="BDM49" s="345"/>
      <c r="BDN49" s="342"/>
      <c r="BDO49" s="343"/>
      <c r="BDP49" s="344"/>
      <c r="BDQ49" s="345"/>
      <c r="BDR49" s="342"/>
      <c r="BDS49" s="343"/>
      <c r="BDT49" s="344"/>
      <c r="BDU49" s="345"/>
      <c r="BDV49" s="342"/>
      <c r="BDW49" s="343"/>
      <c r="BDX49" s="344"/>
      <c r="BDY49" s="345"/>
      <c r="BDZ49" s="342"/>
      <c r="BEA49" s="343"/>
      <c r="BEB49" s="344"/>
      <c r="BEC49" s="345"/>
      <c r="BED49" s="342"/>
      <c r="BEE49" s="343"/>
      <c r="BEF49" s="344"/>
      <c r="BEG49" s="345"/>
      <c r="BEH49" s="342"/>
      <c r="BEI49" s="343"/>
      <c r="BEJ49" s="344"/>
      <c r="BEK49" s="345"/>
      <c r="BEL49" s="342"/>
      <c r="BEM49" s="343"/>
      <c r="BEN49" s="344"/>
      <c r="BEO49" s="345"/>
      <c r="BEP49" s="342"/>
      <c r="BEQ49" s="343"/>
      <c r="BER49" s="344"/>
      <c r="BES49" s="345"/>
      <c r="BET49" s="342"/>
      <c r="BEU49" s="343"/>
      <c r="BEV49" s="344"/>
      <c r="BEW49" s="345"/>
      <c r="BEX49" s="342"/>
      <c r="BEY49" s="343"/>
      <c r="BEZ49" s="344"/>
      <c r="BFA49" s="345"/>
      <c r="BFB49" s="342"/>
      <c r="BFC49" s="343"/>
      <c r="BFD49" s="344"/>
      <c r="BFE49" s="345"/>
      <c r="BFF49" s="342"/>
      <c r="BFG49" s="343"/>
      <c r="BFH49" s="344"/>
      <c r="BFI49" s="345"/>
      <c r="BFJ49" s="342"/>
      <c r="BFK49" s="343"/>
      <c r="BFL49" s="344"/>
      <c r="BFM49" s="345"/>
      <c r="BFN49" s="342"/>
      <c r="BFO49" s="343"/>
      <c r="BFP49" s="344"/>
      <c r="BFQ49" s="345"/>
      <c r="BFR49" s="342"/>
      <c r="BFS49" s="343"/>
      <c r="BFT49" s="344"/>
      <c r="BFU49" s="345"/>
      <c r="BFV49" s="342"/>
      <c r="BFW49" s="343"/>
      <c r="BFX49" s="344"/>
      <c r="BFY49" s="345"/>
      <c r="BFZ49" s="342"/>
      <c r="BGA49" s="343"/>
      <c r="BGB49" s="344"/>
      <c r="BGC49" s="345"/>
      <c r="BGD49" s="342"/>
      <c r="BGE49" s="343"/>
      <c r="BGF49" s="344"/>
      <c r="BGG49" s="345"/>
      <c r="BGH49" s="342"/>
      <c r="BGI49" s="343"/>
      <c r="BGJ49" s="344"/>
      <c r="BGK49" s="345"/>
      <c r="BGL49" s="342"/>
      <c r="BGM49" s="343"/>
      <c r="BGN49" s="344"/>
      <c r="BGO49" s="345"/>
      <c r="BGP49" s="342"/>
      <c r="BGQ49" s="343"/>
      <c r="BGR49" s="344"/>
      <c r="BGS49" s="345"/>
      <c r="BGT49" s="342"/>
      <c r="BGU49" s="343"/>
      <c r="BGV49" s="344"/>
      <c r="BGW49" s="345"/>
      <c r="BGX49" s="342"/>
      <c r="BGY49" s="343"/>
      <c r="BGZ49" s="344"/>
      <c r="BHA49" s="345"/>
      <c r="BHB49" s="342"/>
      <c r="BHC49" s="343"/>
      <c r="BHD49" s="344"/>
      <c r="BHE49" s="345"/>
      <c r="BHF49" s="342"/>
      <c r="BHG49" s="343"/>
      <c r="BHH49" s="344"/>
      <c r="BHI49" s="345"/>
      <c r="BHJ49" s="342"/>
      <c r="BHK49" s="343"/>
      <c r="BHL49" s="344"/>
      <c r="BHM49" s="345"/>
      <c r="BHN49" s="342"/>
      <c r="BHO49" s="343"/>
      <c r="BHP49" s="344"/>
      <c r="BHQ49" s="345"/>
      <c r="BHR49" s="342"/>
      <c r="BHS49" s="343"/>
      <c r="BHT49" s="344"/>
      <c r="BHU49" s="345"/>
      <c r="BHV49" s="342"/>
      <c r="BHW49" s="343"/>
      <c r="BHX49" s="344"/>
      <c r="BHY49" s="345"/>
      <c r="BHZ49" s="342"/>
      <c r="BIA49" s="343"/>
      <c r="BIB49" s="344"/>
      <c r="BIC49" s="345"/>
      <c r="BID49" s="342"/>
      <c r="BIE49" s="343"/>
      <c r="BIF49" s="344"/>
      <c r="BIG49" s="345"/>
      <c r="BIH49" s="342"/>
      <c r="BII49" s="343"/>
      <c r="BIJ49" s="344"/>
      <c r="BIK49" s="345"/>
      <c r="BIL49" s="342"/>
      <c r="BIM49" s="343"/>
      <c r="BIN49" s="344"/>
      <c r="BIO49" s="345"/>
      <c r="BIP49" s="342"/>
      <c r="BIQ49" s="343"/>
      <c r="BIR49" s="344"/>
      <c r="BIS49" s="345"/>
      <c r="BIT49" s="342"/>
      <c r="BIU49" s="343"/>
      <c r="BIV49" s="344"/>
      <c r="BIW49" s="345"/>
      <c r="BIX49" s="342"/>
      <c r="BIY49" s="343"/>
      <c r="BIZ49" s="344"/>
      <c r="BJA49" s="345"/>
      <c r="BJB49" s="342"/>
      <c r="BJC49" s="343"/>
      <c r="BJD49" s="344"/>
      <c r="BJE49" s="345"/>
      <c r="BJF49" s="342"/>
      <c r="BJG49" s="343"/>
      <c r="BJH49" s="344"/>
      <c r="BJI49" s="345"/>
      <c r="BJJ49" s="342"/>
      <c r="BJK49" s="343"/>
      <c r="BJL49" s="344"/>
      <c r="BJM49" s="345"/>
      <c r="BJN49" s="342"/>
      <c r="BJO49" s="343"/>
      <c r="BJP49" s="344"/>
      <c r="BJQ49" s="345"/>
      <c r="BJR49" s="342"/>
      <c r="BJS49" s="343"/>
      <c r="BJT49" s="344"/>
      <c r="BJU49" s="345"/>
      <c r="BJV49" s="342"/>
      <c r="BJW49" s="343"/>
      <c r="BJX49" s="344"/>
      <c r="BJY49" s="345"/>
      <c r="BJZ49" s="342"/>
      <c r="BKA49" s="343"/>
      <c r="BKB49" s="344"/>
      <c r="BKC49" s="345"/>
      <c r="BKD49" s="342"/>
      <c r="BKE49" s="343"/>
      <c r="BKF49" s="344"/>
      <c r="BKG49" s="345"/>
      <c r="BKH49" s="342"/>
      <c r="BKI49" s="343"/>
      <c r="BKJ49" s="344"/>
      <c r="BKK49" s="345"/>
      <c r="BKL49" s="342"/>
      <c r="BKM49" s="343"/>
      <c r="BKN49" s="344"/>
      <c r="BKO49" s="345"/>
      <c r="BKP49" s="342"/>
      <c r="BKQ49" s="343"/>
      <c r="BKR49" s="344"/>
      <c r="BKS49" s="345"/>
      <c r="BKT49" s="342"/>
      <c r="BKU49" s="343"/>
      <c r="BKV49" s="344"/>
      <c r="BKW49" s="345"/>
      <c r="BKX49" s="342"/>
      <c r="BKY49" s="343"/>
      <c r="BKZ49" s="344"/>
      <c r="BLA49" s="345"/>
      <c r="BLB49" s="342"/>
      <c r="BLC49" s="343"/>
      <c r="BLD49" s="344"/>
      <c r="BLE49" s="345"/>
      <c r="BLF49" s="342"/>
      <c r="BLG49" s="343"/>
      <c r="BLH49" s="344"/>
      <c r="BLI49" s="345"/>
      <c r="BLJ49" s="342"/>
      <c r="BLK49" s="343"/>
      <c r="BLL49" s="344"/>
      <c r="BLM49" s="345"/>
      <c r="BLN49" s="342"/>
      <c r="BLO49" s="343"/>
      <c r="BLP49" s="344"/>
      <c r="BLQ49" s="345"/>
      <c r="BLR49" s="342"/>
      <c r="BLS49" s="343"/>
      <c r="BLT49" s="344"/>
      <c r="BLU49" s="345"/>
      <c r="BLV49" s="342"/>
      <c r="BLW49" s="343"/>
      <c r="BLX49" s="344"/>
      <c r="BLY49" s="345"/>
      <c r="BLZ49" s="342"/>
      <c r="BMA49" s="343"/>
      <c r="BMB49" s="344"/>
      <c r="BMC49" s="345"/>
      <c r="BMD49" s="342"/>
      <c r="BME49" s="343"/>
      <c r="BMF49" s="344"/>
      <c r="BMG49" s="345"/>
      <c r="BMH49" s="342"/>
      <c r="BMI49" s="343"/>
      <c r="BMJ49" s="344"/>
      <c r="BMK49" s="345"/>
      <c r="BML49" s="342"/>
      <c r="BMM49" s="343"/>
      <c r="BMN49" s="344"/>
      <c r="BMO49" s="345"/>
      <c r="BMP49" s="342"/>
      <c r="BMQ49" s="343"/>
      <c r="BMR49" s="344"/>
      <c r="BMS49" s="345"/>
      <c r="BMT49" s="342"/>
      <c r="BMU49" s="343"/>
      <c r="BMV49" s="344"/>
      <c r="BMW49" s="345"/>
      <c r="BMX49" s="342"/>
      <c r="BMY49" s="343"/>
      <c r="BMZ49" s="344"/>
      <c r="BNA49" s="345"/>
      <c r="BNB49" s="342"/>
      <c r="BNC49" s="343"/>
      <c r="BND49" s="344"/>
      <c r="BNE49" s="345"/>
      <c r="BNF49" s="342"/>
      <c r="BNG49" s="343"/>
      <c r="BNH49" s="344"/>
      <c r="BNI49" s="345"/>
      <c r="BNJ49" s="342"/>
      <c r="BNK49" s="343"/>
      <c r="BNL49" s="344"/>
      <c r="BNM49" s="345"/>
      <c r="BNN49" s="342"/>
      <c r="BNO49" s="343"/>
      <c r="BNP49" s="344"/>
      <c r="BNQ49" s="345"/>
      <c r="BNR49" s="342"/>
      <c r="BNS49" s="343"/>
      <c r="BNT49" s="344"/>
      <c r="BNU49" s="345"/>
      <c r="BNV49" s="342"/>
      <c r="BNW49" s="343"/>
      <c r="BNX49" s="344"/>
      <c r="BNY49" s="345"/>
      <c r="BNZ49" s="342"/>
      <c r="BOA49" s="343"/>
      <c r="BOB49" s="344"/>
      <c r="BOC49" s="345"/>
      <c r="BOD49" s="342"/>
      <c r="BOE49" s="343"/>
      <c r="BOF49" s="344"/>
      <c r="BOG49" s="345"/>
      <c r="BOH49" s="342"/>
      <c r="BOI49" s="343"/>
      <c r="BOJ49" s="344"/>
      <c r="BOK49" s="345"/>
      <c r="BOL49" s="342"/>
      <c r="BOM49" s="343"/>
      <c r="BON49" s="344"/>
      <c r="BOO49" s="345"/>
      <c r="BOP49" s="342"/>
      <c r="BOQ49" s="343"/>
      <c r="BOR49" s="344"/>
      <c r="BOS49" s="345"/>
      <c r="BOT49" s="342"/>
      <c r="BOU49" s="343"/>
      <c r="BOV49" s="344"/>
      <c r="BOW49" s="345"/>
      <c r="BOX49" s="342"/>
      <c r="BOY49" s="343"/>
      <c r="BOZ49" s="344"/>
      <c r="BPA49" s="345"/>
      <c r="BPB49" s="342"/>
      <c r="BPC49" s="343"/>
      <c r="BPD49" s="344"/>
      <c r="BPE49" s="345"/>
      <c r="BPF49" s="342"/>
      <c r="BPG49" s="343"/>
      <c r="BPH49" s="344"/>
      <c r="BPI49" s="345"/>
      <c r="BPJ49" s="342"/>
      <c r="BPK49" s="343"/>
      <c r="BPL49" s="344"/>
      <c r="BPM49" s="345"/>
      <c r="BPN49" s="342"/>
      <c r="BPO49" s="343"/>
      <c r="BPP49" s="344"/>
      <c r="BPQ49" s="345"/>
      <c r="BPR49" s="342"/>
      <c r="BPS49" s="343"/>
      <c r="BPT49" s="344"/>
      <c r="BPU49" s="345"/>
      <c r="BPV49" s="342"/>
      <c r="BPW49" s="343"/>
      <c r="BPX49" s="344"/>
      <c r="BPY49" s="345"/>
      <c r="BPZ49" s="342"/>
      <c r="BQA49" s="343"/>
      <c r="BQB49" s="344"/>
      <c r="BQC49" s="345"/>
      <c r="BQD49" s="342"/>
      <c r="BQE49" s="343"/>
      <c r="BQF49" s="344"/>
      <c r="BQG49" s="345"/>
      <c r="BQH49" s="342"/>
      <c r="BQI49" s="343"/>
      <c r="BQJ49" s="344"/>
      <c r="BQK49" s="345"/>
      <c r="BQL49" s="342"/>
      <c r="BQM49" s="343"/>
      <c r="BQN49" s="344"/>
      <c r="BQO49" s="345"/>
      <c r="BQP49" s="342"/>
      <c r="BQQ49" s="343"/>
      <c r="BQR49" s="344"/>
      <c r="BQS49" s="345"/>
      <c r="BQT49" s="342"/>
      <c r="BQU49" s="343"/>
      <c r="BQV49" s="344"/>
      <c r="BQW49" s="345"/>
      <c r="BQX49" s="342"/>
      <c r="BQY49" s="343"/>
      <c r="BQZ49" s="344"/>
      <c r="BRA49" s="345"/>
      <c r="BRB49" s="342"/>
      <c r="BRC49" s="343"/>
      <c r="BRD49" s="344"/>
      <c r="BRE49" s="345"/>
      <c r="BRF49" s="342"/>
      <c r="BRG49" s="343"/>
      <c r="BRH49" s="344"/>
      <c r="BRI49" s="345"/>
      <c r="BRJ49" s="342"/>
      <c r="BRK49" s="343"/>
      <c r="BRL49" s="344"/>
      <c r="BRM49" s="345"/>
      <c r="BRN49" s="342"/>
      <c r="BRO49" s="343"/>
      <c r="BRP49" s="344"/>
      <c r="BRQ49" s="345"/>
      <c r="BRR49" s="342"/>
      <c r="BRS49" s="343"/>
      <c r="BRT49" s="344"/>
      <c r="BRU49" s="345"/>
      <c r="BRV49" s="342"/>
      <c r="BRW49" s="343"/>
      <c r="BRX49" s="344"/>
      <c r="BRY49" s="345"/>
      <c r="BRZ49" s="342"/>
      <c r="BSA49" s="343"/>
      <c r="BSB49" s="344"/>
      <c r="BSC49" s="345"/>
      <c r="BSD49" s="342"/>
      <c r="BSE49" s="343"/>
      <c r="BSF49" s="344"/>
      <c r="BSG49" s="345"/>
      <c r="BSH49" s="342"/>
      <c r="BSI49" s="343"/>
      <c r="BSJ49" s="344"/>
      <c r="BSK49" s="345"/>
      <c r="BSL49" s="342"/>
      <c r="BSM49" s="343"/>
      <c r="BSN49" s="344"/>
      <c r="BSO49" s="345"/>
      <c r="BSP49" s="342"/>
      <c r="BSQ49" s="343"/>
      <c r="BSR49" s="344"/>
      <c r="BSS49" s="345"/>
      <c r="BST49" s="342"/>
      <c r="BSU49" s="343"/>
      <c r="BSV49" s="344"/>
      <c r="BSW49" s="345"/>
      <c r="BSX49" s="342"/>
      <c r="BSY49" s="343"/>
      <c r="BSZ49" s="344"/>
      <c r="BTA49" s="345"/>
      <c r="BTB49" s="342"/>
      <c r="BTC49" s="343"/>
      <c r="BTD49" s="344"/>
      <c r="BTE49" s="345"/>
      <c r="BTF49" s="342"/>
      <c r="BTG49" s="343"/>
      <c r="BTH49" s="344"/>
      <c r="BTI49" s="345"/>
      <c r="BTJ49" s="342"/>
      <c r="BTK49" s="343"/>
      <c r="BTL49" s="344"/>
      <c r="BTM49" s="345"/>
      <c r="BTN49" s="342"/>
      <c r="BTO49" s="343"/>
      <c r="BTP49" s="344"/>
      <c r="BTQ49" s="345"/>
      <c r="BTR49" s="342"/>
      <c r="BTS49" s="343"/>
      <c r="BTT49" s="344"/>
      <c r="BTU49" s="345"/>
      <c r="BTV49" s="342"/>
      <c r="BTW49" s="343"/>
      <c r="BTX49" s="344"/>
      <c r="BTY49" s="345"/>
      <c r="BTZ49" s="342"/>
      <c r="BUA49" s="343"/>
      <c r="BUB49" s="344"/>
      <c r="BUC49" s="345"/>
      <c r="BUD49" s="342"/>
      <c r="BUE49" s="343"/>
      <c r="BUF49" s="344"/>
      <c r="BUG49" s="345"/>
      <c r="BUH49" s="342"/>
      <c r="BUI49" s="343"/>
      <c r="BUJ49" s="344"/>
      <c r="BUK49" s="345"/>
      <c r="BUL49" s="342"/>
      <c r="BUM49" s="343"/>
      <c r="BUN49" s="344"/>
      <c r="BUO49" s="345"/>
      <c r="BUP49" s="342"/>
      <c r="BUQ49" s="343"/>
      <c r="BUR49" s="344"/>
      <c r="BUS49" s="345"/>
      <c r="BUT49" s="342"/>
      <c r="BUU49" s="343"/>
      <c r="BUV49" s="344"/>
      <c r="BUW49" s="345"/>
      <c r="BUX49" s="342"/>
      <c r="BUY49" s="343"/>
      <c r="BUZ49" s="344"/>
      <c r="BVA49" s="345"/>
      <c r="BVB49" s="342"/>
      <c r="BVC49" s="343"/>
      <c r="BVD49" s="344"/>
      <c r="BVE49" s="345"/>
      <c r="BVF49" s="342"/>
      <c r="BVG49" s="343"/>
      <c r="BVH49" s="344"/>
      <c r="BVI49" s="345"/>
      <c r="BVJ49" s="342"/>
      <c r="BVK49" s="343"/>
      <c r="BVL49" s="344"/>
      <c r="BVM49" s="345"/>
      <c r="BVN49" s="342"/>
      <c r="BVO49" s="343"/>
      <c r="BVP49" s="344"/>
      <c r="BVQ49" s="345"/>
      <c r="BVR49" s="342"/>
      <c r="BVS49" s="343"/>
      <c r="BVT49" s="344"/>
      <c r="BVU49" s="345"/>
      <c r="BVV49" s="342"/>
      <c r="BVW49" s="343"/>
      <c r="BVX49" s="344"/>
      <c r="BVY49" s="345"/>
      <c r="BVZ49" s="342"/>
      <c r="BWA49" s="343"/>
      <c r="BWB49" s="344"/>
      <c r="BWC49" s="345"/>
      <c r="BWD49" s="342"/>
      <c r="BWE49" s="343"/>
      <c r="BWF49" s="344"/>
      <c r="BWG49" s="345"/>
      <c r="BWH49" s="342"/>
      <c r="BWI49" s="343"/>
      <c r="BWJ49" s="344"/>
      <c r="BWK49" s="345"/>
      <c r="BWL49" s="342"/>
      <c r="BWM49" s="343"/>
      <c r="BWN49" s="344"/>
      <c r="BWO49" s="345"/>
      <c r="BWP49" s="342"/>
      <c r="BWQ49" s="343"/>
      <c r="BWR49" s="344"/>
      <c r="BWS49" s="345"/>
      <c r="BWT49" s="342"/>
      <c r="BWU49" s="343"/>
      <c r="BWV49" s="344"/>
      <c r="BWW49" s="345"/>
      <c r="BWX49" s="342"/>
      <c r="BWY49" s="343"/>
      <c r="BWZ49" s="344"/>
      <c r="BXA49" s="345"/>
      <c r="BXB49" s="342"/>
      <c r="BXC49" s="343"/>
      <c r="BXD49" s="344"/>
      <c r="BXE49" s="345"/>
      <c r="BXF49" s="342"/>
      <c r="BXG49" s="343"/>
      <c r="BXH49" s="344"/>
      <c r="BXI49" s="345"/>
      <c r="BXJ49" s="342"/>
      <c r="BXK49" s="343"/>
      <c r="BXL49" s="344"/>
      <c r="BXM49" s="345"/>
      <c r="BXN49" s="342"/>
      <c r="BXO49" s="343"/>
      <c r="BXP49" s="344"/>
      <c r="BXQ49" s="345"/>
      <c r="BXR49" s="342"/>
      <c r="BXS49" s="343"/>
      <c r="BXT49" s="344"/>
      <c r="BXU49" s="345"/>
      <c r="BXV49" s="342"/>
      <c r="BXW49" s="343"/>
      <c r="BXX49" s="344"/>
      <c r="BXY49" s="345"/>
      <c r="BXZ49" s="342"/>
      <c r="BYA49" s="343"/>
      <c r="BYB49" s="344"/>
      <c r="BYC49" s="345"/>
      <c r="BYD49" s="342"/>
      <c r="BYE49" s="343"/>
      <c r="BYF49" s="344"/>
      <c r="BYG49" s="345"/>
      <c r="BYH49" s="342"/>
      <c r="BYI49" s="343"/>
      <c r="BYJ49" s="344"/>
      <c r="BYK49" s="345"/>
      <c r="BYL49" s="342"/>
      <c r="BYM49" s="343"/>
      <c r="BYN49" s="344"/>
      <c r="BYO49" s="345"/>
      <c r="BYP49" s="342"/>
      <c r="BYQ49" s="343"/>
      <c r="BYR49" s="344"/>
      <c r="BYS49" s="345"/>
      <c r="BYT49" s="342"/>
      <c r="BYU49" s="343"/>
      <c r="BYV49" s="344"/>
      <c r="BYW49" s="345"/>
      <c r="BYX49" s="342"/>
      <c r="BYY49" s="343"/>
      <c r="BYZ49" s="344"/>
      <c r="BZA49" s="345"/>
      <c r="BZB49" s="342"/>
      <c r="BZC49" s="343"/>
      <c r="BZD49" s="344"/>
      <c r="BZE49" s="345"/>
      <c r="BZF49" s="342"/>
      <c r="BZG49" s="343"/>
      <c r="BZH49" s="344"/>
      <c r="BZI49" s="345"/>
      <c r="BZJ49" s="342"/>
      <c r="BZK49" s="343"/>
      <c r="BZL49" s="344"/>
      <c r="BZM49" s="345"/>
      <c r="BZN49" s="342"/>
      <c r="BZO49" s="343"/>
      <c r="BZP49" s="344"/>
      <c r="BZQ49" s="345"/>
      <c r="BZR49" s="342"/>
      <c r="BZS49" s="343"/>
      <c r="BZT49" s="344"/>
      <c r="BZU49" s="345"/>
      <c r="BZV49" s="342"/>
      <c r="BZW49" s="343"/>
      <c r="BZX49" s="344"/>
      <c r="BZY49" s="345"/>
      <c r="BZZ49" s="342"/>
      <c r="CAA49" s="343"/>
      <c r="CAB49" s="344"/>
      <c r="CAC49" s="345"/>
      <c r="CAD49" s="342"/>
      <c r="CAE49" s="343"/>
      <c r="CAF49" s="344"/>
      <c r="CAG49" s="345"/>
      <c r="CAH49" s="342"/>
      <c r="CAI49" s="343"/>
      <c r="CAJ49" s="344"/>
      <c r="CAK49" s="345"/>
      <c r="CAL49" s="342"/>
      <c r="CAM49" s="343"/>
      <c r="CAN49" s="344"/>
      <c r="CAO49" s="345"/>
      <c r="CAP49" s="342"/>
      <c r="CAQ49" s="343"/>
      <c r="CAR49" s="344"/>
      <c r="CAS49" s="345"/>
      <c r="CAT49" s="342"/>
      <c r="CAU49" s="343"/>
      <c r="CAV49" s="344"/>
      <c r="CAW49" s="345"/>
      <c r="CAX49" s="342"/>
      <c r="CAY49" s="343"/>
      <c r="CAZ49" s="344"/>
      <c r="CBA49" s="345"/>
      <c r="CBB49" s="342"/>
      <c r="CBC49" s="343"/>
      <c r="CBD49" s="344"/>
      <c r="CBE49" s="345"/>
      <c r="CBF49" s="342"/>
      <c r="CBG49" s="343"/>
      <c r="CBH49" s="344"/>
      <c r="CBI49" s="345"/>
      <c r="CBJ49" s="342"/>
      <c r="CBK49" s="343"/>
      <c r="CBL49" s="344"/>
      <c r="CBM49" s="345"/>
      <c r="CBN49" s="342"/>
      <c r="CBO49" s="343"/>
      <c r="CBP49" s="344"/>
      <c r="CBQ49" s="345"/>
      <c r="CBR49" s="342"/>
      <c r="CBS49" s="343"/>
      <c r="CBT49" s="344"/>
      <c r="CBU49" s="345"/>
      <c r="CBV49" s="342"/>
      <c r="CBW49" s="343"/>
      <c r="CBX49" s="344"/>
      <c r="CBY49" s="345"/>
      <c r="CBZ49" s="342"/>
      <c r="CCA49" s="343"/>
      <c r="CCB49" s="344"/>
      <c r="CCC49" s="345"/>
      <c r="CCD49" s="342"/>
      <c r="CCE49" s="343"/>
      <c r="CCF49" s="344"/>
      <c r="CCG49" s="345"/>
      <c r="CCH49" s="342"/>
      <c r="CCI49" s="343"/>
      <c r="CCJ49" s="344"/>
      <c r="CCK49" s="345"/>
      <c r="CCL49" s="342"/>
      <c r="CCM49" s="343"/>
      <c r="CCN49" s="344"/>
      <c r="CCO49" s="345"/>
      <c r="CCP49" s="342"/>
      <c r="CCQ49" s="343"/>
      <c r="CCR49" s="344"/>
      <c r="CCS49" s="345"/>
      <c r="CCT49" s="342"/>
      <c r="CCU49" s="343"/>
      <c r="CCV49" s="344"/>
      <c r="CCW49" s="345"/>
      <c r="CCX49" s="342"/>
      <c r="CCY49" s="343"/>
      <c r="CCZ49" s="344"/>
      <c r="CDA49" s="345"/>
      <c r="CDB49" s="342"/>
      <c r="CDC49" s="343"/>
      <c r="CDD49" s="344"/>
      <c r="CDE49" s="345"/>
      <c r="CDF49" s="342"/>
      <c r="CDG49" s="343"/>
      <c r="CDH49" s="344"/>
      <c r="CDI49" s="345"/>
      <c r="CDJ49" s="342"/>
      <c r="CDK49" s="343"/>
      <c r="CDL49" s="344"/>
      <c r="CDM49" s="345"/>
      <c r="CDN49" s="342"/>
      <c r="CDO49" s="343"/>
      <c r="CDP49" s="344"/>
      <c r="CDQ49" s="345"/>
      <c r="CDR49" s="342"/>
      <c r="CDS49" s="343"/>
      <c r="CDT49" s="344"/>
      <c r="CDU49" s="345"/>
      <c r="CDV49" s="342"/>
      <c r="CDW49" s="343"/>
      <c r="CDX49" s="344"/>
      <c r="CDY49" s="345"/>
      <c r="CDZ49" s="342"/>
      <c r="CEA49" s="343"/>
      <c r="CEB49" s="344"/>
      <c r="CEC49" s="345"/>
      <c r="CED49" s="342"/>
      <c r="CEE49" s="343"/>
      <c r="CEF49" s="344"/>
      <c r="CEG49" s="345"/>
      <c r="CEH49" s="342"/>
      <c r="CEI49" s="343"/>
      <c r="CEJ49" s="344"/>
      <c r="CEK49" s="345"/>
      <c r="CEL49" s="342"/>
      <c r="CEM49" s="343"/>
      <c r="CEN49" s="344"/>
      <c r="CEO49" s="345"/>
      <c r="CEP49" s="342"/>
      <c r="CEQ49" s="343"/>
      <c r="CER49" s="344"/>
      <c r="CES49" s="345"/>
      <c r="CET49" s="342"/>
      <c r="CEU49" s="343"/>
      <c r="CEV49" s="344"/>
      <c r="CEW49" s="345"/>
      <c r="CEX49" s="342"/>
      <c r="CEY49" s="343"/>
      <c r="CEZ49" s="344"/>
      <c r="CFA49" s="345"/>
      <c r="CFB49" s="342"/>
      <c r="CFC49" s="343"/>
      <c r="CFD49" s="344"/>
      <c r="CFE49" s="345"/>
      <c r="CFF49" s="342"/>
      <c r="CFG49" s="343"/>
      <c r="CFH49" s="344"/>
      <c r="CFI49" s="345"/>
      <c r="CFJ49" s="342"/>
      <c r="CFK49" s="343"/>
      <c r="CFL49" s="344"/>
      <c r="CFM49" s="345"/>
      <c r="CFN49" s="342"/>
      <c r="CFO49" s="343"/>
      <c r="CFP49" s="344"/>
      <c r="CFQ49" s="345"/>
      <c r="CFR49" s="342"/>
      <c r="CFS49" s="343"/>
      <c r="CFT49" s="344"/>
      <c r="CFU49" s="345"/>
      <c r="CFV49" s="342"/>
      <c r="CFW49" s="343"/>
      <c r="CFX49" s="344"/>
      <c r="CFY49" s="345"/>
      <c r="CFZ49" s="342"/>
      <c r="CGA49" s="343"/>
      <c r="CGB49" s="344"/>
      <c r="CGC49" s="345"/>
      <c r="CGD49" s="342"/>
      <c r="CGE49" s="343"/>
      <c r="CGF49" s="344"/>
      <c r="CGG49" s="345"/>
      <c r="CGH49" s="342"/>
      <c r="CGI49" s="343"/>
      <c r="CGJ49" s="344"/>
      <c r="CGK49" s="345"/>
      <c r="CGL49" s="342"/>
      <c r="CGM49" s="343"/>
      <c r="CGN49" s="344"/>
      <c r="CGO49" s="345"/>
      <c r="CGP49" s="342"/>
      <c r="CGQ49" s="343"/>
      <c r="CGR49" s="344"/>
      <c r="CGS49" s="345"/>
      <c r="CGT49" s="342"/>
      <c r="CGU49" s="343"/>
      <c r="CGV49" s="344"/>
      <c r="CGW49" s="345"/>
      <c r="CGX49" s="342"/>
      <c r="CGY49" s="343"/>
      <c r="CGZ49" s="344"/>
      <c r="CHA49" s="345"/>
      <c r="CHB49" s="342"/>
      <c r="CHC49" s="343"/>
      <c r="CHD49" s="344"/>
      <c r="CHE49" s="345"/>
      <c r="CHF49" s="342"/>
      <c r="CHG49" s="343"/>
      <c r="CHH49" s="344"/>
      <c r="CHI49" s="345"/>
      <c r="CHJ49" s="342"/>
      <c r="CHK49" s="343"/>
      <c r="CHL49" s="344"/>
      <c r="CHM49" s="345"/>
      <c r="CHN49" s="342"/>
      <c r="CHO49" s="343"/>
      <c r="CHP49" s="344"/>
      <c r="CHQ49" s="345"/>
      <c r="CHR49" s="342"/>
      <c r="CHS49" s="343"/>
      <c r="CHT49" s="344"/>
      <c r="CHU49" s="345"/>
      <c r="CHV49" s="342"/>
      <c r="CHW49" s="343"/>
      <c r="CHX49" s="344"/>
      <c r="CHY49" s="345"/>
      <c r="CHZ49" s="342"/>
      <c r="CIA49" s="343"/>
      <c r="CIB49" s="344"/>
      <c r="CIC49" s="345"/>
      <c r="CID49" s="342"/>
      <c r="CIE49" s="343"/>
      <c r="CIF49" s="344"/>
      <c r="CIG49" s="345"/>
      <c r="CIH49" s="342"/>
      <c r="CII49" s="343"/>
      <c r="CIJ49" s="344"/>
      <c r="CIK49" s="345"/>
      <c r="CIL49" s="342"/>
      <c r="CIM49" s="343"/>
      <c r="CIN49" s="344"/>
      <c r="CIO49" s="345"/>
      <c r="CIP49" s="342"/>
      <c r="CIQ49" s="343"/>
      <c r="CIR49" s="344"/>
      <c r="CIS49" s="345"/>
      <c r="CIT49" s="342"/>
      <c r="CIU49" s="343"/>
      <c r="CIV49" s="344"/>
      <c r="CIW49" s="345"/>
      <c r="CIX49" s="342"/>
      <c r="CIY49" s="343"/>
      <c r="CIZ49" s="344"/>
      <c r="CJA49" s="345"/>
      <c r="CJB49" s="342"/>
      <c r="CJC49" s="343"/>
      <c r="CJD49" s="344"/>
      <c r="CJE49" s="345"/>
      <c r="CJF49" s="342"/>
      <c r="CJG49" s="343"/>
      <c r="CJH49" s="344"/>
      <c r="CJI49" s="345"/>
      <c r="CJJ49" s="342"/>
      <c r="CJK49" s="343"/>
      <c r="CJL49" s="344"/>
      <c r="CJM49" s="345"/>
      <c r="CJN49" s="342"/>
      <c r="CJO49" s="343"/>
      <c r="CJP49" s="344"/>
      <c r="CJQ49" s="345"/>
      <c r="CJR49" s="342"/>
      <c r="CJS49" s="343"/>
      <c r="CJT49" s="344"/>
      <c r="CJU49" s="345"/>
      <c r="CJV49" s="342"/>
      <c r="CJW49" s="343"/>
      <c r="CJX49" s="344"/>
      <c r="CJY49" s="345"/>
      <c r="CJZ49" s="342"/>
      <c r="CKA49" s="343"/>
      <c r="CKB49" s="344"/>
      <c r="CKC49" s="345"/>
      <c r="CKD49" s="342"/>
      <c r="CKE49" s="343"/>
      <c r="CKF49" s="344"/>
      <c r="CKG49" s="345"/>
      <c r="CKH49" s="342"/>
      <c r="CKI49" s="343"/>
      <c r="CKJ49" s="344"/>
      <c r="CKK49" s="345"/>
      <c r="CKL49" s="342"/>
      <c r="CKM49" s="343"/>
      <c r="CKN49" s="344"/>
      <c r="CKO49" s="345"/>
      <c r="CKP49" s="342"/>
      <c r="CKQ49" s="343"/>
      <c r="CKR49" s="344"/>
      <c r="CKS49" s="345"/>
      <c r="CKT49" s="342"/>
      <c r="CKU49" s="343"/>
      <c r="CKV49" s="344"/>
      <c r="CKW49" s="345"/>
      <c r="CKX49" s="342"/>
      <c r="CKY49" s="343"/>
      <c r="CKZ49" s="344"/>
      <c r="CLA49" s="345"/>
      <c r="CLB49" s="342"/>
      <c r="CLC49" s="343"/>
      <c r="CLD49" s="344"/>
      <c r="CLE49" s="345"/>
      <c r="CLF49" s="342"/>
      <c r="CLG49" s="343"/>
      <c r="CLH49" s="344"/>
      <c r="CLI49" s="345"/>
      <c r="CLJ49" s="342"/>
      <c r="CLK49" s="343"/>
      <c r="CLL49" s="344"/>
      <c r="CLM49" s="345"/>
      <c r="CLN49" s="342"/>
      <c r="CLO49" s="343"/>
      <c r="CLP49" s="344"/>
      <c r="CLQ49" s="345"/>
      <c r="CLR49" s="342"/>
      <c r="CLS49" s="343"/>
      <c r="CLT49" s="344"/>
      <c r="CLU49" s="345"/>
      <c r="CLV49" s="342"/>
      <c r="CLW49" s="343"/>
      <c r="CLX49" s="344"/>
      <c r="CLY49" s="345"/>
      <c r="CLZ49" s="342"/>
      <c r="CMA49" s="343"/>
      <c r="CMB49" s="344"/>
      <c r="CMC49" s="345"/>
      <c r="CMD49" s="342"/>
      <c r="CME49" s="343"/>
      <c r="CMF49" s="344"/>
      <c r="CMG49" s="345"/>
      <c r="CMH49" s="342"/>
      <c r="CMI49" s="343"/>
      <c r="CMJ49" s="344"/>
      <c r="CMK49" s="345"/>
      <c r="CML49" s="342"/>
      <c r="CMM49" s="343"/>
      <c r="CMN49" s="344"/>
      <c r="CMO49" s="345"/>
      <c r="CMP49" s="342"/>
      <c r="CMQ49" s="343"/>
      <c r="CMR49" s="344"/>
      <c r="CMS49" s="345"/>
      <c r="CMT49" s="342"/>
      <c r="CMU49" s="343"/>
      <c r="CMV49" s="344"/>
      <c r="CMW49" s="345"/>
      <c r="CMX49" s="342"/>
      <c r="CMY49" s="343"/>
      <c r="CMZ49" s="344"/>
      <c r="CNA49" s="345"/>
      <c r="CNB49" s="342"/>
      <c r="CNC49" s="343"/>
      <c r="CND49" s="344"/>
      <c r="CNE49" s="345"/>
      <c r="CNF49" s="342"/>
      <c r="CNG49" s="343"/>
      <c r="CNH49" s="344"/>
      <c r="CNI49" s="345"/>
      <c r="CNJ49" s="342"/>
      <c r="CNK49" s="343"/>
      <c r="CNL49" s="344"/>
      <c r="CNM49" s="345"/>
      <c r="CNN49" s="342"/>
      <c r="CNO49" s="343"/>
      <c r="CNP49" s="344"/>
      <c r="CNQ49" s="345"/>
      <c r="CNR49" s="342"/>
      <c r="CNS49" s="343"/>
      <c r="CNT49" s="344"/>
      <c r="CNU49" s="345"/>
      <c r="CNV49" s="342"/>
      <c r="CNW49" s="343"/>
      <c r="CNX49" s="344"/>
      <c r="CNY49" s="345"/>
      <c r="CNZ49" s="342"/>
      <c r="COA49" s="343"/>
      <c r="COB49" s="344"/>
      <c r="COC49" s="345"/>
      <c r="COD49" s="342"/>
      <c r="COE49" s="343"/>
      <c r="COF49" s="344"/>
      <c r="COG49" s="345"/>
      <c r="COH49" s="342"/>
      <c r="COI49" s="343"/>
      <c r="COJ49" s="344"/>
      <c r="COK49" s="345"/>
      <c r="COL49" s="342"/>
      <c r="COM49" s="343"/>
      <c r="CON49" s="344"/>
      <c r="COO49" s="345"/>
      <c r="COP49" s="342"/>
      <c r="COQ49" s="343"/>
      <c r="COR49" s="344"/>
      <c r="COS49" s="345"/>
      <c r="COT49" s="342"/>
      <c r="COU49" s="343"/>
      <c r="COV49" s="344"/>
      <c r="COW49" s="345"/>
      <c r="COX49" s="342"/>
      <c r="COY49" s="343"/>
      <c r="COZ49" s="344"/>
      <c r="CPA49" s="345"/>
      <c r="CPB49" s="342"/>
      <c r="CPC49" s="343"/>
      <c r="CPD49" s="344"/>
      <c r="CPE49" s="345"/>
      <c r="CPF49" s="342"/>
      <c r="CPG49" s="343"/>
      <c r="CPH49" s="344"/>
      <c r="CPI49" s="345"/>
      <c r="CPJ49" s="342"/>
      <c r="CPK49" s="343"/>
      <c r="CPL49" s="344"/>
      <c r="CPM49" s="345"/>
      <c r="CPN49" s="342"/>
      <c r="CPO49" s="343"/>
      <c r="CPP49" s="344"/>
      <c r="CPQ49" s="345"/>
      <c r="CPR49" s="342"/>
      <c r="CPS49" s="343"/>
      <c r="CPT49" s="344"/>
      <c r="CPU49" s="345"/>
      <c r="CPV49" s="342"/>
      <c r="CPW49" s="343"/>
      <c r="CPX49" s="344"/>
      <c r="CPY49" s="345"/>
      <c r="CPZ49" s="342"/>
      <c r="CQA49" s="343"/>
      <c r="CQB49" s="344"/>
      <c r="CQC49" s="345"/>
      <c r="CQD49" s="342"/>
      <c r="CQE49" s="343"/>
      <c r="CQF49" s="344"/>
      <c r="CQG49" s="345"/>
      <c r="CQH49" s="342"/>
      <c r="CQI49" s="343"/>
      <c r="CQJ49" s="344"/>
      <c r="CQK49" s="345"/>
      <c r="CQL49" s="342"/>
      <c r="CQM49" s="343"/>
      <c r="CQN49" s="344"/>
      <c r="CQO49" s="345"/>
      <c r="CQP49" s="342"/>
      <c r="CQQ49" s="343"/>
      <c r="CQR49" s="344"/>
      <c r="CQS49" s="345"/>
      <c r="CQT49" s="342"/>
      <c r="CQU49" s="343"/>
      <c r="CQV49" s="344"/>
      <c r="CQW49" s="345"/>
      <c r="CQX49" s="342"/>
      <c r="CQY49" s="343"/>
      <c r="CQZ49" s="344"/>
      <c r="CRA49" s="345"/>
      <c r="CRB49" s="342"/>
      <c r="CRC49" s="343"/>
      <c r="CRD49" s="344"/>
      <c r="CRE49" s="345"/>
      <c r="CRF49" s="342"/>
      <c r="CRG49" s="343"/>
      <c r="CRH49" s="344"/>
      <c r="CRI49" s="345"/>
      <c r="CRJ49" s="342"/>
      <c r="CRK49" s="343"/>
      <c r="CRL49" s="344"/>
      <c r="CRM49" s="345"/>
      <c r="CRN49" s="342"/>
      <c r="CRO49" s="343"/>
      <c r="CRP49" s="344"/>
      <c r="CRQ49" s="345"/>
      <c r="CRR49" s="342"/>
      <c r="CRS49" s="343"/>
      <c r="CRT49" s="344"/>
      <c r="CRU49" s="345"/>
      <c r="CRV49" s="342"/>
      <c r="CRW49" s="343"/>
      <c r="CRX49" s="344"/>
      <c r="CRY49" s="345"/>
      <c r="CRZ49" s="342"/>
      <c r="CSA49" s="343"/>
      <c r="CSB49" s="344"/>
      <c r="CSC49" s="345"/>
      <c r="CSD49" s="342"/>
      <c r="CSE49" s="343"/>
      <c r="CSF49" s="344"/>
      <c r="CSG49" s="345"/>
      <c r="CSH49" s="342"/>
      <c r="CSI49" s="343"/>
      <c r="CSJ49" s="344"/>
      <c r="CSK49" s="345"/>
      <c r="CSL49" s="342"/>
      <c r="CSM49" s="343"/>
      <c r="CSN49" s="344"/>
      <c r="CSO49" s="345"/>
      <c r="CSP49" s="342"/>
      <c r="CSQ49" s="343"/>
      <c r="CSR49" s="344"/>
      <c r="CSS49" s="345"/>
      <c r="CST49" s="342"/>
      <c r="CSU49" s="343"/>
      <c r="CSV49" s="344"/>
      <c r="CSW49" s="345"/>
      <c r="CSX49" s="342"/>
      <c r="CSY49" s="343"/>
      <c r="CSZ49" s="344"/>
      <c r="CTA49" s="345"/>
      <c r="CTB49" s="342"/>
      <c r="CTC49" s="343"/>
      <c r="CTD49" s="344"/>
      <c r="CTE49" s="345"/>
      <c r="CTF49" s="342"/>
      <c r="CTG49" s="343"/>
      <c r="CTH49" s="344"/>
      <c r="CTI49" s="345"/>
      <c r="CTJ49" s="342"/>
      <c r="CTK49" s="343"/>
      <c r="CTL49" s="344"/>
      <c r="CTM49" s="345"/>
      <c r="CTN49" s="342"/>
      <c r="CTO49" s="343"/>
      <c r="CTP49" s="344"/>
      <c r="CTQ49" s="345"/>
      <c r="CTR49" s="342"/>
      <c r="CTS49" s="343"/>
      <c r="CTT49" s="344"/>
      <c r="CTU49" s="345"/>
      <c r="CTV49" s="342"/>
      <c r="CTW49" s="343"/>
      <c r="CTX49" s="344"/>
      <c r="CTY49" s="345"/>
      <c r="CTZ49" s="342"/>
      <c r="CUA49" s="343"/>
      <c r="CUB49" s="344"/>
      <c r="CUC49" s="345"/>
      <c r="CUD49" s="342"/>
      <c r="CUE49" s="343"/>
      <c r="CUF49" s="344"/>
      <c r="CUG49" s="345"/>
      <c r="CUH49" s="342"/>
      <c r="CUI49" s="343"/>
      <c r="CUJ49" s="344"/>
      <c r="CUK49" s="345"/>
      <c r="CUL49" s="342"/>
      <c r="CUM49" s="343"/>
      <c r="CUN49" s="344"/>
      <c r="CUO49" s="345"/>
      <c r="CUP49" s="342"/>
      <c r="CUQ49" s="343"/>
      <c r="CUR49" s="344"/>
      <c r="CUS49" s="345"/>
      <c r="CUT49" s="342"/>
      <c r="CUU49" s="343"/>
      <c r="CUV49" s="344"/>
      <c r="CUW49" s="345"/>
      <c r="CUX49" s="342"/>
      <c r="CUY49" s="343"/>
      <c r="CUZ49" s="344"/>
      <c r="CVA49" s="345"/>
      <c r="CVB49" s="342"/>
      <c r="CVC49" s="343"/>
      <c r="CVD49" s="344"/>
      <c r="CVE49" s="345"/>
      <c r="CVF49" s="342"/>
      <c r="CVG49" s="343"/>
      <c r="CVH49" s="344"/>
      <c r="CVI49" s="345"/>
      <c r="CVJ49" s="342"/>
      <c r="CVK49" s="343"/>
      <c r="CVL49" s="344"/>
      <c r="CVM49" s="345"/>
      <c r="CVN49" s="342"/>
      <c r="CVO49" s="343"/>
      <c r="CVP49" s="344"/>
      <c r="CVQ49" s="345"/>
      <c r="CVR49" s="342"/>
      <c r="CVS49" s="343"/>
      <c r="CVT49" s="344"/>
      <c r="CVU49" s="345"/>
      <c r="CVV49" s="342"/>
      <c r="CVW49" s="343"/>
      <c r="CVX49" s="344"/>
      <c r="CVY49" s="345"/>
      <c r="CVZ49" s="342"/>
      <c r="CWA49" s="343"/>
      <c r="CWB49" s="344"/>
      <c r="CWC49" s="345"/>
      <c r="CWD49" s="342"/>
      <c r="CWE49" s="343"/>
      <c r="CWF49" s="344"/>
      <c r="CWG49" s="345"/>
      <c r="CWH49" s="342"/>
      <c r="CWI49" s="343"/>
      <c r="CWJ49" s="344"/>
      <c r="CWK49" s="345"/>
      <c r="CWL49" s="342"/>
      <c r="CWM49" s="343"/>
      <c r="CWN49" s="344"/>
      <c r="CWO49" s="345"/>
      <c r="CWP49" s="342"/>
      <c r="CWQ49" s="343"/>
      <c r="CWR49" s="344"/>
      <c r="CWS49" s="345"/>
      <c r="CWT49" s="342"/>
      <c r="CWU49" s="343"/>
      <c r="CWV49" s="344"/>
      <c r="CWW49" s="345"/>
      <c r="CWX49" s="342"/>
      <c r="CWY49" s="343"/>
      <c r="CWZ49" s="344"/>
      <c r="CXA49" s="345"/>
      <c r="CXB49" s="342"/>
      <c r="CXC49" s="343"/>
      <c r="CXD49" s="344"/>
      <c r="CXE49" s="345"/>
      <c r="CXF49" s="342"/>
      <c r="CXG49" s="343"/>
      <c r="CXH49" s="344"/>
      <c r="CXI49" s="345"/>
      <c r="CXJ49" s="342"/>
      <c r="CXK49" s="343"/>
      <c r="CXL49" s="344"/>
      <c r="CXM49" s="345"/>
      <c r="CXN49" s="342"/>
      <c r="CXO49" s="343"/>
      <c r="CXP49" s="344"/>
      <c r="CXQ49" s="345"/>
      <c r="CXR49" s="342"/>
      <c r="CXS49" s="343"/>
      <c r="CXT49" s="344"/>
      <c r="CXU49" s="345"/>
      <c r="CXV49" s="342"/>
      <c r="CXW49" s="343"/>
      <c r="CXX49" s="344"/>
      <c r="CXY49" s="345"/>
      <c r="CXZ49" s="342"/>
      <c r="CYA49" s="343"/>
      <c r="CYB49" s="344"/>
      <c r="CYC49" s="345"/>
      <c r="CYD49" s="342"/>
      <c r="CYE49" s="343"/>
      <c r="CYF49" s="344"/>
      <c r="CYG49" s="345"/>
      <c r="CYH49" s="342"/>
      <c r="CYI49" s="343"/>
      <c r="CYJ49" s="344"/>
      <c r="CYK49" s="345"/>
      <c r="CYL49" s="342"/>
      <c r="CYM49" s="343"/>
      <c r="CYN49" s="344"/>
      <c r="CYO49" s="345"/>
      <c r="CYP49" s="342"/>
      <c r="CYQ49" s="343"/>
      <c r="CYR49" s="344"/>
      <c r="CYS49" s="345"/>
      <c r="CYT49" s="342"/>
      <c r="CYU49" s="343"/>
      <c r="CYV49" s="344"/>
      <c r="CYW49" s="345"/>
      <c r="CYX49" s="342"/>
      <c r="CYY49" s="343"/>
      <c r="CYZ49" s="344"/>
      <c r="CZA49" s="345"/>
      <c r="CZB49" s="342"/>
      <c r="CZC49" s="343"/>
      <c r="CZD49" s="344"/>
      <c r="CZE49" s="345"/>
      <c r="CZF49" s="342"/>
      <c r="CZG49" s="343"/>
      <c r="CZH49" s="344"/>
      <c r="CZI49" s="345"/>
      <c r="CZJ49" s="342"/>
      <c r="CZK49" s="343"/>
      <c r="CZL49" s="344"/>
      <c r="CZM49" s="345"/>
      <c r="CZN49" s="342"/>
      <c r="CZO49" s="343"/>
      <c r="CZP49" s="344"/>
      <c r="CZQ49" s="345"/>
      <c r="CZR49" s="342"/>
      <c r="CZS49" s="343"/>
      <c r="CZT49" s="344"/>
      <c r="CZU49" s="345"/>
      <c r="CZV49" s="342"/>
      <c r="CZW49" s="343"/>
      <c r="CZX49" s="344"/>
      <c r="CZY49" s="345"/>
      <c r="CZZ49" s="342"/>
      <c r="DAA49" s="343"/>
      <c r="DAB49" s="344"/>
      <c r="DAC49" s="345"/>
      <c r="DAD49" s="342"/>
      <c r="DAE49" s="343"/>
      <c r="DAF49" s="344"/>
      <c r="DAG49" s="345"/>
      <c r="DAH49" s="342"/>
      <c r="DAI49" s="343"/>
      <c r="DAJ49" s="344"/>
      <c r="DAK49" s="345"/>
      <c r="DAL49" s="342"/>
      <c r="DAM49" s="343"/>
      <c r="DAN49" s="344"/>
      <c r="DAO49" s="345"/>
      <c r="DAP49" s="342"/>
      <c r="DAQ49" s="343"/>
      <c r="DAR49" s="344"/>
      <c r="DAS49" s="345"/>
      <c r="DAT49" s="342"/>
      <c r="DAU49" s="343"/>
      <c r="DAV49" s="344"/>
      <c r="DAW49" s="345"/>
      <c r="DAX49" s="342"/>
      <c r="DAY49" s="343"/>
      <c r="DAZ49" s="344"/>
      <c r="DBA49" s="345"/>
      <c r="DBB49" s="342"/>
      <c r="DBC49" s="343"/>
      <c r="DBD49" s="344"/>
      <c r="DBE49" s="345"/>
      <c r="DBF49" s="342"/>
      <c r="DBG49" s="343"/>
      <c r="DBH49" s="344"/>
      <c r="DBI49" s="345"/>
      <c r="DBJ49" s="342"/>
      <c r="DBK49" s="343"/>
      <c r="DBL49" s="344"/>
      <c r="DBM49" s="345"/>
      <c r="DBN49" s="342"/>
      <c r="DBO49" s="343"/>
      <c r="DBP49" s="344"/>
      <c r="DBQ49" s="345"/>
      <c r="DBR49" s="342"/>
      <c r="DBS49" s="343"/>
      <c r="DBT49" s="344"/>
      <c r="DBU49" s="345"/>
      <c r="DBV49" s="342"/>
      <c r="DBW49" s="343"/>
      <c r="DBX49" s="344"/>
      <c r="DBY49" s="345"/>
      <c r="DBZ49" s="342"/>
      <c r="DCA49" s="343"/>
      <c r="DCB49" s="344"/>
      <c r="DCC49" s="345"/>
      <c r="DCD49" s="342"/>
      <c r="DCE49" s="343"/>
      <c r="DCF49" s="344"/>
      <c r="DCG49" s="345"/>
      <c r="DCH49" s="342"/>
      <c r="DCI49" s="343"/>
      <c r="DCJ49" s="344"/>
      <c r="DCK49" s="345"/>
      <c r="DCL49" s="342"/>
      <c r="DCM49" s="343"/>
      <c r="DCN49" s="344"/>
      <c r="DCO49" s="345"/>
      <c r="DCP49" s="342"/>
      <c r="DCQ49" s="343"/>
      <c r="DCR49" s="344"/>
      <c r="DCS49" s="345"/>
      <c r="DCT49" s="342"/>
      <c r="DCU49" s="343"/>
      <c r="DCV49" s="344"/>
      <c r="DCW49" s="345"/>
      <c r="DCX49" s="342"/>
      <c r="DCY49" s="343"/>
      <c r="DCZ49" s="344"/>
      <c r="DDA49" s="345"/>
      <c r="DDB49" s="342"/>
      <c r="DDC49" s="343"/>
      <c r="DDD49" s="344"/>
      <c r="DDE49" s="345"/>
      <c r="DDF49" s="342"/>
      <c r="DDG49" s="343"/>
      <c r="DDH49" s="344"/>
      <c r="DDI49" s="345"/>
      <c r="DDJ49" s="342"/>
      <c r="DDK49" s="343"/>
      <c r="DDL49" s="344"/>
      <c r="DDM49" s="345"/>
      <c r="DDN49" s="342"/>
      <c r="DDO49" s="343"/>
      <c r="DDP49" s="344"/>
      <c r="DDQ49" s="345"/>
      <c r="DDR49" s="342"/>
      <c r="DDS49" s="343"/>
      <c r="DDT49" s="344"/>
      <c r="DDU49" s="345"/>
      <c r="DDV49" s="342"/>
      <c r="DDW49" s="343"/>
      <c r="DDX49" s="344"/>
      <c r="DDY49" s="345"/>
      <c r="DDZ49" s="342"/>
      <c r="DEA49" s="343"/>
      <c r="DEB49" s="344"/>
      <c r="DEC49" s="345"/>
      <c r="DED49" s="342"/>
      <c r="DEE49" s="343"/>
      <c r="DEF49" s="344"/>
      <c r="DEG49" s="345"/>
      <c r="DEH49" s="342"/>
      <c r="DEI49" s="343"/>
      <c r="DEJ49" s="344"/>
      <c r="DEK49" s="345"/>
      <c r="DEL49" s="342"/>
      <c r="DEM49" s="343"/>
      <c r="DEN49" s="344"/>
      <c r="DEO49" s="345"/>
      <c r="DEP49" s="342"/>
      <c r="DEQ49" s="343"/>
      <c r="DER49" s="344"/>
      <c r="DES49" s="345"/>
      <c r="DET49" s="342"/>
      <c r="DEU49" s="343"/>
      <c r="DEV49" s="344"/>
      <c r="DEW49" s="345"/>
      <c r="DEX49" s="342"/>
      <c r="DEY49" s="343"/>
      <c r="DEZ49" s="344"/>
      <c r="DFA49" s="345"/>
      <c r="DFB49" s="342"/>
      <c r="DFC49" s="343"/>
      <c r="DFD49" s="344"/>
      <c r="DFE49" s="345"/>
      <c r="DFF49" s="342"/>
      <c r="DFG49" s="343"/>
      <c r="DFH49" s="344"/>
      <c r="DFI49" s="345"/>
      <c r="DFJ49" s="342"/>
      <c r="DFK49" s="343"/>
      <c r="DFL49" s="344"/>
      <c r="DFM49" s="345"/>
      <c r="DFN49" s="342"/>
      <c r="DFO49" s="343"/>
      <c r="DFP49" s="344"/>
      <c r="DFQ49" s="345"/>
      <c r="DFR49" s="342"/>
      <c r="DFS49" s="343"/>
      <c r="DFT49" s="344"/>
      <c r="DFU49" s="345"/>
      <c r="DFV49" s="342"/>
      <c r="DFW49" s="343"/>
      <c r="DFX49" s="344"/>
      <c r="DFY49" s="345"/>
      <c r="DFZ49" s="342"/>
      <c r="DGA49" s="343"/>
      <c r="DGB49" s="344"/>
      <c r="DGC49" s="345"/>
      <c r="DGD49" s="342"/>
      <c r="DGE49" s="343"/>
      <c r="DGF49" s="344"/>
      <c r="DGG49" s="345"/>
      <c r="DGH49" s="342"/>
      <c r="DGI49" s="343"/>
      <c r="DGJ49" s="344"/>
      <c r="DGK49" s="345"/>
      <c r="DGL49" s="342"/>
      <c r="DGM49" s="343"/>
      <c r="DGN49" s="344"/>
      <c r="DGO49" s="345"/>
      <c r="DGP49" s="342"/>
      <c r="DGQ49" s="343"/>
      <c r="DGR49" s="344"/>
      <c r="DGS49" s="345"/>
      <c r="DGT49" s="342"/>
      <c r="DGU49" s="343"/>
      <c r="DGV49" s="344"/>
      <c r="DGW49" s="345"/>
      <c r="DGX49" s="342"/>
      <c r="DGY49" s="343"/>
      <c r="DGZ49" s="344"/>
      <c r="DHA49" s="345"/>
      <c r="DHB49" s="342"/>
      <c r="DHC49" s="343"/>
      <c r="DHD49" s="344"/>
      <c r="DHE49" s="345"/>
      <c r="DHF49" s="342"/>
      <c r="DHG49" s="343"/>
      <c r="DHH49" s="344"/>
      <c r="DHI49" s="345"/>
      <c r="DHJ49" s="342"/>
      <c r="DHK49" s="343"/>
      <c r="DHL49" s="344"/>
      <c r="DHM49" s="345"/>
      <c r="DHN49" s="342"/>
      <c r="DHO49" s="343"/>
      <c r="DHP49" s="344"/>
      <c r="DHQ49" s="345"/>
      <c r="DHR49" s="342"/>
      <c r="DHS49" s="343"/>
      <c r="DHT49" s="344"/>
      <c r="DHU49" s="345"/>
      <c r="DHV49" s="342"/>
      <c r="DHW49" s="343"/>
      <c r="DHX49" s="344"/>
      <c r="DHY49" s="345"/>
      <c r="DHZ49" s="342"/>
      <c r="DIA49" s="343"/>
      <c r="DIB49" s="344"/>
      <c r="DIC49" s="345"/>
      <c r="DID49" s="342"/>
      <c r="DIE49" s="343"/>
      <c r="DIF49" s="344"/>
      <c r="DIG49" s="345"/>
      <c r="DIH49" s="342"/>
      <c r="DII49" s="343"/>
      <c r="DIJ49" s="344"/>
      <c r="DIK49" s="345"/>
      <c r="DIL49" s="342"/>
      <c r="DIM49" s="343"/>
      <c r="DIN49" s="344"/>
      <c r="DIO49" s="345"/>
      <c r="DIP49" s="342"/>
      <c r="DIQ49" s="343"/>
      <c r="DIR49" s="344"/>
      <c r="DIS49" s="345"/>
      <c r="DIT49" s="342"/>
      <c r="DIU49" s="343"/>
      <c r="DIV49" s="344"/>
      <c r="DIW49" s="345"/>
      <c r="DIX49" s="342"/>
      <c r="DIY49" s="343"/>
      <c r="DIZ49" s="344"/>
      <c r="DJA49" s="345"/>
      <c r="DJB49" s="342"/>
      <c r="DJC49" s="343"/>
      <c r="DJD49" s="344"/>
      <c r="DJE49" s="345"/>
      <c r="DJF49" s="342"/>
      <c r="DJG49" s="343"/>
      <c r="DJH49" s="344"/>
      <c r="DJI49" s="345"/>
      <c r="DJJ49" s="342"/>
      <c r="DJK49" s="343"/>
      <c r="DJL49" s="344"/>
      <c r="DJM49" s="345"/>
      <c r="DJN49" s="342"/>
      <c r="DJO49" s="343"/>
      <c r="DJP49" s="344"/>
      <c r="DJQ49" s="345"/>
      <c r="DJR49" s="342"/>
      <c r="DJS49" s="343"/>
      <c r="DJT49" s="344"/>
      <c r="DJU49" s="345"/>
      <c r="DJV49" s="342"/>
      <c r="DJW49" s="343"/>
      <c r="DJX49" s="344"/>
      <c r="DJY49" s="345"/>
      <c r="DJZ49" s="342"/>
      <c r="DKA49" s="343"/>
      <c r="DKB49" s="344"/>
      <c r="DKC49" s="345"/>
      <c r="DKD49" s="342"/>
      <c r="DKE49" s="343"/>
      <c r="DKF49" s="344"/>
      <c r="DKG49" s="345"/>
      <c r="DKH49" s="342"/>
      <c r="DKI49" s="343"/>
      <c r="DKJ49" s="344"/>
      <c r="DKK49" s="345"/>
      <c r="DKL49" s="342"/>
      <c r="DKM49" s="343"/>
      <c r="DKN49" s="344"/>
      <c r="DKO49" s="345"/>
      <c r="DKP49" s="342"/>
      <c r="DKQ49" s="343"/>
      <c r="DKR49" s="344"/>
      <c r="DKS49" s="345"/>
      <c r="DKT49" s="342"/>
      <c r="DKU49" s="343"/>
      <c r="DKV49" s="344"/>
      <c r="DKW49" s="345"/>
      <c r="DKX49" s="342"/>
      <c r="DKY49" s="343"/>
      <c r="DKZ49" s="344"/>
      <c r="DLA49" s="345"/>
      <c r="DLB49" s="342"/>
      <c r="DLC49" s="343"/>
      <c r="DLD49" s="344"/>
      <c r="DLE49" s="345"/>
      <c r="DLF49" s="342"/>
      <c r="DLG49" s="343"/>
      <c r="DLH49" s="344"/>
      <c r="DLI49" s="345"/>
      <c r="DLJ49" s="342"/>
      <c r="DLK49" s="343"/>
      <c r="DLL49" s="344"/>
      <c r="DLM49" s="345"/>
      <c r="DLN49" s="342"/>
      <c r="DLO49" s="343"/>
      <c r="DLP49" s="344"/>
      <c r="DLQ49" s="345"/>
      <c r="DLR49" s="342"/>
      <c r="DLS49" s="343"/>
      <c r="DLT49" s="344"/>
      <c r="DLU49" s="345"/>
      <c r="DLV49" s="342"/>
      <c r="DLW49" s="343"/>
      <c r="DLX49" s="344"/>
      <c r="DLY49" s="345"/>
      <c r="DLZ49" s="342"/>
      <c r="DMA49" s="343"/>
      <c r="DMB49" s="344"/>
      <c r="DMC49" s="345"/>
      <c r="DMD49" s="342"/>
      <c r="DME49" s="343"/>
      <c r="DMF49" s="344"/>
      <c r="DMG49" s="345"/>
      <c r="DMH49" s="342"/>
      <c r="DMI49" s="343"/>
      <c r="DMJ49" s="344"/>
      <c r="DMK49" s="345"/>
      <c r="DML49" s="342"/>
      <c r="DMM49" s="343"/>
      <c r="DMN49" s="344"/>
      <c r="DMO49" s="345"/>
      <c r="DMP49" s="342"/>
      <c r="DMQ49" s="343"/>
      <c r="DMR49" s="344"/>
      <c r="DMS49" s="345"/>
      <c r="DMT49" s="342"/>
      <c r="DMU49" s="343"/>
      <c r="DMV49" s="344"/>
      <c r="DMW49" s="345"/>
      <c r="DMX49" s="342"/>
      <c r="DMY49" s="343"/>
      <c r="DMZ49" s="344"/>
      <c r="DNA49" s="345"/>
      <c r="DNB49" s="342"/>
      <c r="DNC49" s="343"/>
      <c r="DND49" s="344"/>
      <c r="DNE49" s="345"/>
      <c r="DNF49" s="342"/>
      <c r="DNG49" s="343"/>
      <c r="DNH49" s="344"/>
      <c r="DNI49" s="345"/>
      <c r="DNJ49" s="342"/>
      <c r="DNK49" s="343"/>
      <c r="DNL49" s="344"/>
      <c r="DNM49" s="345"/>
      <c r="DNN49" s="342"/>
      <c r="DNO49" s="343"/>
      <c r="DNP49" s="344"/>
      <c r="DNQ49" s="345"/>
      <c r="DNR49" s="342"/>
      <c r="DNS49" s="343"/>
      <c r="DNT49" s="344"/>
      <c r="DNU49" s="345"/>
      <c r="DNV49" s="342"/>
      <c r="DNW49" s="343"/>
      <c r="DNX49" s="344"/>
      <c r="DNY49" s="345"/>
      <c r="DNZ49" s="342"/>
      <c r="DOA49" s="343"/>
      <c r="DOB49" s="344"/>
      <c r="DOC49" s="345"/>
      <c r="DOD49" s="342"/>
      <c r="DOE49" s="343"/>
      <c r="DOF49" s="344"/>
      <c r="DOG49" s="345"/>
      <c r="DOH49" s="342"/>
      <c r="DOI49" s="343"/>
      <c r="DOJ49" s="344"/>
      <c r="DOK49" s="345"/>
      <c r="DOL49" s="342"/>
      <c r="DOM49" s="343"/>
      <c r="DON49" s="344"/>
      <c r="DOO49" s="345"/>
      <c r="DOP49" s="342"/>
      <c r="DOQ49" s="343"/>
      <c r="DOR49" s="344"/>
      <c r="DOS49" s="345"/>
      <c r="DOT49" s="342"/>
      <c r="DOU49" s="343"/>
      <c r="DOV49" s="344"/>
      <c r="DOW49" s="345"/>
      <c r="DOX49" s="342"/>
      <c r="DOY49" s="343"/>
      <c r="DOZ49" s="344"/>
      <c r="DPA49" s="345"/>
      <c r="DPB49" s="342"/>
      <c r="DPC49" s="343"/>
      <c r="DPD49" s="344"/>
      <c r="DPE49" s="345"/>
      <c r="DPF49" s="342"/>
      <c r="DPG49" s="343"/>
      <c r="DPH49" s="344"/>
      <c r="DPI49" s="345"/>
      <c r="DPJ49" s="342"/>
      <c r="DPK49" s="343"/>
      <c r="DPL49" s="344"/>
      <c r="DPM49" s="345"/>
      <c r="DPN49" s="342"/>
      <c r="DPO49" s="343"/>
      <c r="DPP49" s="344"/>
      <c r="DPQ49" s="345"/>
      <c r="DPR49" s="342"/>
      <c r="DPS49" s="343"/>
      <c r="DPT49" s="344"/>
      <c r="DPU49" s="345"/>
      <c r="DPV49" s="342"/>
      <c r="DPW49" s="343"/>
      <c r="DPX49" s="344"/>
      <c r="DPY49" s="345"/>
      <c r="DPZ49" s="342"/>
      <c r="DQA49" s="343"/>
      <c r="DQB49" s="344"/>
      <c r="DQC49" s="345"/>
      <c r="DQD49" s="342"/>
      <c r="DQE49" s="343"/>
      <c r="DQF49" s="344"/>
      <c r="DQG49" s="345"/>
      <c r="DQH49" s="342"/>
      <c r="DQI49" s="343"/>
      <c r="DQJ49" s="344"/>
      <c r="DQK49" s="345"/>
      <c r="DQL49" s="342"/>
      <c r="DQM49" s="343"/>
      <c r="DQN49" s="344"/>
      <c r="DQO49" s="345"/>
      <c r="DQP49" s="342"/>
      <c r="DQQ49" s="343"/>
      <c r="DQR49" s="344"/>
      <c r="DQS49" s="345"/>
      <c r="DQT49" s="342"/>
      <c r="DQU49" s="343"/>
      <c r="DQV49" s="344"/>
      <c r="DQW49" s="345"/>
      <c r="DQX49" s="342"/>
      <c r="DQY49" s="343"/>
      <c r="DQZ49" s="344"/>
      <c r="DRA49" s="345"/>
      <c r="DRB49" s="342"/>
      <c r="DRC49" s="343"/>
      <c r="DRD49" s="344"/>
      <c r="DRE49" s="345"/>
      <c r="DRF49" s="342"/>
      <c r="DRG49" s="343"/>
      <c r="DRH49" s="344"/>
      <c r="DRI49" s="345"/>
      <c r="DRJ49" s="342"/>
      <c r="DRK49" s="343"/>
      <c r="DRL49" s="344"/>
      <c r="DRM49" s="345"/>
      <c r="DRN49" s="342"/>
      <c r="DRO49" s="343"/>
      <c r="DRP49" s="344"/>
      <c r="DRQ49" s="345"/>
      <c r="DRR49" s="342"/>
      <c r="DRS49" s="343"/>
      <c r="DRT49" s="344"/>
      <c r="DRU49" s="345"/>
      <c r="DRV49" s="342"/>
      <c r="DRW49" s="343"/>
      <c r="DRX49" s="344"/>
      <c r="DRY49" s="345"/>
      <c r="DRZ49" s="342"/>
      <c r="DSA49" s="343"/>
      <c r="DSB49" s="344"/>
      <c r="DSC49" s="345"/>
      <c r="DSD49" s="342"/>
      <c r="DSE49" s="343"/>
      <c r="DSF49" s="344"/>
      <c r="DSG49" s="345"/>
      <c r="DSH49" s="342"/>
      <c r="DSI49" s="343"/>
      <c r="DSJ49" s="344"/>
      <c r="DSK49" s="345"/>
      <c r="DSL49" s="342"/>
      <c r="DSM49" s="343"/>
      <c r="DSN49" s="344"/>
      <c r="DSO49" s="345"/>
      <c r="DSP49" s="342"/>
      <c r="DSQ49" s="343"/>
      <c r="DSR49" s="344"/>
      <c r="DSS49" s="345"/>
      <c r="DST49" s="342"/>
      <c r="DSU49" s="343"/>
      <c r="DSV49" s="344"/>
      <c r="DSW49" s="345"/>
      <c r="DSX49" s="342"/>
      <c r="DSY49" s="343"/>
      <c r="DSZ49" s="344"/>
      <c r="DTA49" s="345"/>
      <c r="DTB49" s="342"/>
      <c r="DTC49" s="343"/>
      <c r="DTD49" s="344"/>
      <c r="DTE49" s="345"/>
      <c r="DTF49" s="342"/>
      <c r="DTG49" s="343"/>
      <c r="DTH49" s="344"/>
      <c r="DTI49" s="345"/>
      <c r="DTJ49" s="342"/>
      <c r="DTK49" s="343"/>
      <c r="DTL49" s="344"/>
      <c r="DTM49" s="345"/>
      <c r="DTN49" s="342"/>
      <c r="DTO49" s="343"/>
      <c r="DTP49" s="344"/>
      <c r="DTQ49" s="345"/>
      <c r="DTR49" s="342"/>
      <c r="DTS49" s="343"/>
      <c r="DTT49" s="344"/>
      <c r="DTU49" s="345"/>
      <c r="DTV49" s="342"/>
      <c r="DTW49" s="343"/>
      <c r="DTX49" s="344"/>
      <c r="DTY49" s="345"/>
      <c r="DTZ49" s="342"/>
      <c r="DUA49" s="343"/>
      <c r="DUB49" s="344"/>
      <c r="DUC49" s="345"/>
      <c r="DUD49" s="342"/>
      <c r="DUE49" s="343"/>
      <c r="DUF49" s="344"/>
      <c r="DUG49" s="345"/>
      <c r="DUH49" s="342"/>
      <c r="DUI49" s="343"/>
      <c r="DUJ49" s="344"/>
      <c r="DUK49" s="345"/>
      <c r="DUL49" s="342"/>
      <c r="DUM49" s="343"/>
      <c r="DUN49" s="344"/>
      <c r="DUO49" s="345"/>
      <c r="DUP49" s="342"/>
      <c r="DUQ49" s="343"/>
      <c r="DUR49" s="344"/>
      <c r="DUS49" s="345"/>
      <c r="DUT49" s="342"/>
      <c r="DUU49" s="343"/>
      <c r="DUV49" s="344"/>
      <c r="DUW49" s="345"/>
      <c r="DUX49" s="342"/>
      <c r="DUY49" s="343"/>
      <c r="DUZ49" s="344"/>
      <c r="DVA49" s="345"/>
      <c r="DVB49" s="342"/>
      <c r="DVC49" s="343"/>
      <c r="DVD49" s="344"/>
      <c r="DVE49" s="345"/>
      <c r="DVF49" s="342"/>
      <c r="DVG49" s="343"/>
      <c r="DVH49" s="344"/>
      <c r="DVI49" s="345"/>
      <c r="DVJ49" s="342"/>
      <c r="DVK49" s="343"/>
      <c r="DVL49" s="344"/>
      <c r="DVM49" s="345"/>
      <c r="DVN49" s="342"/>
      <c r="DVO49" s="343"/>
      <c r="DVP49" s="344"/>
      <c r="DVQ49" s="345"/>
      <c r="DVR49" s="342"/>
      <c r="DVS49" s="343"/>
      <c r="DVT49" s="344"/>
      <c r="DVU49" s="345"/>
      <c r="DVV49" s="342"/>
      <c r="DVW49" s="343"/>
      <c r="DVX49" s="344"/>
      <c r="DVY49" s="345"/>
      <c r="DVZ49" s="342"/>
      <c r="DWA49" s="343"/>
      <c r="DWB49" s="344"/>
      <c r="DWC49" s="345"/>
      <c r="DWD49" s="342"/>
      <c r="DWE49" s="343"/>
      <c r="DWF49" s="344"/>
      <c r="DWG49" s="345"/>
      <c r="DWH49" s="342"/>
      <c r="DWI49" s="343"/>
      <c r="DWJ49" s="344"/>
      <c r="DWK49" s="345"/>
      <c r="DWL49" s="342"/>
      <c r="DWM49" s="343"/>
      <c r="DWN49" s="344"/>
      <c r="DWO49" s="345"/>
      <c r="DWP49" s="342"/>
      <c r="DWQ49" s="343"/>
      <c r="DWR49" s="344"/>
      <c r="DWS49" s="345"/>
      <c r="DWT49" s="342"/>
      <c r="DWU49" s="343"/>
      <c r="DWV49" s="344"/>
      <c r="DWW49" s="345"/>
      <c r="DWX49" s="342"/>
      <c r="DWY49" s="343"/>
      <c r="DWZ49" s="344"/>
      <c r="DXA49" s="345"/>
      <c r="DXB49" s="342"/>
      <c r="DXC49" s="343"/>
      <c r="DXD49" s="344"/>
      <c r="DXE49" s="345"/>
      <c r="DXF49" s="342"/>
      <c r="DXG49" s="343"/>
      <c r="DXH49" s="344"/>
      <c r="DXI49" s="345"/>
      <c r="DXJ49" s="342"/>
      <c r="DXK49" s="343"/>
      <c r="DXL49" s="344"/>
      <c r="DXM49" s="345"/>
      <c r="DXN49" s="342"/>
      <c r="DXO49" s="343"/>
      <c r="DXP49" s="344"/>
      <c r="DXQ49" s="345"/>
      <c r="DXR49" s="342"/>
      <c r="DXS49" s="343"/>
      <c r="DXT49" s="344"/>
      <c r="DXU49" s="345"/>
      <c r="DXV49" s="342"/>
      <c r="DXW49" s="343"/>
      <c r="DXX49" s="344"/>
      <c r="DXY49" s="345"/>
      <c r="DXZ49" s="342"/>
      <c r="DYA49" s="343"/>
      <c r="DYB49" s="344"/>
      <c r="DYC49" s="345"/>
      <c r="DYD49" s="342"/>
      <c r="DYE49" s="343"/>
      <c r="DYF49" s="344"/>
      <c r="DYG49" s="345"/>
      <c r="DYH49" s="342"/>
      <c r="DYI49" s="343"/>
      <c r="DYJ49" s="344"/>
      <c r="DYK49" s="345"/>
      <c r="DYL49" s="342"/>
      <c r="DYM49" s="343"/>
      <c r="DYN49" s="344"/>
      <c r="DYO49" s="345"/>
      <c r="DYP49" s="342"/>
      <c r="DYQ49" s="343"/>
      <c r="DYR49" s="344"/>
      <c r="DYS49" s="345"/>
      <c r="DYT49" s="342"/>
      <c r="DYU49" s="343"/>
      <c r="DYV49" s="344"/>
      <c r="DYW49" s="345"/>
      <c r="DYX49" s="342"/>
      <c r="DYY49" s="343"/>
      <c r="DYZ49" s="344"/>
      <c r="DZA49" s="345"/>
      <c r="DZB49" s="342"/>
      <c r="DZC49" s="343"/>
      <c r="DZD49" s="344"/>
      <c r="DZE49" s="345"/>
      <c r="DZF49" s="342"/>
      <c r="DZG49" s="343"/>
      <c r="DZH49" s="344"/>
      <c r="DZI49" s="345"/>
      <c r="DZJ49" s="342"/>
      <c r="DZK49" s="343"/>
      <c r="DZL49" s="344"/>
      <c r="DZM49" s="345"/>
      <c r="DZN49" s="342"/>
      <c r="DZO49" s="343"/>
      <c r="DZP49" s="344"/>
      <c r="DZQ49" s="345"/>
      <c r="DZR49" s="342"/>
      <c r="DZS49" s="343"/>
      <c r="DZT49" s="344"/>
      <c r="DZU49" s="345"/>
      <c r="DZV49" s="342"/>
      <c r="DZW49" s="343"/>
      <c r="DZX49" s="344"/>
      <c r="DZY49" s="345"/>
      <c r="DZZ49" s="342"/>
      <c r="EAA49" s="343"/>
      <c r="EAB49" s="344"/>
      <c r="EAC49" s="345"/>
      <c r="EAD49" s="342"/>
      <c r="EAE49" s="343"/>
      <c r="EAF49" s="344"/>
      <c r="EAG49" s="345"/>
      <c r="EAH49" s="342"/>
      <c r="EAI49" s="343"/>
      <c r="EAJ49" s="344"/>
      <c r="EAK49" s="345"/>
      <c r="EAL49" s="342"/>
      <c r="EAM49" s="343"/>
      <c r="EAN49" s="344"/>
      <c r="EAO49" s="345"/>
      <c r="EAP49" s="342"/>
      <c r="EAQ49" s="343"/>
      <c r="EAR49" s="344"/>
      <c r="EAS49" s="345"/>
      <c r="EAT49" s="342"/>
      <c r="EAU49" s="343"/>
      <c r="EAV49" s="344"/>
      <c r="EAW49" s="345"/>
      <c r="EAX49" s="342"/>
      <c r="EAY49" s="343"/>
      <c r="EAZ49" s="344"/>
      <c r="EBA49" s="345"/>
      <c r="EBB49" s="342"/>
      <c r="EBC49" s="343"/>
      <c r="EBD49" s="344"/>
      <c r="EBE49" s="345"/>
      <c r="EBF49" s="342"/>
      <c r="EBG49" s="343"/>
      <c r="EBH49" s="344"/>
      <c r="EBI49" s="345"/>
      <c r="EBJ49" s="342"/>
      <c r="EBK49" s="343"/>
      <c r="EBL49" s="344"/>
      <c r="EBM49" s="345"/>
      <c r="EBN49" s="342"/>
      <c r="EBO49" s="343"/>
      <c r="EBP49" s="344"/>
      <c r="EBQ49" s="345"/>
      <c r="EBR49" s="342"/>
      <c r="EBS49" s="343"/>
      <c r="EBT49" s="344"/>
      <c r="EBU49" s="345"/>
      <c r="EBV49" s="342"/>
      <c r="EBW49" s="343"/>
      <c r="EBX49" s="344"/>
      <c r="EBY49" s="345"/>
      <c r="EBZ49" s="342"/>
      <c r="ECA49" s="343"/>
      <c r="ECB49" s="344"/>
      <c r="ECC49" s="345"/>
      <c r="ECD49" s="342"/>
      <c r="ECE49" s="343"/>
      <c r="ECF49" s="344"/>
      <c r="ECG49" s="345"/>
      <c r="ECH49" s="342"/>
      <c r="ECI49" s="343"/>
      <c r="ECJ49" s="344"/>
      <c r="ECK49" s="345"/>
      <c r="ECL49" s="342"/>
      <c r="ECM49" s="343"/>
      <c r="ECN49" s="344"/>
      <c r="ECO49" s="345"/>
      <c r="ECP49" s="342"/>
      <c r="ECQ49" s="343"/>
      <c r="ECR49" s="344"/>
      <c r="ECS49" s="345"/>
      <c r="ECT49" s="342"/>
      <c r="ECU49" s="343"/>
      <c r="ECV49" s="344"/>
      <c r="ECW49" s="345"/>
      <c r="ECX49" s="342"/>
      <c r="ECY49" s="343"/>
      <c r="ECZ49" s="344"/>
      <c r="EDA49" s="345"/>
      <c r="EDB49" s="342"/>
      <c r="EDC49" s="343"/>
      <c r="EDD49" s="344"/>
      <c r="EDE49" s="345"/>
      <c r="EDF49" s="342"/>
      <c r="EDG49" s="343"/>
      <c r="EDH49" s="344"/>
      <c r="EDI49" s="345"/>
      <c r="EDJ49" s="342"/>
      <c r="EDK49" s="343"/>
      <c r="EDL49" s="344"/>
      <c r="EDM49" s="345"/>
      <c r="EDN49" s="342"/>
      <c r="EDO49" s="343"/>
      <c r="EDP49" s="344"/>
      <c r="EDQ49" s="345"/>
      <c r="EDR49" s="342"/>
      <c r="EDS49" s="343"/>
      <c r="EDT49" s="344"/>
      <c r="EDU49" s="345"/>
      <c r="EDV49" s="342"/>
      <c r="EDW49" s="343"/>
      <c r="EDX49" s="344"/>
      <c r="EDY49" s="345"/>
      <c r="EDZ49" s="342"/>
      <c r="EEA49" s="343"/>
      <c r="EEB49" s="344"/>
      <c r="EEC49" s="345"/>
      <c r="EED49" s="342"/>
      <c r="EEE49" s="343"/>
      <c r="EEF49" s="344"/>
      <c r="EEG49" s="345"/>
      <c r="EEH49" s="342"/>
      <c r="EEI49" s="343"/>
      <c r="EEJ49" s="344"/>
      <c r="EEK49" s="345"/>
      <c r="EEL49" s="342"/>
      <c r="EEM49" s="343"/>
      <c r="EEN49" s="344"/>
      <c r="EEO49" s="345"/>
      <c r="EEP49" s="342"/>
      <c r="EEQ49" s="343"/>
      <c r="EER49" s="344"/>
      <c r="EES49" s="345"/>
      <c r="EET49" s="342"/>
      <c r="EEU49" s="343"/>
      <c r="EEV49" s="344"/>
      <c r="EEW49" s="345"/>
      <c r="EEX49" s="342"/>
      <c r="EEY49" s="343"/>
      <c r="EEZ49" s="344"/>
      <c r="EFA49" s="345"/>
      <c r="EFB49" s="342"/>
      <c r="EFC49" s="343"/>
      <c r="EFD49" s="344"/>
      <c r="EFE49" s="345"/>
      <c r="EFF49" s="342"/>
      <c r="EFG49" s="343"/>
      <c r="EFH49" s="344"/>
      <c r="EFI49" s="345"/>
      <c r="EFJ49" s="342"/>
      <c r="EFK49" s="343"/>
      <c r="EFL49" s="344"/>
      <c r="EFM49" s="345"/>
      <c r="EFN49" s="342"/>
      <c r="EFO49" s="343"/>
      <c r="EFP49" s="344"/>
      <c r="EFQ49" s="345"/>
      <c r="EFR49" s="342"/>
      <c r="EFS49" s="343"/>
      <c r="EFT49" s="344"/>
      <c r="EFU49" s="345"/>
      <c r="EFV49" s="342"/>
      <c r="EFW49" s="343"/>
      <c r="EFX49" s="344"/>
      <c r="EFY49" s="345"/>
      <c r="EFZ49" s="342"/>
      <c r="EGA49" s="343"/>
      <c r="EGB49" s="344"/>
      <c r="EGC49" s="345"/>
      <c r="EGD49" s="342"/>
      <c r="EGE49" s="343"/>
      <c r="EGF49" s="344"/>
      <c r="EGG49" s="345"/>
      <c r="EGH49" s="342"/>
      <c r="EGI49" s="343"/>
      <c r="EGJ49" s="344"/>
      <c r="EGK49" s="345"/>
      <c r="EGL49" s="342"/>
      <c r="EGM49" s="343"/>
      <c r="EGN49" s="344"/>
      <c r="EGO49" s="345"/>
      <c r="EGP49" s="342"/>
      <c r="EGQ49" s="343"/>
      <c r="EGR49" s="344"/>
      <c r="EGS49" s="345"/>
      <c r="EGT49" s="342"/>
      <c r="EGU49" s="343"/>
      <c r="EGV49" s="344"/>
      <c r="EGW49" s="345"/>
      <c r="EGX49" s="342"/>
      <c r="EGY49" s="343"/>
      <c r="EGZ49" s="344"/>
      <c r="EHA49" s="345"/>
      <c r="EHB49" s="342"/>
      <c r="EHC49" s="343"/>
      <c r="EHD49" s="344"/>
      <c r="EHE49" s="345"/>
      <c r="EHF49" s="342"/>
      <c r="EHG49" s="343"/>
      <c r="EHH49" s="344"/>
      <c r="EHI49" s="345"/>
      <c r="EHJ49" s="342"/>
      <c r="EHK49" s="343"/>
      <c r="EHL49" s="344"/>
      <c r="EHM49" s="345"/>
      <c r="EHN49" s="342"/>
      <c r="EHO49" s="343"/>
      <c r="EHP49" s="344"/>
      <c r="EHQ49" s="345"/>
      <c r="EHR49" s="342"/>
      <c r="EHS49" s="343"/>
      <c r="EHT49" s="344"/>
      <c r="EHU49" s="345"/>
      <c r="EHV49" s="342"/>
      <c r="EHW49" s="343"/>
      <c r="EHX49" s="344"/>
      <c r="EHY49" s="345"/>
      <c r="EHZ49" s="342"/>
      <c r="EIA49" s="343"/>
      <c r="EIB49" s="344"/>
      <c r="EIC49" s="345"/>
      <c r="EID49" s="342"/>
      <c r="EIE49" s="343"/>
      <c r="EIF49" s="344"/>
      <c r="EIG49" s="345"/>
      <c r="EIH49" s="342"/>
      <c r="EII49" s="343"/>
      <c r="EIJ49" s="344"/>
      <c r="EIK49" s="345"/>
      <c r="EIL49" s="342"/>
      <c r="EIM49" s="343"/>
      <c r="EIN49" s="344"/>
      <c r="EIO49" s="345"/>
      <c r="EIP49" s="342"/>
      <c r="EIQ49" s="343"/>
      <c r="EIR49" s="344"/>
      <c r="EIS49" s="345"/>
      <c r="EIT49" s="342"/>
      <c r="EIU49" s="343"/>
      <c r="EIV49" s="344"/>
      <c r="EIW49" s="345"/>
      <c r="EIX49" s="342"/>
      <c r="EIY49" s="343"/>
      <c r="EIZ49" s="344"/>
      <c r="EJA49" s="345"/>
      <c r="EJB49" s="342"/>
      <c r="EJC49" s="343"/>
      <c r="EJD49" s="344"/>
      <c r="EJE49" s="345"/>
      <c r="EJF49" s="342"/>
      <c r="EJG49" s="343"/>
      <c r="EJH49" s="344"/>
      <c r="EJI49" s="345"/>
      <c r="EJJ49" s="342"/>
      <c r="EJK49" s="343"/>
      <c r="EJL49" s="344"/>
      <c r="EJM49" s="345"/>
      <c r="EJN49" s="342"/>
      <c r="EJO49" s="343"/>
      <c r="EJP49" s="344"/>
      <c r="EJQ49" s="345"/>
      <c r="EJR49" s="342"/>
      <c r="EJS49" s="343"/>
      <c r="EJT49" s="344"/>
      <c r="EJU49" s="345"/>
      <c r="EJV49" s="342"/>
      <c r="EJW49" s="343"/>
      <c r="EJX49" s="344"/>
      <c r="EJY49" s="345"/>
      <c r="EJZ49" s="342"/>
      <c r="EKA49" s="343"/>
      <c r="EKB49" s="344"/>
      <c r="EKC49" s="345"/>
      <c r="EKD49" s="342"/>
      <c r="EKE49" s="343"/>
      <c r="EKF49" s="344"/>
      <c r="EKG49" s="345"/>
      <c r="EKH49" s="342"/>
      <c r="EKI49" s="343"/>
      <c r="EKJ49" s="344"/>
      <c r="EKK49" s="345"/>
      <c r="EKL49" s="342"/>
      <c r="EKM49" s="343"/>
      <c r="EKN49" s="344"/>
      <c r="EKO49" s="345"/>
      <c r="EKP49" s="342"/>
      <c r="EKQ49" s="343"/>
      <c r="EKR49" s="344"/>
      <c r="EKS49" s="345"/>
      <c r="EKT49" s="342"/>
      <c r="EKU49" s="343"/>
      <c r="EKV49" s="344"/>
      <c r="EKW49" s="345"/>
      <c r="EKX49" s="342"/>
      <c r="EKY49" s="343"/>
      <c r="EKZ49" s="344"/>
      <c r="ELA49" s="345"/>
      <c r="ELB49" s="342"/>
      <c r="ELC49" s="343"/>
      <c r="ELD49" s="344"/>
      <c r="ELE49" s="345"/>
      <c r="ELF49" s="342"/>
      <c r="ELG49" s="343"/>
      <c r="ELH49" s="344"/>
      <c r="ELI49" s="345"/>
      <c r="ELJ49" s="342"/>
      <c r="ELK49" s="343"/>
      <c r="ELL49" s="344"/>
      <c r="ELM49" s="345"/>
      <c r="ELN49" s="342"/>
      <c r="ELO49" s="343"/>
      <c r="ELP49" s="344"/>
      <c r="ELQ49" s="345"/>
      <c r="ELR49" s="342"/>
      <c r="ELS49" s="343"/>
      <c r="ELT49" s="344"/>
      <c r="ELU49" s="345"/>
      <c r="ELV49" s="342"/>
      <c r="ELW49" s="343"/>
      <c r="ELX49" s="344"/>
      <c r="ELY49" s="345"/>
      <c r="ELZ49" s="342"/>
      <c r="EMA49" s="343"/>
      <c r="EMB49" s="344"/>
      <c r="EMC49" s="345"/>
      <c r="EMD49" s="342"/>
      <c r="EME49" s="343"/>
      <c r="EMF49" s="344"/>
      <c r="EMG49" s="345"/>
      <c r="EMH49" s="342"/>
      <c r="EMI49" s="343"/>
      <c r="EMJ49" s="344"/>
      <c r="EMK49" s="345"/>
      <c r="EML49" s="342"/>
      <c r="EMM49" s="343"/>
      <c r="EMN49" s="344"/>
      <c r="EMO49" s="345"/>
      <c r="EMP49" s="342"/>
      <c r="EMQ49" s="343"/>
      <c r="EMR49" s="344"/>
      <c r="EMS49" s="345"/>
      <c r="EMT49" s="342"/>
      <c r="EMU49" s="343"/>
      <c r="EMV49" s="344"/>
      <c r="EMW49" s="345"/>
      <c r="EMX49" s="342"/>
      <c r="EMY49" s="343"/>
      <c r="EMZ49" s="344"/>
      <c r="ENA49" s="345"/>
      <c r="ENB49" s="342"/>
      <c r="ENC49" s="343"/>
      <c r="END49" s="344"/>
      <c r="ENE49" s="345"/>
      <c r="ENF49" s="342"/>
      <c r="ENG49" s="343"/>
      <c r="ENH49" s="344"/>
      <c r="ENI49" s="345"/>
      <c r="ENJ49" s="342"/>
      <c r="ENK49" s="343"/>
      <c r="ENL49" s="344"/>
      <c r="ENM49" s="345"/>
      <c r="ENN49" s="342"/>
      <c r="ENO49" s="343"/>
      <c r="ENP49" s="344"/>
      <c r="ENQ49" s="345"/>
      <c r="ENR49" s="342"/>
      <c r="ENS49" s="343"/>
      <c r="ENT49" s="344"/>
      <c r="ENU49" s="345"/>
      <c r="ENV49" s="342"/>
      <c r="ENW49" s="343"/>
      <c r="ENX49" s="344"/>
      <c r="ENY49" s="345"/>
      <c r="ENZ49" s="342"/>
      <c r="EOA49" s="343"/>
      <c r="EOB49" s="344"/>
      <c r="EOC49" s="345"/>
      <c r="EOD49" s="342"/>
      <c r="EOE49" s="343"/>
      <c r="EOF49" s="344"/>
      <c r="EOG49" s="345"/>
      <c r="EOH49" s="342"/>
      <c r="EOI49" s="343"/>
      <c r="EOJ49" s="344"/>
      <c r="EOK49" s="345"/>
      <c r="EOL49" s="342"/>
      <c r="EOM49" s="343"/>
      <c r="EON49" s="344"/>
      <c r="EOO49" s="345"/>
      <c r="EOP49" s="342"/>
      <c r="EOQ49" s="343"/>
      <c r="EOR49" s="344"/>
      <c r="EOS49" s="345"/>
      <c r="EOT49" s="342"/>
      <c r="EOU49" s="343"/>
      <c r="EOV49" s="344"/>
      <c r="EOW49" s="345"/>
      <c r="EOX49" s="342"/>
      <c r="EOY49" s="343"/>
      <c r="EOZ49" s="344"/>
      <c r="EPA49" s="345"/>
      <c r="EPB49" s="342"/>
      <c r="EPC49" s="343"/>
      <c r="EPD49" s="344"/>
      <c r="EPE49" s="345"/>
      <c r="EPF49" s="342"/>
      <c r="EPG49" s="343"/>
      <c r="EPH49" s="344"/>
      <c r="EPI49" s="345"/>
      <c r="EPJ49" s="342"/>
      <c r="EPK49" s="343"/>
      <c r="EPL49" s="344"/>
      <c r="EPM49" s="345"/>
      <c r="EPN49" s="342"/>
      <c r="EPO49" s="343"/>
      <c r="EPP49" s="344"/>
      <c r="EPQ49" s="345"/>
      <c r="EPR49" s="342"/>
      <c r="EPS49" s="343"/>
      <c r="EPT49" s="344"/>
      <c r="EPU49" s="345"/>
      <c r="EPV49" s="342"/>
      <c r="EPW49" s="343"/>
      <c r="EPX49" s="344"/>
      <c r="EPY49" s="345"/>
      <c r="EPZ49" s="342"/>
      <c r="EQA49" s="343"/>
      <c r="EQB49" s="344"/>
      <c r="EQC49" s="345"/>
      <c r="EQD49" s="342"/>
      <c r="EQE49" s="343"/>
      <c r="EQF49" s="344"/>
      <c r="EQG49" s="345"/>
      <c r="EQH49" s="342"/>
      <c r="EQI49" s="343"/>
      <c r="EQJ49" s="344"/>
      <c r="EQK49" s="345"/>
      <c r="EQL49" s="342"/>
      <c r="EQM49" s="343"/>
      <c r="EQN49" s="344"/>
      <c r="EQO49" s="345"/>
      <c r="EQP49" s="342"/>
      <c r="EQQ49" s="343"/>
      <c r="EQR49" s="344"/>
      <c r="EQS49" s="345"/>
      <c r="EQT49" s="342"/>
      <c r="EQU49" s="343"/>
      <c r="EQV49" s="344"/>
      <c r="EQW49" s="345"/>
      <c r="EQX49" s="342"/>
      <c r="EQY49" s="343"/>
      <c r="EQZ49" s="344"/>
      <c r="ERA49" s="345"/>
      <c r="ERB49" s="342"/>
      <c r="ERC49" s="343"/>
      <c r="ERD49" s="344"/>
      <c r="ERE49" s="345"/>
      <c r="ERF49" s="342"/>
      <c r="ERG49" s="343"/>
      <c r="ERH49" s="344"/>
      <c r="ERI49" s="345"/>
      <c r="ERJ49" s="342"/>
      <c r="ERK49" s="343"/>
      <c r="ERL49" s="344"/>
      <c r="ERM49" s="345"/>
      <c r="ERN49" s="342"/>
      <c r="ERO49" s="343"/>
      <c r="ERP49" s="344"/>
      <c r="ERQ49" s="345"/>
      <c r="ERR49" s="342"/>
      <c r="ERS49" s="343"/>
      <c r="ERT49" s="344"/>
      <c r="ERU49" s="345"/>
      <c r="ERV49" s="342"/>
      <c r="ERW49" s="343"/>
      <c r="ERX49" s="344"/>
      <c r="ERY49" s="345"/>
      <c r="ERZ49" s="342"/>
      <c r="ESA49" s="343"/>
      <c r="ESB49" s="344"/>
      <c r="ESC49" s="345"/>
      <c r="ESD49" s="342"/>
      <c r="ESE49" s="343"/>
      <c r="ESF49" s="344"/>
      <c r="ESG49" s="345"/>
      <c r="ESH49" s="342"/>
      <c r="ESI49" s="343"/>
      <c r="ESJ49" s="344"/>
      <c r="ESK49" s="345"/>
      <c r="ESL49" s="342"/>
      <c r="ESM49" s="343"/>
      <c r="ESN49" s="344"/>
      <c r="ESO49" s="345"/>
      <c r="ESP49" s="342"/>
      <c r="ESQ49" s="343"/>
      <c r="ESR49" s="344"/>
      <c r="ESS49" s="345"/>
      <c r="EST49" s="342"/>
      <c r="ESU49" s="343"/>
      <c r="ESV49" s="344"/>
      <c r="ESW49" s="345"/>
      <c r="ESX49" s="342"/>
      <c r="ESY49" s="343"/>
      <c r="ESZ49" s="344"/>
      <c r="ETA49" s="345"/>
      <c r="ETB49" s="342"/>
      <c r="ETC49" s="343"/>
      <c r="ETD49" s="344"/>
      <c r="ETE49" s="345"/>
      <c r="ETF49" s="342"/>
      <c r="ETG49" s="343"/>
      <c r="ETH49" s="344"/>
      <c r="ETI49" s="345"/>
      <c r="ETJ49" s="342"/>
      <c r="ETK49" s="343"/>
      <c r="ETL49" s="344"/>
      <c r="ETM49" s="345"/>
      <c r="ETN49" s="342"/>
      <c r="ETO49" s="343"/>
      <c r="ETP49" s="344"/>
      <c r="ETQ49" s="345"/>
      <c r="ETR49" s="342"/>
      <c r="ETS49" s="343"/>
      <c r="ETT49" s="344"/>
      <c r="ETU49" s="345"/>
      <c r="ETV49" s="342"/>
      <c r="ETW49" s="343"/>
      <c r="ETX49" s="344"/>
      <c r="ETY49" s="345"/>
      <c r="ETZ49" s="342"/>
      <c r="EUA49" s="343"/>
      <c r="EUB49" s="344"/>
      <c r="EUC49" s="345"/>
      <c r="EUD49" s="342"/>
      <c r="EUE49" s="343"/>
      <c r="EUF49" s="344"/>
      <c r="EUG49" s="345"/>
      <c r="EUH49" s="342"/>
      <c r="EUI49" s="343"/>
      <c r="EUJ49" s="344"/>
      <c r="EUK49" s="345"/>
      <c r="EUL49" s="342"/>
      <c r="EUM49" s="343"/>
      <c r="EUN49" s="344"/>
      <c r="EUO49" s="345"/>
      <c r="EUP49" s="342"/>
      <c r="EUQ49" s="343"/>
      <c r="EUR49" s="344"/>
      <c r="EUS49" s="345"/>
      <c r="EUT49" s="342"/>
      <c r="EUU49" s="343"/>
      <c r="EUV49" s="344"/>
      <c r="EUW49" s="345"/>
      <c r="EUX49" s="342"/>
      <c r="EUY49" s="343"/>
      <c r="EUZ49" s="344"/>
      <c r="EVA49" s="345"/>
      <c r="EVB49" s="342"/>
      <c r="EVC49" s="343"/>
      <c r="EVD49" s="344"/>
      <c r="EVE49" s="345"/>
      <c r="EVF49" s="342"/>
      <c r="EVG49" s="343"/>
      <c r="EVH49" s="344"/>
      <c r="EVI49" s="345"/>
      <c r="EVJ49" s="342"/>
      <c r="EVK49" s="343"/>
      <c r="EVL49" s="344"/>
      <c r="EVM49" s="345"/>
      <c r="EVN49" s="342"/>
      <c r="EVO49" s="343"/>
      <c r="EVP49" s="344"/>
      <c r="EVQ49" s="345"/>
      <c r="EVR49" s="342"/>
      <c r="EVS49" s="343"/>
      <c r="EVT49" s="344"/>
      <c r="EVU49" s="345"/>
      <c r="EVV49" s="342"/>
      <c r="EVW49" s="343"/>
      <c r="EVX49" s="344"/>
      <c r="EVY49" s="345"/>
      <c r="EVZ49" s="342"/>
      <c r="EWA49" s="343"/>
      <c r="EWB49" s="344"/>
      <c r="EWC49" s="345"/>
      <c r="EWD49" s="342"/>
      <c r="EWE49" s="343"/>
      <c r="EWF49" s="344"/>
      <c r="EWG49" s="345"/>
      <c r="EWH49" s="342"/>
      <c r="EWI49" s="343"/>
      <c r="EWJ49" s="344"/>
      <c r="EWK49" s="345"/>
      <c r="EWL49" s="342"/>
      <c r="EWM49" s="343"/>
      <c r="EWN49" s="344"/>
      <c r="EWO49" s="345"/>
      <c r="EWP49" s="342"/>
      <c r="EWQ49" s="343"/>
      <c r="EWR49" s="344"/>
      <c r="EWS49" s="345"/>
      <c r="EWT49" s="342"/>
      <c r="EWU49" s="343"/>
      <c r="EWV49" s="344"/>
      <c r="EWW49" s="345"/>
      <c r="EWX49" s="342"/>
      <c r="EWY49" s="343"/>
      <c r="EWZ49" s="344"/>
      <c r="EXA49" s="345"/>
      <c r="EXB49" s="342"/>
      <c r="EXC49" s="343"/>
      <c r="EXD49" s="344"/>
      <c r="EXE49" s="345"/>
      <c r="EXF49" s="342"/>
      <c r="EXG49" s="343"/>
      <c r="EXH49" s="344"/>
      <c r="EXI49" s="345"/>
      <c r="EXJ49" s="342"/>
      <c r="EXK49" s="343"/>
      <c r="EXL49" s="344"/>
      <c r="EXM49" s="345"/>
      <c r="EXN49" s="342"/>
      <c r="EXO49" s="343"/>
      <c r="EXP49" s="344"/>
      <c r="EXQ49" s="345"/>
      <c r="EXR49" s="342"/>
      <c r="EXS49" s="343"/>
      <c r="EXT49" s="344"/>
      <c r="EXU49" s="345"/>
      <c r="EXV49" s="342"/>
      <c r="EXW49" s="343"/>
      <c r="EXX49" s="344"/>
      <c r="EXY49" s="345"/>
      <c r="EXZ49" s="342"/>
      <c r="EYA49" s="343"/>
      <c r="EYB49" s="344"/>
      <c r="EYC49" s="345"/>
      <c r="EYD49" s="342"/>
      <c r="EYE49" s="343"/>
      <c r="EYF49" s="344"/>
      <c r="EYG49" s="345"/>
      <c r="EYH49" s="342"/>
      <c r="EYI49" s="343"/>
      <c r="EYJ49" s="344"/>
      <c r="EYK49" s="345"/>
      <c r="EYL49" s="342"/>
      <c r="EYM49" s="343"/>
      <c r="EYN49" s="344"/>
      <c r="EYO49" s="345"/>
      <c r="EYP49" s="342"/>
      <c r="EYQ49" s="343"/>
      <c r="EYR49" s="344"/>
      <c r="EYS49" s="345"/>
      <c r="EYT49" s="342"/>
      <c r="EYU49" s="343"/>
      <c r="EYV49" s="344"/>
      <c r="EYW49" s="345"/>
      <c r="EYX49" s="342"/>
      <c r="EYY49" s="343"/>
      <c r="EYZ49" s="344"/>
      <c r="EZA49" s="345"/>
      <c r="EZB49" s="342"/>
      <c r="EZC49" s="343"/>
      <c r="EZD49" s="344"/>
      <c r="EZE49" s="345"/>
      <c r="EZF49" s="342"/>
      <c r="EZG49" s="343"/>
      <c r="EZH49" s="344"/>
      <c r="EZI49" s="345"/>
      <c r="EZJ49" s="342"/>
      <c r="EZK49" s="343"/>
      <c r="EZL49" s="344"/>
      <c r="EZM49" s="345"/>
      <c r="EZN49" s="342"/>
      <c r="EZO49" s="343"/>
      <c r="EZP49" s="344"/>
      <c r="EZQ49" s="345"/>
      <c r="EZR49" s="342"/>
      <c r="EZS49" s="343"/>
      <c r="EZT49" s="344"/>
      <c r="EZU49" s="345"/>
      <c r="EZV49" s="342"/>
      <c r="EZW49" s="343"/>
      <c r="EZX49" s="344"/>
      <c r="EZY49" s="345"/>
      <c r="EZZ49" s="342"/>
      <c r="FAA49" s="343"/>
      <c r="FAB49" s="344"/>
      <c r="FAC49" s="345"/>
      <c r="FAD49" s="342"/>
      <c r="FAE49" s="343"/>
      <c r="FAF49" s="344"/>
      <c r="FAG49" s="345"/>
      <c r="FAH49" s="342"/>
      <c r="FAI49" s="343"/>
      <c r="FAJ49" s="344"/>
      <c r="FAK49" s="345"/>
      <c r="FAL49" s="342"/>
      <c r="FAM49" s="343"/>
      <c r="FAN49" s="344"/>
      <c r="FAO49" s="345"/>
      <c r="FAP49" s="342"/>
      <c r="FAQ49" s="343"/>
      <c r="FAR49" s="344"/>
      <c r="FAS49" s="345"/>
      <c r="FAT49" s="342"/>
      <c r="FAU49" s="343"/>
      <c r="FAV49" s="344"/>
      <c r="FAW49" s="345"/>
      <c r="FAX49" s="342"/>
      <c r="FAY49" s="343"/>
      <c r="FAZ49" s="344"/>
      <c r="FBA49" s="345"/>
      <c r="FBB49" s="342"/>
      <c r="FBC49" s="343"/>
      <c r="FBD49" s="344"/>
      <c r="FBE49" s="345"/>
      <c r="FBF49" s="342"/>
      <c r="FBG49" s="343"/>
      <c r="FBH49" s="344"/>
      <c r="FBI49" s="345"/>
      <c r="FBJ49" s="342"/>
      <c r="FBK49" s="343"/>
      <c r="FBL49" s="344"/>
      <c r="FBM49" s="345"/>
      <c r="FBN49" s="342"/>
      <c r="FBO49" s="343"/>
      <c r="FBP49" s="344"/>
      <c r="FBQ49" s="345"/>
      <c r="FBR49" s="342"/>
      <c r="FBS49" s="343"/>
      <c r="FBT49" s="344"/>
      <c r="FBU49" s="345"/>
      <c r="FBV49" s="342"/>
      <c r="FBW49" s="343"/>
      <c r="FBX49" s="344"/>
      <c r="FBY49" s="345"/>
      <c r="FBZ49" s="342"/>
      <c r="FCA49" s="343"/>
      <c r="FCB49" s="344"/>
      <c r="FCC49" s="345"/>
      <c r="FCD49" s="342"/>
      <c r="FCE49" s="343"/>
      <c r="FCF49" s="344"/>
      <c r="FCG49" s="345"/>
      <c r="FCH49" s="342"/>
      <c r="FCI49" s="343"/>
      <c r="FCJ49" s="344"/>
      <c r="FCK49" s="345"/>
      <c r="FCL49" s="342"/>
      <c r="FCM49" s="343"/>
      <c r="FCN49" s="344"/>
      <c r="FCO49" s="345"/>
      <c r="FCP49" s="342"/>
      <c r="FCQ49" s="343"/>
      <c r="FCR49" s="344"/>
      <c r="FCS49" s="345"/>
      <c r="FCT49" s="342"/>
      <c r="FCU49" s="343"/>
      <c r="FCV49" s="344"/>
      <c r="FCW49" s="345"/>
      <c r="FCX49" s="342"/>
      <c r="FCY49" s="343"/>
      <c r="FCZ49" s="344"/>
      <c r="FDA49" s="345"/>
      <c r="FDB49" s="342"/>
      <c r="FDC49" s="343"/>
      <c r="FDD49" s="344"/>
      <c r="FDE49" s="345"/>
      <c r="FDF49" s="342"/>
      <c r="FDG49" s="343"/>
      <c r="FDH49" s="344"/>
      <c r="FDI49" s="345"/>
      <c r="FDJ49" s="342"/>
      <c r="FDK49" s="343"/>
      <c r="FDL49" s="344"/>
      <c r="FDM49" s="345"/>
      <c r="FDN49" s="342"/>
      <c r="FDO49" s="343"/>
      <c r="FDP49" s="344"/>
      <c r="FDQ49" s="345"/>
      <c r="FDR49" s="342"/>
      <c r="FDS49" s="343"/>
      <c r="FDT49" s="344"/>
      <c r="FDU49" s="345"/>
      <c r="FDV49" s="342"/>
      <c r="FDW49" s="343"/>
      <c r="FDX49" s="344"/>
      <c r="FDY49" s="345"/>
      <c r="FDZ49" s="342"/>
      <c r="FEA49" s="343"/>
      <c r="FEB49" s="344"/>
      <c r="FEC49" s="345"/>
      <c r="FED49" s="342"/>
      <c r="FEE49" s="343"/>
      <c r="FEF49" s="344"/>
      <c r="FEG49" s="345"/>
      <c r="FEH49" s="342"/>
      <c r="FEI49" s="343"/>
      <c r="FEJ49" s="344"/>
      <c r="FEK49" s="345"/>
      <c r="FEL49" s="342"/>
      <c r="FEM49" s="343"/>
      <c r="FEN49" s="344"/>
      <c r="FEO49" s="345"/>
      <c r="FEP49" s="342"/>
      <c r="FEQ49" s="343"/>
      <c r="FER49" s="344"/>
      <c r="FES49" s="345"/>
      <c r="FET49" s="342"/>
      <c r="FEU49" s="343"/>
      <c r="FEV49" s="344"/>
      <c r="FEW49" s="345"/>
      <c r="FEX49" s="342"/>
      <c r="FEY49" s="343"/>
      <c r="FEZ49" s="344"/>
      <c r="FFA49" s="345"/>
      <c r="FFB49" s="342"/>
      <c r="FFC49" s="343"/>
      <c r="FFD49" s="344"/>
      <c r="FFE49" s="345"/>
      <c r="FFF49" s="342"/>
      <c r="FFG49" s="343"/>
      <c r="FFH49" s="344"/>
      <c r="FFI49" s="345"/>
      <c r="FFJ49" s="342"/>
      <c r="FFK49" s="343"/>
      <c r="FFL49" s="344"/>
      <c r="FFM49" s="345"/>
      <c r="FFN49" s="342"/>
      <c r="FFO49" s="343"/>
      <c r="FFP49" s="344"/>
      <c r="FFQ49" s="345"/>
      <c r="FFR49" s="342"/>
      <c r="FFS49" s="343"/>
      <c r="FFT49" s="344"/>
      <c r="FFU49" s="345"/>
      <c r="FFV49" s="342"/>
      <c r="FFW49" s="343"/>
      <c r="FFX49" s="344"/>
      <c r="FFY49" s="345"/>
      <c r="FFZ49" s="342"/>
      <c r="FGA49" s="343"/>
      <c r="FGB49" s="344"/>
      <c r="FGC49" s="345"/>
      <c r="FGD49" s="342"/>
      <c r="FGE49" s="343"/>
      <c r="FGF49" s="344"/>
      <c r="FGG49" s="345"/>
      <c r="FGH49" s="342"/>
      <c r="FGI49" s="343"/>
      <c r="FGJ49" s="344"/>
      <c r="FGK49" s="345"/>
      <c r="FGL49" s="342"/>
      <c r="FGM49" s="343"/>
      <c r="FGN49" s="344"/>
      <c r="FGO49" s="345"/>
      <c r="FGP49" s="342"/>
      <c r="FGQ49" s="343"/>
      <c r="FGR49" s="344"/>
      <c r="FGS49" s="345"/>
      <c r="FGT49" s="342"/>
      <c r="FGU49" s="343"/>
      <c r="FGV49" s="344"/>
      <c r="FGW49" s="345"/>
      <c r="FGX49" s="342"/>
      <c r="FGY49" s="343"/>
      <c r="FGZ49" s="344"/>
      <c r="FHA49" s="345"/>
      <c r="FHB49" s="342"/>
      <c r="FHC49" s="343"/>
      <c r="FHD49" s="344"/>
      <c r="FHE49" s="345"/>
      <c r="FHF49" s="342"/>
      <c r="FHG49" s="343"/>
      <c r="FHH49" s="344"/>
      <c r="FHI49" s="345"/>
      <c r="FHJ49" s="342"/>
      <c r="FHK49" s="343"/>
      <c r="FHL49" s="344"/>
      <c r="FHM49" s="345"/>
      <c r="FHN49" s="342"/>
      <c r="FHO49" s="343"/>
      <c r="FHP49" s="344"/>
      <c r="FHQ49" s="345"/>
      <c r="FHR49" s="342"/>
      <c r="FHS49" s="343"/>
      <c r="FHT49" s="344"/>
      <c r="FHU49" s="345"/>
      <c r="FHV49" s="342"/>
      <c r="FHW49" s="343"/>
      <c r="FHX49" s="344"/>
      <c r="FHY49" s="345"/>
      <c r="FHZ49" s="342"/>
      <c r="FIA49" s="343"/>
      <c r="FIB49" s="344"/>
      <c r="FIC49" s="345"/>
      <c r="FID49" s="342"/>
      <c r="FIE49" s="343"/>
      <c r="FIF49" s="344"/>
      <c r="FIG49" s="345"/>
      <c r="FIH49" s="342"/>
      <c r="FII49" s="343"/>
      <c r="FIJ49" s="344"/>
      <c r="FIK49" s="345"/>
      <c r="FIL49" s="342"/>
      <c r="FIM49" s="343"/>
      <c r="FIN49" s="344"/>
      <c r="FIO49" s="345"/>
      <c r="FIP49" s="342"/>
      <c r="FIQ49" s="343"/>
      <c r="FIR49" s="344"/>
      <c r="FIS49" s="345"/>
      <c r="FIT49" s="342"/>
      <c r="FIU49" s="343"/>
      <c r="FIV49" s="344"/>
      <c r="FIW49" s="345"/>
      <c r="FIX49" s="342"/>
      <c r="FIY49" s="343"/>
      <c r="FIZ49" s="344"/>
      <c r="FJA49" s="345"/>
      <c r="FJB49" s="342"/>
      <c r="FJC49" s="343"/>
      <c r="FJD49" s="344"/>
      <c r="FJE49" s="345"/>
      <c r="FJF49" s="342"/>
      <c r="FJG49" s="343"/>
      <c r="FJH49" s="344"/>
      <c r="FJI49" s="345"/>
      <c r="FJJ49" s="342"/>
      <c r="FJK49" s="343"/>
      <c r="FJL49" s="344"/>
      <c r="FJM49" s="345"/>
      <c r="FJN49" s="342"/>
      <c r="FJO49" s="343"/>
      <c r="FJP49" s="344"/>
      <c r="FJQ49" s="345"/>
      <c r="FJR49" s="342"/>
      <c r="FJS49" s="343"/>
      <c r="FJT49" s="344"/>
      <c r="FJU49" s="345"/>
      <c r="FJV49" s="342"/>
      <c r="FJW49" s="343"/>
      <c r="FJX49" s="344"/>
      <c r="FJY49" s="345"/>
      <c r="FJZ49" s="342"/>
      <c r="FKA49" s="343"/>
      <c r="FKB49" s="344"/>
      <c r="FKC49" s="345"/>
      <c r="FKD49" s="342"/>
      <c r="FKE49" s="343"/>
      <c r="FKF49" s="344"/>
      <c r="FKG49" s="345"/>
      <c r="FKH49" s="342"/>
      <c r="FKI49" s="343"/>
      <c r="FKJ49" s="344"/>
      <c r="FKK49" s="345"/>
      <c r="FKL49" s="342"/>
      <c r="FKM49" s="343"/>
      <c r="FKN49" s="344"/>
      <c r="FKO49" s="345"/>
      <c r="FKP49" s="342"/>
      <c r="FKQ49" s="343"/>
      <c r="FKR49" s="344"/>
      <c r="FKS49" s="345"/>
      <c r="FKT49" s="342"/>
      <c r="FKU49" s="343"/>
      <c r="FKV49" s="344"/>
      <c r="FKW49" s="345"/>
      <c r="FKX49" s="342"/>
      <c r="FKY49" s="343"/>
      <c r="FKZ49" s="344"/>
      <c r="FLA49" s="345"/>
      <c r="FLB49" s="342"/>
      <c r="FLC49" s="343"/>
      <c r="FLD49" s="344"/>
      <c r="FLE49" s="345"/>
      <c r="FLF49" s="342"/>
      <c r="FLG49" s="343"/>
      <c r="FLH49" s="344"/>
      <c r="FLI49" s="345"/>
      <c r="FLJ49" s="342"/>
      <c r="FLK49" s="343"/>
      <c r="FLL49" s="344"/>
      <c r="FLM49" s="345"/>
      <c r="FLN49" s="342"/>
      <c r="FLO49" s="343"/>
      <c r="FLP49" s="344"/>
      <c r="FLQ49" s="345"/>
      <c r="FLR49" s="342"/>
      <c r="FLS49" s="343"/>
      <c r="FLT49" s="344"/>
      <c r="FLU49" s="345"/>
      <c r="FLV49" s="342"/>
      <c r="FLW49" s="343"/>
      <c r="FLX49" s="344"/>
      <c r="FLY49" s="345"/>
      <c r="FLZ49" s="342"/>
      <c r="FMA49" s="343"/>
      <c r="FMB49" s="344"/>
      <c r="FMC49" s="345"/>
      <c r="FMD49" s="342"/>
      <c r="FME49" s="343"/>
      <c r="FMF49" s="344"/>
      <c r="FMG49" s="345"/>
      <c r="FMH49" s="342"/>
      <c r="FMI49" s="343"/>
      <c r="FMJ49" s="344"/>
      <c r="FMK49" s="345"/>
      <c r="FML49" s="342"/>
      <c r="FMM49" s="343"/>
      <c r="FMN49" s="344"/>
      <c r="FMO49" s="345"/>
      <c r="FMP49" s="342"/>
      <c r="FMQ49" s="343"/>
      <c r="FMR49" s="344"/>
      <c r="FMS49" s="345"/>
      <c r="FMT49" s="342"/>
      <c r="FMU49" s="343"/>
      <c r="FMV49" s="344"/>
      <c r="FMW49" s="345"/>
      <c r="FMX49" s="342"/>
      <c r="FMY49" s="343"/>
      <c r="FMZ49" s="344"/>
      <c r="FNA49" s="345"/>
      <c r="FNB49" s="342"/>
      <c r="FNC49" s="343"/>
      <c r="FND49" s="344"/>
      <c r="FNE49" s="345"/>
      <c r="FNF49" s="342"/>
      <c r="FNG49" s="343"/>
      <c r="FNH49" s="344"/>
      <c r="FNI49" s="345"/>
      <c r="FNJ49" s="342"/>
      <c r="FNK49" s="343"/>
      <c r="FNL49" s="344"/>
      <c r="FNM49" s="345"/>
      <c r="FNN49" s="342"/>
      <c r="FNO49" s="343"/>
      <c r="FNP49" s="344"/>
      <c r="FNQ49" s="345"/>
      <c r="FNR49" s="342"/>
      <c r="FNS49" s="343"/>
      <c r="FNT49" s="344"/>
      <c r="FNU49" s="345"/>
      <c r="FNV49" s="342"/>
      <c r="FNW49" s="343"/>
      <c r="FNX49" s="344"/>
      <c r="FNY49" s="345"/>
      <c r="FNZ49" s="342"/>
      <c r="FOA49" s="343"/>
      <c r="FOB49" s="344"/>
      <c r="FOC49" s="345"/>
      <c r="FOD49" s="342"/>
      <c r="FOE49" s="343"/>
      <c r="FOF49" s="344"/>
      <c r="FOG49" s="345"/>
      <c r="FOH49" s="342"/>
      <c r="FOI49" s="343"/>
      <c r="FOJ49" s="344"/>
      <c r="FOK49" s="345"/>
      <c r="FOL49" s="342"/>
      <c r="FOM49" s="343"/>
      <c r="FON49" s="344"/>
      <c r="FOO49" s="345"/>
      <c r="FOP49" s="342"/>
      <c r="FOQ49" s="343"/>
      <c r="FOR49" s="344"/>
      <c r="FOS49" s="345"/>
      <c r="FOT49" s="342"/>
      <c r="FOU49" s="343"/>
      <c r="FOV49" s="344"/>
      <c r="FOW49" s="345"/>
      <c r="FOX49" s="342"/>
      <c r="FOY49" s="343"/>
      <c r="FOZ49" s="344"/>
      <c r="FPA49" s="345"/>
      <c r="FPB49" s="342"/>
      <c r="FPC49" s="343"/>
      <c r="FPD49" s="344"/>
      <c r="FPE49" s="345"/>
      <c r="FPF49" s="342"/>
      <c r="FPG49" s="343"/>
      <c r="FPH49" s="344"/>
      <c r="FPI49" s="345"/>
      <c r="FPJ49" s="342"/>
      <c r="FPK49" s="343"/>
      <c r="FPL49" s="344"/>
      <c r="FPM49" s="345"/>
      <c r="FPN49" s="342"/>
      <c r="FPO49" s="343"/>
      <c r="FPP49" s="344"/>
      <c r="FPQ49" s="345"/>
      <c r="FPR49" s="342"/>
      <c r="FPS49" s="343"/>
      <c r="FPT49" s="344"/>
      <c r="FPU49" s="345"/>
      <c r="FPV49" s="342"/>
      <c r="FPW49" s="343"/>
      <c r="FPX49" s="344"/>
      <c r="FPY49" s="345"/>
      <c r="FPZ49" s="342"/>
      <c r="FQA49" s="343"/>
      <c r="FQB49" s="344"/>
      <c r="FQC49" s="345"/>
      <c r="FQD49" s="342"/>
      <c r="FQE49" s="343"/>
      <c r="FQF49" s="344"/>
      <c r="FQG49" s="345"/>
      <c r="FQH49" s="342"/>
      <c r="FQI49" s="343"/>
      <c r="FQJ49" s="344"/>
      <c r="FQK49" s="345"/>
      <c r="FQL49" s="342"/>
      <c r="FQM49" s="343"/>
      <c r="FQN49" s="344"/>
      <c r="FQO49" s="345"/>
      <c r="FQP49" s="342"/>
      <c r="FQQ49" s="343"/>
      <c r="FQR49" s="344"/>
      <c r="FQS49" s="345"/>
      <c r="FQT49" s="342"/>
      <c r="FQU49" s="343"/>
      <c r="FQV49" s="344"/>
      <c r="FQW49" s="345"/>
      <c r="FQX49" s="342"/>
      <c r="FQY49" s="343"/>
      <c r="FQZ49" s="344"/>
      <c r="FRA49" s="345"/>
      <c r="FRB49" s="342"/>
      <c r="FRC49" s="343"/>
      <c r="FRD49" s="344"/>
      <c r="FRE49" s="345"/>
      <c r="FRF49" s="342"/>
      <c r="FRG49" s="343"/>
      <c r="FRH49" s="344"/>
      <c r="FRI49" s="345"/>
      <c r="FRJ49" s="342"/>
      <c r="FRK49" s="343"/>
      <c r="FRL49" s="344"/>
      <c r="FRM49" s="345"/>
      <c r="FRN49" s="342"/>
      <c r="FRO49" s="343"/>
      <c r="FRP49" s="344"/>
      <c r="FRQ49" s="345"/>
      <c r="FRR49" s="342"/>
      <c r="FRS49" s="343"/>
      <c r="FRT49" s="344"/>
      <c r="FRU49" s="345"/>
      <c r="FRV49" s="342"/>
      <c r="FRW49" s="343"/>
      <c r="FRX49" s="344"/>
      <c r="FRY49" s="345"/>
      <c r="FRZ49" s="342"/>
      <c r="FSA49" s="343"/>
      <c r="FSB49" s="344"/>
      <c r="FSC49" s="345"/>
      <c r="FSD49" s="342"/>
      <c r="FSE49" s="343"/>
      <c r="FSF49" s="344"/>
      <c r="FSG49" s="345"/>
      <c r="FSH49" s="342"/>
      <c r="FSI49" s="343"/>
      <c r="FSJ49" s="344"/>
      <c r="FSK49" s="345"/>
      <c r="FSL49" s="342"/>
      <c r="FSM49" s="343"/>
      <c r="FSN49" s="344"/>
      <c r="FSO49" s="345"/>
      <c r="FSP49" s="342"/>
      <c r="FSQ49" s="343"/>
      <c r="FSR49" s="344"/>
      <c r="FSS49" s="345"/>
      <c r="FST49" s="342"/>
      <c r="FSU49" s="343"/>
      <c r="FSV49" s="344"/>
      <c r="FSW49" s="345"/>
      <c r="FSX49" s="342"/>
      <c r="FSY49" s="343"/>
      <c r="FSZ49" s="344"/>
      <c r="FTA49" s="345"/>
      <c r="FTB49" s="342"/>
      <c r="FTC49" s="343"/>
      <c r="FTD49" s="344"/>
      <c r="FTE49" s="345"/>
      <c r="FTF49" s="342"/>
      <c r="FTG49" s="343"/>
      <c r="FTH49" s="344"/>
      <c r="FTI49" s="345"/>
      <c r="FTJ49" s="342"/>
      <c r="FTK49" s="343"/>
      <c r="FTL49" s="344"/>
      <c r="FTM49" s="345"/>
      <c r="FTN49" s="342"/>
      <c r="FTO49" s="343"/>
      <c r="FTP49" s="344"/>
      <c r="FTQ49" s="345"/>
      <c r="FTR49" s="342"/>
      <c r="FTS49" s="343"/>
      <c r="FTT49" s="344"/>
      <c r="FTU49" s="345"/>
      <c r="FTV49" s="342"/>
      <c r="FTW49" s="343"/>
      <c r="FTX49" s="344"/>
      <c r="FTY49" s="345"/>
      <c r="FTZ49" s="342"/>
      <c r="FUA49" s="343"/>
      <c r="FUB49" s="344"/>
      <c r="FUC49" s="345"/>
      <c r="FUD49" s="342"/>
      <c r="FUE49" s="343"/>
      <c r="FUF49" s="344"/>
      <c r="FUG49" s="345"/>
      <c r="FUH49" s="342"/>
      <c r="FUI49" s="343"/>
      <c r="FUJ49" s="344"/>
      <c r="FUK49" s="345"/>
      <c r="FUL49" s="342"/>
      <c r="FUM49" s="343"/>
      <c r="FUN49" s="344"/>
      <c r="FUO49" s="345"/>
      <c r="FUP49" s="342"/>
      <c r="FUQ49" s="343"/>
      <c r="FUR49" s="344"/>
      <c r="FUS49" s="345"/>
      <c r="FUT49" s="342"/>
      <c r="FUU49" s="343"/>
      <c r="FUV49" s="344"/>
      <c r="FUW49" s="345"/>
      <c r="FUX49" s="342"/>
      <c r="FUY49" s="343"/>
      <c r="FUZ49" s="344"/>
      <c r="FVA49" s="345"/>
      <c r="FVB49" s="342"/>
      <c r="FVC49" s="343"/>
      <c r="FVD49" s="344"/>
      <c r="FVE49" s="345"/>
      <c r="FVF49" s="342"/>
      <c r="FVG49" s="343"/>
      <c r="FVH49" s="344"/>
      <c r="FVI49" s="345"/>
      <c r="FVJ49" s="342"/>
      <c r="FVK49" s="343"/>
      <c r="FVL49" s="344"/>
      <c r="FVM49" s="345"/>
      <c r="FVN49" s="342"/>
      <c r="FVO49" s="343"/>
      <c r="FVP49" s="344"/>
      <c r="FVQ49" s="345"/>
      <c r="FVR49" s="342"/>
      <c r="FVS49" s="343"/>
      <c r="FVT49" s="344"/>
      <c r="FVU49" s="345"/>
      <c r="FVV49" s="342"/>
      <c r="FVW49" s="343"/>
      <c r="FVX49" s="344"/>
      <c r="FVY49" s="345"/>
      <c r="FVZ49" s="342"/>
      <c r="FWA49" s="343"/>
      <c r="FWB49" s="344"/>
      <c r="FWC49" s="345"/>
      <c r="FWD49" s="342"/>
      <c r="FWE49" s="343"/>
      <c r="FWF49" s="344"/>
      <c r="FWG49" s="345"/>
      <c r="FWH49" s="342"/>
      <c r="FWI49" s="343"/>
      <c r="FWJ49" s="344"/>
      <c r="FWK49" s="345"/>
      <c r="FWL49" s="342"/>
      <c r="FWM49" s="343"/>
      <c r="FWN49" s="344"/>
      <c r="FWO49" s="345"/>
      <c r="FWP49" s="342"/>
      <c r="FWQ49" s="343"/>
      <c r="FWR49" s="344"/>
      <c r="FWS49" s="345"/>
      <c r="FWT49" s="342"/>
      <c r="FWU49" s="343"/>
      <c r="FWV49" s="344"/>
      <c r="FWW49" s="345"/>
      <c r="FWX49" s="342"/>
      <c r="FWY49" s="343"/>
      <c r="FWZ49" s="344"/>
      <c r="FXA49" s="345"/>
      <c r="FXB49" s="342"/>
      <c r="FXC49" s="343"/>
      <c r="FXD49" s="344"/>
      <c r="FXE49" s="345"/>
      <c r="FXF49" s="342"/>
      <c r="FXG49" s="343"/>
      <c r="FXH49" s="344"/>
      <c r="FXI49" s="345"/>
      <c r="FXJ49" s="342"/>
      <c r="FXK49" s="343"/>
      <c r="FXL49" s="344"/>
      <c r="FXM49" s="345"/>
      <c r="FXN49" s="342"/>
      <c r="FXO49" s="343"/>
      <c r="FXP49" s="344"/>
      <c r="FXQ49" s="345"/>
      <c r="FXR49" s="342"/>
      <c r="FXS49" s="343"/>
      <c r="FXT49" s="344"/>
      <c r="FXU49" s="345"/>
      <c r="FXV49" s="342"/>
      <c r="FXW49" s="343"/>
      <c r="FXX49" s="344"/>
      <c r="FXY49" s="345"/>
      <c r="FXZ49" s="342"/>
      <c r="FYA49" s="343"/>
      <c r="FYB49" s="344"/>
      <c r="FYC49" s="345"/>
      <c r="FYD49" s="342"/>
      <c r="FYE49" s="343"/>
      <c r="FYF49" s="344"/>
      <c r="FYG49" s="345"/>
      <c r="FYH49" s="342"/>
      <c r="FYI49" s="343"/>
      <c r="FYJ49" s="344"/>
      <c r="FYK49" s="345"/>
      <c r="FYL49" s="342"/>
      <c r="FYM49" s="343"/>
      <c r="FYN49" s="344"/>
      <c r="FYO49" s="345"/>
      <c r="FYP49" s="342"/>
      <c r="FYQ49" s="343"/>
      <c r="FYR49" s="344"/>
      <c r="FYS49" s="345"/>
      <c r="FYT49" s="342"/>
      <c r="FYU49" s="343"/>
      <c r="FYV49" s="344"/>
      <c r="FYW49" s="345"/>
      <c r="FYX49" s="342"/>
      <c r="FYY49" s="343"/>
      <c r="FYZ49" s="344"/>
      <c r="FZA49" s="345"/>
      <c r="FZB49" s="342"/>
      <c r="FZC49" s="343"/>
      <c r="FZD49" s="344"/>
      <c r="FZE49" s="345"/>
      <c r="FZF49" s="342"/>
      <c r="FZG49" s="343"/>
      <c r="FZH49" s="344"/>
      <c r="FZI49" s="345"/>
      <c r="FZJ49" s="342"/>
      <c r="FZK49" s="343"/>
      <c r="FZL49" s="344"/>
      <c r="FZM49" s="345"/>
      <c r="FZN49" s="342"/>
      <c r="FZO49" s="343"/>
      <c r="FZP49" s="344"/>
      <c r="FZQ49" s="345"/>
      <c r="FZR49" s="342"/>
      <c r="FZS49" s="343"/>
      <c r="FZT49" s="344"/>
      <c r="FZU49" s="345"/>
      <c r="FZV49" s="342"/>
      <c r="FZW49" s="343"/>
      <c r="FZX49" s="344"/>
      <c r="FZY49" s="345"/>
      <c r="FZZ49" s="342"/>
      <c r="GAA49" s="343"/>
      <c r="GAB49" s="344"/>
      <c r="GAC49" s="345"/>
      <c r="GAD49" s="342"/>
      <c r="GAE49" s="343"/>
      <c r="GAF49" s="344"/>
      <c r="GAG49" s="345"/>
      <c r="GAH49" s="342"/>
      <c r="GAI49" s="343"/>
      <c r="GAJ49" s="344"/>
      <c r="GAK49" s="345"/>
      <c r="GAL49" s="342"/>
      <c r="GAM49" s="343"/>
      <c r="GAN49" s="344"/>
      <c r="GAO49" s="345"/>
      <c r="GAP49" s="342"/>
      <c r="GAQ49" s="343"/>
      <c r="GAR49" s="344"/>
      <c r="GAS49" s="345"/>
      <c r="GAT49" s="342"/>
      <c r="GAU49" s="343"/>
      <c r="GAV49" s="344"/>
      <c r="GAW49" s="345"/>
      <c r="GAX49" s="342"/>
      <c r="GAY49" s="343"/>
      <c r="GAZ49" s="344"/>
      <c r="GBA49" s="345"/>
      <c r="GBB49" s="342"/>
      <c r="GBC49" s="343"/>
      <c r="GBD49" s="344"/>
      <c r="GBE49" s="345"/>
      <c r="GBF49" s="342"/>
      <c r="GBG49" s="343"/>
      <c r="GBH49" s="344"/>
      <c r="GBI49" s="345"/>
      <c r="GBJ49" s="342"/>
      <c r="GBK49" s="343"/>
      <c r="GBL49" s="344"/>
      <c r="GBM49" s="345"/>
      <c r="GBN49" s="342"/>
      <c r="GBO49" s="343"/>
      <c r="GBP49" s="344"/>
      <c r="GBQ49" s="345"/>
      <c r="GBR49" s="342"/>
      <c r="GBS49" s="343"/>
      <c r="GBT49" s="344"/>
      <c r="GBU49" s="345"/>
      <c r="GBV49" s="342"/>
      <c r="GBW49" s="343"/>
      <c r="GBX49" s="344"/>
      <c r="GBY49" s="345"/>
      <c r="GBZ49" s="342"/>
      <c r="GCA49" s="343"/>
      <c r="GCB49" s="344"/>
      <c r="GCC49" s="345"/>
      <c r="GCD49" s="342"/>
      <c r="GCE49" s="343"/>
      <c r="GCF49" s="344"/>
      <c r="GCG49" s="345"/>
      <c r="GCH49" s="342"/>
      <c r="GCI49" s="343"/>
      <c r="GCJ49" s="344"/>
      <c r="GCK49" s="345"/>
      <c r="GCL49" s="342"/>
      <c r="GCM49" s="343"/>
      <c r="GCN49" s="344"/>
      <c r="GCO49" s="345"/>
      <c r="GCP49" s="342"/>
      <c r="GCQ49" s="343"/>
      <c r="GCR49" s="344"/>
      <c r="GCS49" s="345"/>
      <c r="GCT49" s="342"/>
      <c r="GCU49" s="343"/>
      <c r="GCV49" s="344"/>
      <c r="GCW49" s="345"/>
      <c r="GCX49" s="342"/>
      <c r="GCY49" s="343"/>
      <c r="GCZ49" s="344"/>
      <c r="GDA49" s="345"/>
      <c r="GDB49" s="342"/>
      <c r="GDC49" s="343"/>
      <c r="GDD49" s="344"/>
      <c r="GDE49" s="345"/>
      <c r="GDF49" s="342"/>
      <c r="GDG49" s="343"/>
      <c r="GDH49" s="344"/>
      <c r="GDI49" s="345"/>
      <c r="GDJ49" s="342"/>
      <c r="GDK49" s="343"/>
      <c r="GDL49" s="344"/>
      <c r="GDM49" s="345"/>
      <c r="GDN49" s="342"/>
      <c r="GDO49" s="343"/>
      <c r="GDP49" s="344"/>
      <c r="GDQ49" s="345"/>
      <c r="GDR49" s="342"/>
      <c r="GDS49" s="343"/>
      <c r="GDT49" s="344"/>
      <c r="GDU49" s="345"/>
      <c r="GDV49" s="342"/>
      <c r="GDW49" s="343"/>
      <c r="GDX49" s="344"/>
      <c r="GDY49" s="345"/>
      <c r="GDZ49" s="342"/>
      <c r="GEA49" s="343"/>
      <c r="GEB49" s="344"/>
      <c r="GEC49" s="345"/>
      <c r="GED49" s="342"/>
      <c r="GEE49" s="343"/>
      <c r="GEF49" s="344"/>
      <c r="GEG49" s="345"/>
      <c r="GEH49" s="342"/>
      <c r="GEI49" s="343"/>
      <c r="GEJ49" s="344"/>
      <c r="GEK49" s="345"/>
      <c r="GEL49" s="342"/>
      <c r="GEM49" s="343"/>
      <c r="GEN49" s="344"/>
      <c r="GEO49" s="345"/>
      <c r="GEP49" s="342"/>
      <c r="GEQ49" s="343"/>
      <c r="GER49" s="344"/>
      <c r="GES49" s="345"/>
      <c r="GET49" s="342"/>
      <c r="GEU49" s="343"/>
      <c r="GEV49" s="344"/>
      <c r="GEW49" s="345"/>
      <c r="GEX49" s="342"/>
      <c r="GEY49" s="343"/>
      <c r="GEZ49" s="344"/>
      <c r="GFA49" s="345"/>
      <c r="GFB49" s="342"/>
      <c r="GFC49" s="343"/>
      <c r="GFD49" s="344"/>
      <c r="GFE49" s="345"/>
      <c r="GFF49" s="342"/>
      <c r="GFG49" s="343"/>
      <c r="GFH49" s="344"/>
      <c r="GFI49" s="345"/>
      <c r="GFJ49" s="342"/>
      <c r="GFK49" s="343"/>
      <c r="GFL49" s="344"/>
      <c r="GFM49" s="345"/>
      <c r="GFN49" s="342"/>
      <c r="GFO49" s="343"/>
      <c r="GFP49" s="344"/>
      <c r="GFQ49" s="345"/>
      <c r="GFR49" s="342"/>
      <c r="GFS49" s="343"/>
      <c r="GFT49" s="344"/>
      <c r="GFU49" s="345"/>
      <c r="GFV49" s="342"/>
      <c r="GFW49" s="343"/>
      <c r="GFX49" s="344"/>
      <c r="GFY49" s="345"/>
      <c r="GFZ49" s="342"/>
      <c r="GGA49" s="343"/>
      <c r="GGB49" s="344"/>
      <c r="GGC49" s="345"/>
      <c r="GGD49" s="342"/>
      <c r="GGE49" s="343"/>
      <c r="GGF49" s="344"/>
      <c r="GGG49" s="345"/>
      <c r="GGH49" s="342"/>
      <c r="GGI49" s="343"/>
      <c r="GGJ49" s="344"/>
      <c r="GGK49" s="345"/>
      <c r="GGL49" s="342"/>
      <c r="GGM49" s="343"/>
      <c r="GGN49" s="344"/>
      <c r="GGO49" s="345"/>
      <c r="GGP49" s="342"/>
      <c r="GGQ49" s="343"/>
      <c r="GGR49" s="344"/>
      <c r="GGS49" s="345"/>
      <c r="GGT49" s="342"/>
      <c r="GGU49" s="343"/>
      <c r="GGV49" s="344"/>
      <c r="GGW49" s="345"/>
      <c r="GGX49" s="342"/>
      <c r="GGY49" s="343"/>
      <c r="GGZ49" s="344"/>
      <c r="GHA49" s="345"/>
      <c r="GHB49" s="342"/>
      <c r="GHC49" s="343"/>
      <c r="GHD49" s="344"/>
      <c r="GHE49" s="345"/>
      <c r="GHF49" s="342"/>
      <c r="GHG49" s="343"/>
      <c r="GHH49" s="344"/>
      <c r="GHI49" s="345"/>
      <c r="GHJ49" s="342"/>
      <c r="GHK49" s="343"/>
      <c r="GHL49" s="344"/>
      <c r="GHM49" s="345"/>
      <c r="GHN49" s="342"/>
      <c r="GHO49" s="343"/>
      <c r="GHP49" s="344"/>
      <c r="GHQ49" s="345"/>
      <c r="GHR49" s="342"/>
      <c r="GHS49" s="343"/>
      <c r="GHT49" s="344"/>
      <c r="GHU49" s="345"/>
      <c r="GHV49" s="342"/>
      <c r="GHW49" s="343"/>
      <c r="GHX49" s="344"/>
      <c r="GHY49" s="345"/>
      <c r="GHZ49" s="342"/>
      <c r="GIA49" s="343"/>
      <c r="GIB49" s="344"/>
      <c r="GIC49" s="345"/>
      <c r="GID49" s="342"/>
      <c r="GIE49" s="343"/>
      <c r="GIF49" s="344"/>
      <c r="GIG49" s="345"/>
      <c r="GIH49" s="342"/>
      <c r="GII49" s="343"/>
      <c r="GIJ49" s="344"/>
      <c r="GIK49" s="345"/>
      <c r="GIL49" s="342"/>
      <c r="GIM49" s="343"/>
      <c r="GIN49" s="344"/>
      <c r="GIO49" s="345"/>
      <c r="GIP49" s="342"/>
      <c r="GIQ49" s="343"/>
      <c r="GIR49" s="344"/>
      <c r="GIS49" s="345"/>
      <c r="GIT49" s="342"/>
      <c r="GIU49" s="343"/>
      <c r="GIV49" s="344"/>
      <c r="GIW49" s="345"/>
      <c r="GIX49" s="342"/>
      <c r="GIY49" s="343"/>
      <c r="GIZ49" s="344"/>
      <c r="GJA49" s="345"/>
      <c r="GJB49" s="342"/>
      <c r="GJC49" s="343"/>
      <c r="GJD49" s="344"/>
      <c r="GJE49" s="345"/>
      <c r="GJF49" s="342"/>
      <c r="GJG49" s="343"/>
      <c r="GJH49" s="344"/>
      <c r="GJI49" s="345"/>
      <c r="GJJ49" s="342"/>
      <c r="GJK49" s="343"/>
      <c r="GJL49" s="344"/>
      <c r="GJM49" s="345"/>
      <c r="GJN49" s="342"/>
      <c r="GJO49" s="343"/>
      <c r="GJP49" s="344"/>
      <c r="GJQ49" s="345"/>
      <c r="GJR49" s="342"/>
      <c r="GJS49" s="343"/>
      <c r="GJT49" s="344"/>
      <c r="GJU49" s="345"/>
      <c r="GJV49" s="342"/>
      <c r="GJW49" s="343"/>
      <c r="GJX49" s="344"/>
      <c r="GJY49" s="345"/>
      <c r="GJZ49" s="342"/>
      <c r="GKA49" s="343"/>
      <c r="GKB49" s="344"/>
      <c r="GKC49" s="345"/>
      <c r="GKD49" s="342"/>
      <c r="GKE49" s="343"/>
      <c r="GKF49" s="344"/>
      <c r="GKG49" s="345"/>
      <c r="GKH49" s="342"/>
      <c r="GKI49" s="343"/>
      <c r="GKJ49" s="344"/>
      <c r="GKK49" s="345"/>
      <c r="GKL49" s="342"/>
      <c r="GKM49" s="343"/>
      <c r="GKN49" s="344"/>
      <c r="GKO49" s="345"/>
      <c r="GKP49" s="342"/>
      <c r="GKQ49" s="343"/>
      <c r="GKR49" s="344"/>
      <c r="GKS49" s="345"/>
      <c r="GKT49" s="342"/>
      <c r="GKU49" s="343"/>
      <c r="GKV49" s="344"/>
      <c r="GKW49" s="345"/>
      <c r="GKX49" s="342"/>
      <c r="GKY49" s="343"/>
      <c r="GKZ49" s="344"/>
      <c r="GLA49" s="345"/>
      <c r="GLB49" s="342"/>
      <c r="GLC49" s="343"/>
      <c r="GLD49" s="344"/>
      <c r="GLE49" s="345"/>
      <c r="GLF49" s="342"/>
      <c r="GLG49" s="343"/>
      <c r="GLH49" s="344"/>
      <c r="GLI49" s="345"/>
      <c r="GLJ49" s="342"/>
      <c r="GLK49" s="343"/>
      <c r="GLL49" s="344"/>
      <c r="GLM49" s="345"/>
      <c r="GLN49" s="342"/>
      <c r="GLO49" s="343"/>
      <c r="GLP49" s="344"/>
      <c r="GLQ49" s="345"/>
      <c r="GLR49" s="342"/>
      <c r="GLS49" s="343"/>
      <c r="GLT49" s="344"/>
      <c r="GLU49" s="345"/>
      <c r="GLV49" s="342"/>
      <c r="GLW49" s="343"/>
      <c r="GLX49" s="344"/>
      <c r="GLY49" s="345"/>
      <c r="GLZ49" s="342"/>
      <c r="GMA49" s="343"/>
      <c r="GMB49" s="344"/>
      <c r="GMC49" s="345"/>
      <c r="GMD49" s="342"/>
      <c r="GME49" s="343"/>
      <c r="GMF49" s="344"/>
      <c r="GMG49" s="345"/>
      <c r="GMH49" s="342"/>
      <c r="GMI49" s="343"/>
      <c r="GMJ49" s="344"/>
      <c r="GMK49" s="345"/>
      <c r="GML49" s="342"/>
      <c r="GMM49" s="343"/>
      <c r="GMN49" s="344"/>
      <c r="GMO49" s="345"/>
      <c r="GMP49" s="342"/>
      <c r="GMQ49" s="343"/>
      <c r="GMR49" s="344"/>
      <c r="GMS49" s="345"/>
      <c r="GMT49" s="342"/>
      <c r="GMU49" s="343"/>
      <c r="GMV49" s="344"/>
      <c r="GMW49" s="345"/>
      <c r="GMX49" s="342"/>
      <c r="GMY49" s="343"/>
      <c r="GMZ49" s="344"/>
      <c r="GNA49" s="345"/>
      <c r="GNB49" s="342"/>
      <c r="GNC49" s="343"/>
      <c r="GND49" s="344"/>
      <c r="GNE49" s="345"/>
      <c r="GNF49" s="342"/>
      <c r="GNG49" s="343"/>
      <c r="GNH49" s="344"/>
      <c r="GNI49" s="345"/>
      <c r="GNJ49" s="342"/>
      <c r="GNK49" s="343"/>
      <c r="GNL49" s="344"/>
      <c r="GNM49" s="345"/>
      <c r="GNN49" s="342"/>
      <c r="GNO49" s="343"/>
      <c r="GNP49" s="344"/>
      <c r="GNQ49" s="345"/>
      <c r="GNR49" s="342"/>
      <c r="GNS49" s="343"/>
      <c r="GNT49" s="344"/>
      <c r="GNU49" s="345"/>
      <c r="GNV49" s="342"/>
      <c r="GNW49" s="343"/>
      <c r="GNX49" s="344"/>
      <c r="GNY49" s="345"/>
      <c r="GNZ49" s="342"/>
      <c r="GOA49" s="343"/>
      <c r="GOB49" s="344"/>
      <c r="GOC49" s="345"/>
      <c r="GOD49" s="342"/>
      <c r="GOE49" s="343"/>
      <c r="GOF49" s="344"/>
      <c r="GOG49" s="345"/>
      <c r="GOH49" s="342"/>
      <c r="GOI49" s="343"/>
      <c r="GOJ49" s="344"/>
      <c r="GOK49" s="345"/>
      <c r="GOL49" s="342"/>
      <c r="GOM49" s="343"/>
      <c r="GON49" s="344"/>
      <c r="GOO49" s="345"/>
      <c r="GOP49" s="342"/>
      <c r="GOQ49" s="343"/>
      <c r="GOR49" s="344"/>
      <c r="GOS49" s="345"/>
      <c r="GOT49" s="342"/>
      <c r="GOU49" s="343"/>
      <c r="GOV49" s="344"/>
      <c r="GOW49" s="345"/>
      <c r="GOX49" s="342"/>
      <c r="GOY49" s="343"/>
      <c r="GOZ49" s="344"/>
      <c r="GPA49" s="345"/>
      <c r="GPB49" s="342"/>
      <c r="GPC49" s="343"/>
      <c r="GPD49" s="344"/>
      <c r="GPE49" s="345"/>
      <c r="GPF49" s="342"/>
      <c r="GPG49" s="343"/>
      <c r="GPH49" s="344"/>
      <c r="GPI49" s="345"/>
      <c r="GPJ49" s="342"/>
      <c r="GPK49" s="343"/>
      <c r="GPL49" s="344"/>
      <c r="GPM49" s="345"/>
      <c r="GPN49" s="342"/>
      <c r="GPO49" s="343"/>
      <c r="GPP49" s="344"/>
      <c r="GPQ49" s="345"/>
      <c r="GPR49" s="342"/>
      <c r="GPS49" s="343"/>
      <c r="GPT49" s="344"/>
      <c r="GPU49" s="345"/>
      <c r="GPV49" s="342"/>
      <c r="GPW49" s="343"/>
      <c r="GPX49" s="344"/>
      <c r="GPY49" s="345"/>
      <c r="GPZ49" s="342"/>
      <c r="GQA49" s="343"/>
      <c r="GQB49" s="344"/>
      <c r="GQC49" s="345"/>
      <c r="GQD49" s="342"/>
      <c r="GQE49" s="343"/>
      <c r="GQF49" s="344"/>
      <c r="GQG49" s="345"/>
      <c r="GQH49" s="342"/>
      <c r="GQI49" s="343"/>
      <c r="GQJ49" s="344"/>
      <c r="GQK49" s="345"/>
      <c r="GQL49" s="342"/>
      <c r="GQM49" s="343"/>
      <c r="GQN49" s="344"/>
      <c r="GQO49" s="345"/>
      <c r="GQP49" s="342"/>
      <c r="GQQ49" s="343"/>
      <c r="GQR49" s="344"/>
      <c r="GQS49" s="345"/>
      <c r="GQT49" s="342"/>
      <c r="GQU49" s="343"/>
      <c r="GQV49" s="344"/>
      <c r="GQW49" s="345"/>
      <c r="GQX49" s="342"/>
      <c r="GQY49" s="343"/>
      <c r="GQZ49" s="344"/>
      <c r="GRA49" s="345"/>
      <c r="GRB49" s="342"/>
      <c r="GRC49" s="343"/>
      <c r="GRD49" s="344"/>
      <c r="GRE49" s="345"/>
      <c r="GRF49" s="342"/>
      <c r="GRG49" s="343"/>
      <c r="GRH49" s="344"/>
      <c r="GRI49" s="345"/>
      <c r="GRJ49" s="342"/>
      <c r="GRK49" s="343"/>
      <c r="GRL49" s="344"/>
      <c r="GRM49" s="345"/>
      <c r="GRN49" s="342"/>
      <c r="GRO49" s="343"/>
      <c r="GRP49" s="344"/>
      <c r="GRQ49" s="345"/>
      <c r="GRR49" s="342"/>
      <c r="GRS49" s="343"/>
      <c r="GRT49" s="344"/>
      <c r="GRU49" s="345"/>
      <c r="GRV49" s="342"/>
      <c r="GRW49" s="343"/>
      <c r="GRX49" s="344"/>
      <c r="GRY49" s="345"/>
      <c r="GRZ49" s="342"/>
      <c r="GSA49" s="343"/>
      <c r="GSB49" s="344"/>
      <c r="GSC49" s="345"/>
      <c r="GSD49" s="342"/>
      <c r="GSE49" s="343"/>
      <c r="GSF49" s="344"/>
      <c r="GSG49" s="345"/>
      <c r="GSH49" s="342"/>
      <c r="GSI49" s="343"/>
      <c r="GSJ49" s="344"/>
      <c r="GSK49" s="345"/>
      <c r="GSL49" s="342"/>
      <c r="GSM49" s="343"/>
      <c r="GSN49" s="344"/>
      <c r="GSO49" s="345"/>
      <c r="GSP49" s="342"/>
      <c r="GSQ49" s="343"/>
      <c r="GSR49" s="344"/>
      <c r="GSS49" s="345"/>
      <c r="GST49" s="342"/>
      <c r="GSU49" s="343"/>
      <c r="GSV49" s="344"/>
      <c r="GSW49" s="345"/>
      <c r="GSX49" s="342"/>
      <c r="GSY49" s="343"/>
      <c r="GSZ49" s="344"/>
      <c r="GTA49" s="345"/>
      <c r="GTB49" s="342"/>
      <c r="GTC49" s="343"/>
      <c r="GTD49" s="344"/>
      <c r="GTE49" s="345"/>
      <c r="GTF49" s="342"/>
      <c r="GTG49" s="343"/>
      <c r="GTH49" s="344"/>
      <c r="GTI49" s="345"/>
      <c r="GTJ49" s="342"/>
      <c r="GTK49" s="343"/>
      <c r="GTL49" s="344"/>
      <c r="GTM49" s="345"/>
      <c r="GTN49" s="342"/>
      <c r="GTO49" s="343"/>
      <c r="GTP49" s="344"/>
      <c r="GTQ49" s="345"/>
      <c r="GTR49" s="342"/>
      <c r="GTS49" s="343"/>
      <c r="GTT49" s="344"/>
      <c r="GTU49" s="345"/>
      <c r="GTV49" s="342"/>
      <c r="GTW49" s="343"/>
      <c r="GTX49" s="344"/>
      <c r="GTY49" s="345"/>
      <c r="GTZ49" s="342"/>
      <c r="GUA49" s="343"/>
      <c r="GUB49" s="344"/>
      <c r="GUC49" s="345"/>
      <c r="GUD49" s="342"/>
      <c r="GUE49" s="343"/>
      <c r="GUF49" s="344"/>
      <c r="GUG49" s="345"/>
      <c r="GUH49" s="342"/>
      <c r="GUI49" s="343"/>
      <c r="GUJ49" s="344"/>
      <c r="GUK49" s="345"/>
      <c r="GUL49" s="342"/>
      <c r="GUM49" s="343"/>
      <c r="GUN49" s="344"/>
      <c r="GUO49" s="345"/>
      <c r="GUP49" s="342"/>
      <c r="GUQ49" s="343"/>
      <c r="GUR49" s="344"/>
      <c r="GUS49" s="345"/>
      <c r="GUT49" s="342"/>
      <c r="GUU49" s="343"/>
      <c r="GUV49" s="344"/>
      <c r="GUW49" s="345"/>
      <c r="GUX49" s="342"/>
      <c r="GUY49" s="343"/>
      <c r="GUZ49" s="344"/>
      <c r="GVA49" s="345"/>
      <c r="GVB49" s="342"/>
      <c r="GVC49" s="343"/>
      <c r="GVD49" s="344"/>
      <c r="GVE49" s="345"/>
      <c r="GVF49" s="342"/>
      <c r="GVG49" s="343"/>
      <c r="GVH49" s="344"/>
      <c r="GVI49" s="345"/>
      <c r="GVJ49" s="342"/>
      <c r="GVK49" s="343"/>
      <c r="GVL49" s="344"/>
      <c r="GVM49" s="345"/>
      <c r="GVN49" s="342"/>
      <c r="GVO49" s="343"/>
      <c r="GVP49" s="344"/>
      <c r="GVQ49" s="345"/>
      <c r="GVR49" s="342"/>
      <c r="GVS49" s="343"/>
      <c r="GVT49" s="344"/>
      <c r="GVU49" s="345"/>
      <c r="GVV49" s="342"/>
      <c r="GVW49" s="343"/>
      <c r="GVX49" s="344"/>
      <c r="GVY49" s="345"/>
      <c r="GVZ49" s="342"/>
      <c r="GWA49" s="343"/>
      <c r="GWB49" s="344"/>
      <c r="GWC49" s="345"/>
      <c r="GWD49" s="342"/>
      <c r="GWE49" s="343"/>
      <c r="GWF49" s="344"/>
      <c r="GWG49" s="345"/>
      <c r="GWH49" s="342"/>
      <c r="GWI49" s="343"/>
      <c r="GWJ49" s="344"/>
      <c r="GWK49" s="345"/>
      <c r="GWL49" s="342"/>
      <c r="GWM49" s="343"/>
      <c r="GWN49" s="344"/>
      <c r="GWO49" s="345"/>
      <c r="GWP49" s="342"/>
      <c r="GWQ49" s="343"/>
      <c r="GWR49" s="344"/>
      <c r="GWS49" s="345"/>
      <c r="GWT49" s="342"/>
      <c r="GWU49" s="343"/>
      <c r="GWV49" s="344"/>
      <c r="GWW49" s="345"/>
      <c r="GWX49" s="342"/>
      <c r="GWY49" s="343"/>
      <c r="GWZ49" s="344"/>
      <c r="GXA49" s="345"/>
      <c r="GXB49" s="342"/>
      <c r="GXC49" s="343"/>
      <c r="GXD49" s="344"/>
      <c r="GXE49" s="345"/>
      <c r="GXF49" s="342"/>
      <c r="GXG49" s="343"/>
      <c r="GXH49" s="344"/>
      <c r="GXI49" s="345"/>
      <c r="GXJ49" s="342"/>
      <c r="GXK49" s="343"/>
      <c r="GXL49" s="344"/>
      <c r="GXM49" s="345"/>
      <c r="GXN49" s="342"/>
      <c r="GXO49" s="343"/>
      <c r="GXP49" s="344"/>
      <c r="GXQ49" s="345"/>
      <c r="GXR49" s="342"/>
      <c r="GXS49" s="343"/>
      <c r="GXT49" s="344"/>
      <c r="GXU49" s="345"/>
      <c r="GXV49" s="342"/>
      <c r="GXW49" s="343"/>
      <c r="GXX49" s="344"/>
      <c r="GXY49" s="345"/>
      <c r="GXZ49" s="342"/>
      <c r="GYA49" s="343"/>
      <c r="GYB49" s="344"/>
      <c r="GYC49" s="345"/>
      <c r="GYD49" s="342"/>
      <c r="GYE49" s="343"/>
      <c r="GYF49" s="344"/>
      <c r="GYG49" s="345"/>
      <c r="GYH49" s="342"/>
      <c r="GYI49" s="343"/>
      <c r="GYJ49" s="344"/>
      <c r="GYK49" s="345"/>
      <c r="GYL49" s="342"/>
      <c r="GYM49" s="343"/>
      <c r="GYN49" s="344"/>
      <c r="GYO49" s="345"/>
      <c r="GYP49" s="342"/>
      <c r="GYQ49" s="343"/>
      <c r="GYR49" s="344"/>
      <c r="GYS49" s="345"/>
      <c r="GYT49" s="342"/>
      <c r="GYU49" s="343"/>
      <c r="GYV49" s="344"/>
      <c r="GYW49" s="345"/>
      <c r="GYX49" s="342"/>
      <c r="GYY49" s="343"/>
      <c r="GYZ49" s="344"/>
      <c r="GZA49" s="345"/>
      <c r="GZB49" s="342"/>
      <c r="GZC49" s="343"/>
      <c r="GZD49" s="344"/>
      <c r="GZE49" s="345"/>
      <c r="GZF49" s="342"/>
      <c r="GZG49" s="343"/>
      <c r="GZH49" s="344"/>
      <c r="GZI49" s="345"/>
      <c r="GZJ49" s="342"/>
      <c r="GZK49" s="343"/>
      <c r="GZL49" s="344"/>
      <c r="GZM49" s="345"/>
      <c r="GZN49" s="342"/>
      <c r="GZO49" s="343"/>
      <c r="GZP49" s="344"/>
      <c r="GZQ49" s="345"/>
      <c r="GZR49" s="342"/>
      <c r="GZS49" s="343"/>
      <c r="GZT49" s="344"/>
      <c r="GZU49" s="345"/>
      <c r="GZV49" s="342"/>
      <c r="GZW49" s="343"/>
      <c r="GZX49" s="344"/>
      <c r="GZY49" s="345"/>
      <c r="GZZ49" s="342"/>
      <c r="HAA49" s="343"/>
      <c r="HAB49" s="344"/>
      <c r="HAC49" s="345"/>
      <c r="HAD49" s="342"/>
      <c r="HAE49" s="343"/>
      <c r="HAF49" s="344"/>
      <c r="HAG49" s="345"/>
      <c r="HAH49" s="342"/>
      <c r="HAI49" s="343"/>
      <c r="HAJ49" s="344"/>
      <c r="HAK49" s="345"/>
      <c r="HAL49" s="342"/>
      <c r="HAM49" s="343"/>
      <c r="HAN49" s="344"/>
      <c r="HAO49" s="345"/>
      <c r="HAP49" s="342"/>
      <c r="HAQ49" s="343"/>
      <c r="HAR49" s="344"/>
      <c r="HAS49" s="345"/>
      <c r="HAT49" s="342"/>
      <c r="HAU49" s="343"/>
      <c r="HAV49" s="344"/>
      <c r="HAW49" s="345"/>
      <c r="HAX49" s="342"/>
      <c r="HAY49" s="343"/>
      <c r="HAZ49" s="344"/>
      <c r="HBA49" s="345"/>
      <c r="HBB49" s="342"/>
      <c r="HBC49" s="343"/>
      <c r="HBD49" s="344"/>
      <c r="HBE49" s="345"/>
      <c r="HBF49" s="342"/>
      <c r="HBG49" s="343"/>
      <c r="HBH49" s="344"/>
      <c r="HBI49" s="345"/>
      <c r="HBJ49" s="342"/>
      <c r="HBK49" s="343"/>
      <c r="HBL49" s="344"/>
      <c r="HBM49" s="345"/>
      <c r="HBN49" s="342"/>
      <c r="HBO49" s="343"/>
      <c r="HBP49" s="344"/>
      <c r="HBQ49" s="345"/>
      <c r="HBR49" s="342"/>
      <c r="HBS49" s="343"/>
      <c r="HBT49" s="344"/>
      <c r="HBU49" s="345"/>
      <c r="HBV49" s="342"/>
      <c r="HBW49" s="343"/>
      <c r="HBX49" s="344"/>
      <c r="HBY49" s="345"/>
      <c r="HBZ49" s="342"/>
      <c r="HCA49" s="343"/>
      <c r="HCB49" s="344"/>
      <c r="HCC49" s="345"/>
      <c r="HCD49" s="342"/>
      <c r="HCE49" s="343"/>
      <c r="HCF49" s="344"/>
      <c r="HCG49" s="345"/>
      <c r="HCH49" s="342"/>
      <c r="HCI49" s="343"/>
      <c r="HCJ49" s="344"/>
      <c r="HCK49" s="345"/>
      <c r="HCL49" s="342"/>
      <c r="HCM49" s="343"/>
      <c r="HCN49" s="344"/>
      <c r="HCO49" s="345"/>
      <c r="HCP49" s="342"/>
      <c r="HCQ49" s="343"/>
      <c r="HCR49" s="344"/>
      <c r="HCS49" s="345"/>
      <c r="HCT49" s="342"/>
      <c r="HCU49" s="343"/>
      <c r="HCV49" s="344"/>
      <c r="HCW49" s="345"/>
      <c r="HCX49" s="342"/>
      <c r="HCY49" s="343"/>
      <c r="HCZ49" s="344"/>
      <c r="HDA49" s="345"/>
      <c r="HDB49" s="342"/>
      <c r="HDC49" s="343"/>
      <c r="HDD49" s="344"/>
      <c r="HDE49" s="345"/>
      <c r="HDF49" s="342"/>
      <c r="HDG49" s="343"/>
      <c r="HDH49" s="344"/>
      <c r="HDI49" s="345"/>
      <c r="HDJ49" s="342"/>
      <c r="HDK49" s="343"/>
      <c r="HDL49" s="344"/>
      <c r="HDM49" s="345"/>
      <c r="HDN49" s="342"/>
      <c r="HDO49" s="343"/>
      <c r="HDP49" s="344"/>
      <c r="HDQ49" s="345"/>
      <c r="HDR49" s="342"/>
      <c r="HDS49" s="343"/>
      <c r="HDT49" s="344"/>
      <c r="HDU49" s="345"/>
      <c r="HDV49" s="342"/>
      <c r="HDW49" s="343"/>
      <c r="HDX49" s="344"/>
      <c r="HDY49" s="345"/>
      <c r="HDZ49" s="342"/>
      <c r="HEA49" s="343"/>
      <c r="HEB49" s="344"/>
      <c r="HEC49" s="345"/>
      <c r="HED49" s="342"/>
      <c r="HEE49" s="343"/>
      <c r="HEF49" s="344"/>
      <c r="HEG49" s="345"/>
      <c r="HEH49" s="342"/>
      <c r="HEI49" s="343"/>
      <c r="HEJ49" s="344"/>
      <c r="HEK49" s="345"/>
      <c r="HEL49" s="342"/>
      <c r="HEM49" s="343"/>
      <c r="HEN49" s="344"/>
      <c r="HEO49" s="345"/>
      <c r="HEP49" s="342"/>
      <c r="HEQ49" s="343"/>
      <c r="HER49" s="344"/>
      <c r="HES49" s="345"/>
      <c r="HET49" s="342"/>
      <c r="HEU49" s="343"/>
      <c r="HEV49" s="344"/>
      <c r="HEW49" s="345"/>
      <c r="HEX49" s="342"/>
      <c r="HEY49" s="343"/>
      <c r="HEZ49" s="344"/>
      <c r="HFA49" s="345"/>
      <c r="HFB49" s="342"/>
      <c r="HFC49" s="343"/>
      <c r="HFD49" s="344"/>
      <c r="HFE49" s="345"/>
      <c r="HFF49" s="342"/>
      <c r="HFG49" s="343"/>
      <c r="HFH49" s="344"/>
      <c r="HFI49" s="345"/>
      <c r="HFJ49" s="342"/>
      <c r="HFK49" s="343"/>
      <c r="HFL49" s="344"/>
      <c r="HFM49" s="345"/>
      <c r="HFN49" s="342"/>
      <c r="HFO49" s="343"/>
      <c r="HFP49" s="344"/>
      <c r="HFQ49" s="345"/>
      <c r="HFR49" s="342"/>
      <c r="HFS49" s="343"/>
      <c r="HFT49" s="344"/>
      <c r="HFU49" s="345"/>
      <c r="HFV49" s="342"/>
      <c r="HFW49" s="343"/>
      <c r="HFX49" s="344"/>
      <c r="HFY49" s="345"/>
      <c r="HFZ49" s="342"/>
      <c r="HGA49" s="343"/>
      <c r="HGB49" s="344"/>
      <c r="HGC49" s="345"/>
      <c r="HGD49" s="342"/>
      <c r="HGE49" s="343"/>
      <c r="HGF49" s="344"/>
      <c r="HGG49" s="345"/>
      <c r="HGH49" s="342"/>
      <c r="HGI49" s="343"/>
      <c r="HGJ49" s="344"/>
      <c r="HGK49" s="345"/>
      <c r="HGL49" s="342"/>
      <c r="HGM49" s="343"/>
      <c r="HGN49" s="344"/>
      <c r="HGO49" s="345"/>
      <c r="HGP49" s="342"/>
      <c r="HGQ49" s="343"/>
      <c r="HGR49" s="344"/>
      <c r="HGS49" s="345"/>
      <c r="HGT49" s="342"/>
      <c r="HGU49" s="343"/>
      <c r="HGV49" s="344"/>
      <c r="HGW49" s="345"/>
      <c r="HGX49" s="342"/>
      <c r="HGY49" s="343"/>
      <c r="HGZ49" s="344"/>
      <c r="HHA49" s="345"/>
      <c r="HHB49" s="342"/>
      <c r="HHC49" s="343"/>
      <c r="HHD49" s="344"/>
      <c r="HHE49" s="345"/>
      <c r="HHF49" s="342"/>
      <c r="HHG49" s="343"/>
      <c r="HHH49" s="344"/>
      <c r="HHI49" s="345"/>
      <c r="HHJ49" s="342"/>
      <c r="HHK49" s="343"/>
      <c r="HHL49" s="344"/>
      <c r="HHM49" s="345"/>
      <c r="HHN49" s="342"/>
      <c r="HHO49" s="343"/>
      <c r="HHP49" s="344"/>
      <c r="HHQ49" s="345"/>
      <c r="HHR49" s="342"/>
      <c r="HHS49" s="343"/>
      <c r="HHT49" s="344"/>
      <c r="HHU49" s="345"/>
      <c r="HHV49" s="342"/>
      <c r="HHW49" s="343"/>
      <c r="HHX49" s="344"/>
      <c r="HHY49" s="345"/>
      <c r="HHZ49" s="342"/>
      <c r="HIA49" s="343"/>
      <c r="HIB49" s="344"/>
      <c r="HIC49" s="345"/>
      <c r="HID49" s="342"/>
      <c r="HIE49" s="343"/>
      <c r="HIF49" s="344"/>
      <c r="HIG49" s="345"/>
      <c r="HIH49" s="342"/>
      <c r="HII49" s="343"/>
      <c r="HIJ49" s="344"/>
      <c r="HIK49" s="345"/>
      <c r="HIL49" s="342"/>
      <c r="HIM49" s="343"/>
      <c r="HIN49" s="344"/>
      <c r="HIO49" s="345"/>
      <c r="HIP49" s="342"/>
      <c r="HIQ49" s="343"/>
      <c r="HIR49" s="344"/>
      <c r="HIS49" s="345"/>
      <c r="HIT49" s="342"/>
      <c r="HIU49" s="343"/>
      <c r="HIV49" s="344"/>
      <c r="HIW49" s="345"/>
      <c r="HIX49" s="342"/>
      <c r="HIY49" s="343"/>
      <c r="HIZ49" s="344"/>
      <c r="HJA49" s="345"/>
      <c r="HJB49" s="342"/>
      <c r="HJC49" s="343"/>
      <c r="HJD49" s="344"/>
      <c r="HJE49" s="345"/>
      <c r="HJF49" s="342"/>
      <c r="HJG49" s="343"/>
      <c r="HJH49" s="344"/>
      <c r="HJI49" s="345"/>
      <c r="HJJ49" s="342"/>
      <c r="HJK49" s="343"/>
      <c r="HJL49" s="344"/>
      <c r="HJM49" s="345"/>
      <c r="HJN49" s="342"/>
      <c r="HJO49" s="343"/>
      <c r="HJP49" s="344"/>
      <c r="HJQ49" s="345"/>
      <c r="HJR49" s="342"/>
      <c r="HJS49" s="343"/>
      <c r="HJT49" s="344"/>
      <c r="HJU49" s="345"/>
      <c r="HJV49" s="342"/>
      <c r="HJW49" s="343"/>
      <c r="HJX49" s="344"/>
      <c r="HJY49" s="345"/>
      <c r="HJZ49" s="342"/>
      <c r="HKA49" s="343"/>
      <c r="HKB49" s="344"/>
      <c r="HKC49" s="345"/>
      <c r="HKD49" s="342"/>
      <c r="HKE49" s="343"/>
      <c r="HKF49" s="344"/>
      <c r="HKG49" s="345"/>
      <c r="HKH49" s="342"/>
      <c r="HKI49" s="343"/>
      <c r="HKJ49" s="344"/>
      <c r="HKK49" s="345"/>
      <c r="HKL49" s="342"/>
      <c r="HKM49" s="343"/>
      <c r="HKN49" s="344"/>
      <c r="HKO49" s="345"/>
      <c r="HKP49" s="342"/>
      <c r="HKQ49" s="343"/>
      <c r="HKR49" s="344"/>
      <c r="HKS49" s="345"/>
      <c r="HKT49" s="342"/>
      <c r="HKU49" s="343"/>
      <c r="HKV49" s="344"/>
      <c r="HKW49" s="345"/>
      <c r="HKX49" s="342"/>
      <c r="HKY49" s="343"/>
      <c r="HKZ49" s="344"/>
      <c r="HLA49" s="345"/>
      <c r="HLB49" s="342"/>
      <c r="HLC49" s="343"/>
      <c r="HLD49" s="344"/>
      <c r="HLE49" s="345"/>
      <c r="HLF49" s="342"/>
      <c r="HLG49" s="343"/>
      <c r="HLH49" s="344"/>
      <c r="HLI49" s="345"/>
      <c r="HLJ49" s="342"/>
      <c r="HLK49" s="343"/>
      <c r="HLL49" s="344"/>
      <c r="HLM49" s="345"/>
      <c r="HLN49" s="342"/>
      <c r="HLO49" s="343"/>
      <c r="HLP49" s="344"/>
      <c r="HLQ49" s="345"/>
      <c r="HLR49" s="342"/>
      <c r="HLS49" s="343"/>
      <c r="HLT49" s="344"/>
      <c r="HLU49" s="345"/>
      <c r="HLV49" s="342"/>
      <c r="HLW49" s="343"/>
      <c r="HLX49" s="344"/>
      <c r="HLY49" s="345"/>
      <c r="HLZ49" s="342"/>
      <c r="HMA49" s="343"/>
      <c r="HMB49" s="344"/>
      <c r="HMC49" s="345"/>
      <c r="HMD49" s="342"/>
      <c r="HME49" s="343"/>
      <c r="HMF49" s="344"/>
      <c r="HMG49" s="345"/>
      <c r="HMH49" s="342"/>
      <c r="HMI49" s="343"/>
      <c r="HMJ49" s="344"/>
      <c r="HMK49" s="345"/>
      <c r="HML49" s="342"/>
      <c r="HMM49" s="343"/>
      <c r="HMN49" s="344"/>
      <c r="HMO49" s="345"/>
      <c r="HMP49" s="342"/>
      <c r="HMQ49" s="343"/>
      <c r="HMR49" s="344"/>
      <c r="HMS49" s="345"/>
      <c r="HMT49" s="342"/>
      <c r="HMU49" s="343"/>
      <c r="HMV49" s="344"/>
      <c r="HMW49" s="345"/>
      <c r="HMX49" s="342"/>
      <c r="HMY49" s="343"/>
      <c r="HMZ49" s="344"/>
      <c r="HNA49" s="345"/>
      <c r="HNB49" s="342"/>
      <c r="HNC49" s="343"/>
      <c r="HND49" s="344"/>
      <c r="HNE49" s="345"/>
      <c r="HNF49" s="342"/>
      <c r="HNG49" s="343"/>
      <c r="HNH49" s="344"/>
      <c r="HNI49" s="345"/>
      <c r="HNJ49" s="342"/>
      <c r="HNK49" s="343"/>
      <c r="HNL49" s="344"/>
      <c r="HNM49" s="345"/>
      <c r="HNN49" s="342"/>
      <c r="HNO49" s="343"/>
      <c r="HNP49" s="344"/>
      <c r="HNQ49" s="345"/>
      <c r="HNR49" s="342"/>
      <c r="HNS49" s="343"/>
      <c r="HNT49" s="344"/>
      <c r="HNU49" s="345"/>
      <c r="HNV49" s="342"/>
      <c r="HNW49" s="343"/>
      <c r="HNX49" s="344"/>
      <c r="HNY49" s="345"/>
      <c r="HNZ49" s="342"/>
      <c r="HOA49" s="343"/>
      <c r="HOB49" s="344"/>
      <c r="HOC49" s="345"/>
      <c r="HOD49" s="342"/>
      <c r="HOE49" s="343"/>
      <c r="HOF49" s="344"/>
      <c r="HOG49" s="345"/>
      <c r="HOH49" s="342"/>
      <c r="HOI49" s="343"/>
      <c r="HOJ49" s="344"/>
      <c r="HOK49" s="345"/>
      <c r="HOL49" s="342"/>
      <c r="HOM49" s="343"/>
      <c r="HON49" s="344"/>
      <c r="HOO49" s="345"/>
      <c r="HOP49" s="342"/>
      <c r="HOQ49" s="343"/>
      <c r="HOR49" s="344"/>
      <c r="HOS49" s="345"/>
      <c r="HOT49" s="342"/>
      <c r="HOU49" s="343"/>
      <c r="HOV49" s="344"/>
      <c r="HOW49" s="345"/>
      <c r="HOX49" s="342"/>
      <c r="HOY49" s="343"/>
      <c r="HOZ49" s="344"/>
      <c r="HPA49" s="345"/>
      <c r="HPB49" s="342"/>
      <c r="HPC49" s="343"/>
      <c r="HPD49" s="344"/>
      <c r="HPE49" s="345"/>
      <c r="HPF49" s="342"/>
      <c r="HPG49" s="343"/>
      <c r="HPH49" s="344"/>
      <c r="HPI49" s="345"/>
      <c r="HPJ49" s="342"/>
      <c r="HPK49" s="343"/>
      <c r="HPL49" s="344"/>
      <c r="HPM49" s="345"/>
      <c r="HPN49" s="342"/>
      <c r="HPO49" s="343"/>
      <c r="HPP49" s="344"/>
      <c r="HPQ49" s="345"/>
      <c r="HPR49" s="342"/>
      <c r="HPS49" s="343"/>
      <c r="HPT49" s="344"/>
      <c r="HPU49" s="345"/>
      <c r="HPV49" s="342"/>
      <c r="HPW49" s="343"/>
      <c r="HPX49" s="344"/>
      <c r="HPY49" s="345"/>
      <c r="HPZ49" s="342"/>
      <c r="HQA49" s="343"/>
      <c r="HQB49" s="344"/>
      <c r="HQC49" s="345"/>
      <c r="HQD49" s="342"/>
      <c r="HQE49" s="343"/>
      <c r="HQF49" s="344"/>
      <c r="HQG49" s="345"/>
      <c r="HQH49" s="342"/>
      <c r="HQI49" s="343"/>
      <c r="HQJ49" s="344"/>
      <c r="HQK49" s="345"/>
      <c r="HQL49" s="342"/>
      <c r="HQM49" s="343"/>
      <c r="HQN49" s="344"/>
      <c r="HQO49" s="345"/>
      <c r="HQP49" s="342"/>
      <c r="HQQ49" s="343"/>
      <c r="HQR49" s="344"/>
      <c r="HQS49" s="345"/>
      <c r="HQT49" s="342"/>
      <c r="HQU49" s="343"/>
      <c r="HQV49" s="344"/>
      <c r="HQW49" s="345"/>
      <c r="HQX49" s="342"/>
      <c r="HQY49" s="343"/>
      <c r="HQZ49" s="344"/>
      <c r="HRA49" s="345"/>
      <c r="HRB49" s="342"/>
      <c r="HRC49" s="343"/>
      <c r="HRD49" s="344"/>
      <c r="HRE49" s="345"/>
      <c r="HRF49" s="342"/>
      <c r="HRG49" s="343"/>
      <c r="HRH49" s="344"/>
      <c r="HRI49" s="345"/>
      <c r="HRJ49" s="342"/>
      <c r="HRK49" s="343"/>
      <c r="HRL49" s="344"/>
      <c r="HRM49" s="345"/>
      <c r="HRN49" s="342"/>
      <c r="HRO49" s="343"/>
      <c r="HRP49" s="344"/>
      <c r="HRQ49" s="345"/>
      <c r="HRR49" s="342"/>
      <c r="HRS49" s="343"/>
      <c r="HRT49" s="344"/>
      <c r="HRU49" s="345"/>
      <c r="HRV49" s="342"/>
      <c r="HRW49" s="343"/>
      <c r="HRX49" s="344"/>
      <c r="HRY49" s="345"/>
      <c r="HRZ49" s="342"/>
      <c r="HSA49" s="343"/>
      <c r="HSB49" s="344"/>
      <c r="HSC49" s="345"/>
      <c r="HSD49" s="342"/>
      <c r="HSE49" s="343"/>
      <c r="HSF49" s="344"/>
      <c r="HSG49" s="345"/>
      <c r="HSH49" s="342"/>
      <c r="HSI49" s="343"/>
      <c r="HSJ49" s="344"/>
      <c r="HSK49" s="345"/>
      <c r="HSL49" s="342"/>
      <c r="HSM49" s="343"/>
      <c r="HSN49" s="344"/>
      <c r="HSO49" s="345"/>
      <c r="HSP49" s="342"/>
      <c r="HSQ49" s="343"/>
      <c r="HSR49" s="344"/>
      <c r="HSS49" s="345"/>
      <c r="HST49" s="342"/>
      <c r="HSU49" s="343"/>
      <c r="HSV49" s="344"/>
      <c r="HSW49" s="345"/>
      <c r="HSX49" s="342"/>
      <c r="HSY49" s="343"/>
      <c r="HSZ49" s="344"/>
      <c r="HTA49" s="345"/>
      <c r="HTB49" s="342"/>
      <c r="HTC49" s="343"/>
      <c r="HTD49" s="344"/>
      <c r="HTE49" s="345"/>
      <c r="HTF49" s="342"/>
      <c r="HTG49" s="343"/>
      <c r="HTH49" s="344"/>
      <c r="HTI49" s="345"/>
      <c r="HTJ49" s="342"/>
      <c r="HTK49" s="343"/>
      <c r="HTL49" s="344"/>
      <c r="HTM49" s="345"/>
      <c r="HTN49" s="342"/>
      <c r="HTO49" s="343"/>
      <c r="HTP49" s="344"/>
      <c r="HTQ49" s="345"/>
      <c r="HTR49" s="342"/>
      <c r="HTS49" s="343"/>
      <c r="HTT49" s="344"/>
      <c r="HTU49" s="345"/>
      <c r="HTV49" s="342"/>
      <c r="HTW49" s="343"/>
      <c r="HTX49" s="344"/>
      <c r="HTY49" s="345"/>
      <c r="HTZ49" s="342"/>
      <c r="HUA49" s="343"/>
      <c r="HUB49" s="344"/>
      <c r="HUC49" s="345"/>
      <c r="HUD49" s="342"/>
      <c r="HUE49" s="343"/>
      <c r="HUF49" s="344"/>
      <c r="HUG49" s="345"/>
      <c r="HUH49" s="342"/>
      <c r="HUI49" s="343"/>
      <c r="HUJ49" s="344"/>
      <c r="HUK49" s="345"/>
      <c r="HUL49" s="342"/>
      <c r="HUM49" s="343"/>
      <c r="HUN49" s="344"/>
      <c r="HUO49" s="345"/>
      <c r="HUP49" s="342"/>
      <c r="HUQ49" s="343"/>
      <c r="HUR49" s="344"/>
      <c r="HUS49" s="345"/>
      <c r="HUT49" s="342"/>
      <c r="HUU49" s="343"/>
      <c r="HUV49" s="344"/>
      <c r="HUW49" s="345"/>
      <c r="HUX49" s="342"/>
      <c r="HUY49" s="343"/>
      <c r="HUZ49" s="344"/>
      <c r="HVA49" s="345"/>
      <c r="HVB49" s="342"/>
      <c r="HVC49" s="343"/>
      <c r="HVD49" s="344"/>
      <c r="HVE49" s="345"/>
      <c r="HVF49" s="342"/>
      <c r="HVG49" s="343"/>
      <c r="HVH49" s="344"/>
      <c r="HVI49" s="345"/>
      <c r="HVJ49" s="342"/>
      <c r="HVK49" s="343"/>
      <c r="HVL49" s="344"/>
      <c r="HVM49" s="345"/>
      <c r="HVN49" s="342"/>
      <c r="HVO49" s="343"/>
      <c r="HVP49" s="344"/>
      <c r="HVQ49" s="345"/>
      <c r="HVR49" s="342"/>
      <c r="HVS49" s="343"/>
      <c r="HVT49" s="344"/>
      <c r="HVU49" s="345"/>
      <c r="HVV49" s="342"/>
      <c r="HVW49" s="343"/>
      <c r="HVX49" s="344"/>
      <c r="HVY49" s="345"/>
      <c r="HVZ49" s="342"/>
      <c r="HWA49" s="343"/>
      <c r="HWB49" s="344"/>
      <c r="HWC49" s="345"/>
      <c r="HWD49" s="342"/>
      <c r="HWE49" s="343"/>
      <c r="HWF49" s="344"/>
      <c r="HWG49" s="345"/>
      <c r="HWH49" s="342"/>
      <c r="HWI49" s="343"/>
      <c r="HWJ49" s="344"/>
      <c r="HWK49" s="345"/>
      <c r="HWL49" s="342"/>
      <c r="HWM49" s="343"/>
      <c r="HWN49" s="344"/>
      <c r="HWO49" s="345"/>
      <c r="HWP49" s="342"/>
      <c r="HWQ49" s="343"/>
      <c r="HWR49" s="344"/>
      <c r="HWS49" s="345"/>
      <c r="HWT49" s="342"/>
      <c r="HWU49" s="343"/>
      <c r="HWV49" s="344"/>
      <c r="HWW49" s="345"/>
      <c r="HWX49" s="342"/>
      <c r="HWY49" s="343"/>
      <c r="HWZ49" s="344"/>
      <c r="HXA49" s="345"/>
      <c r="HXB49" s="342"/>
      <c r="HXC49" s="343"/>
      <c r="HXD49" s="344"/>
      <c r="HXE49" s="345"/>
      <c r="HXF49" s="342"/>
      <c r="HXG49" s="343"/>
      <c r="HXH49" s="344"/>
      <c r="HXI49" s="345"/>
      <c r="HXJ49" s="342"/>
      <c r="HXK49" s="343"/>
      <c r="HXL49" s="344"/>
      <c r="HXM49" s="345"/>
      <c r="HXN49" s="342"/>
      <c r="HXO49" s="343"/>
      <c r="HXP49" s="344"/>
      <c r="HXQ49" s="345"/>
      <c r="HXR49" s="342"/>
      <c r="HXS49" s="343"/>
      <c r="HXT49" s="344"/>
      <c r="HXU49" s="345"/>
      <c r="HXV49" s="342"/>
      <c r="HXW49" s="343"/>
      <c r="HXX49" s="344"/>
      <c r="HXY49" s="345"/>
      <c r="HXZ49" s="342"/>
      <c r="HYA49" s="343"/>
      <c r="HYB49" s="344"/>
      <c r="HYC49" s="345"/>
      <c r="HYD49" s="342"/>
      <c r="HYE49" s="343"/>
      <c r="HYF49" s="344"/>
      <c r="HYG49" s="345"/>
      <c r="HYH49" s="342"/>
      <c r="HYI49" s="343"/>
      <c r="HYJ49" s="344"/>
      <c r="HYK49" s="345"/>
      <c r="HYL49" s="342"/>
      <c r="HYM49" s="343"/>
      <c r="HYN49" s="344"/>
      <c r="HYO49" s="345"/>
      <c r="HYP49" s="342"/>
      <c r="HYQ49" s="343"/>
      <c r="HYR49" s="344"/>
      <c r="HYS49" s="345"/>
      <c r="HYT49" s="342"/>
      <c r="HYU49" s="343"/>
      <c r="HYV49" s="344"/>
      <c r="HYW49" s="345"/>
      <c r="HYX49" s="342"/>
      <c r="HYY49" s="343"/>
      <c r="HYZ49" s="344"/>
      <c r="HZA49" s="345"/>
      <c r="HZB49" s="342"/>
      <c r="HZC49" s="343"/>
      <c r="HZD49" s="344"/>
      <c r="HZE49" s="345"/>
      <c r="HZF49" s="342"/>
      <c r="HZG49" s="343"/>
      <c r="HZH49" s="344"/>
      <c r="HZI49" s="345"/>
      <c r="HZJ49" s="342"/>
      <c r="HZK49" s="343"/>
      <c r="HZL49" s="344"/>
      <c r="HZM49" s="345"/>
      <c r="HZN49" s="342"/>
      <c r="HZO49" s="343"/>
      <c r="HZP49" s="344"/>
      <c r="HZQ49" s="345"/>
      <c r="HZR49" s="342"/>
      <c r="HZS49" s="343"/>
      <c r="HZT49" s="344"/>
      <c r="HZU49" s="345"/>
      <c r="HZV49" s="342"/>
      <c r="HZW49" s="343"/>
      <c r="HZX49" s="344"/>
      <c r="HZY49" s="345"/>
      <c r="HZZ49" s="342"/>
      <c r="IAA49" s="343"/>
      <c r="IAB49" s="344"/>
      <c r="IAC49" s="345"/>
      <c r="IAD49" s="342"/>
      <c r="IAE49" s="343"/>
      <c r="IAF49" s="344"/>
      <c r="IAG49" s="345"/>
      <c r="IAH49" s="342"/>
      <c r="IAI49" s="343"/>
      <c r="IAJ49" s="344"/>
      <c r="IAK49" s="345"/>
      <c r="IAL49" s="342"/>
      <c r="IAM49" s="343"/>
      <c r="IAN49" s="344"/>
      <c r="IAO49" s="345"/>
      <c r="IAP49" s="342"/>
      <c r="IAQ49" s="343"/>
      <c r="IAR49" s="344"/>
      <c r="IAS49" s="345"/>
      <c r="IAT49" s="342"/>
      <c r="IAU49" s="343"/>
      <c r="IAV49" s="344"/>
      <c r="IAW49" s="345"/>
      <c r="IAX49" s="342"/>
      <c r="IAY49" s="343"/>
      <c r="IAZ49" s="344"/>
      <c r="IBA49" s="345"/>
      <c r="IBB49" s="342"/>
      <c r="IBC49" s="343"/>
      <c r="IBD49" s="344"/>
      <c r="IBE49" s="345"/>
      <c r="IBF49" s="342"/>
      <c r="IBG49" s="343"/>
      <c r="IBH49" s="344"/>
      <c r="IBI49" s="345"/>
      <c r="IBJ49" s="342"/>
      <c r="IBK49" s="343"/>
      <c r="IBL49" s="344"/>
      <c r="IBM49" s="345"/>
      <c r="IBN49" s="342"/>
      <c r="IBO49" s="343"/>
      <c r="IBP49" s="344"/>
      <c r="IBQ49" s="345"/>
      <c r="IBR49" s="342"/>
      <c r="IBS49" s="343"/>
      <c r="IBT49" s="344"/>
      <c r="IBU49" s="345"/>
      <c r="IBV49" s="342"/>
      <c r="IBW49" s="343"/>
      <c r="IBX49" s="344"/>
      <c r="IBY49" s="345"/>
      <c r="IBZ49" s="342"/>
      <c r="ICA49" s="343"/>
      <c r="ICB49" s="344"/>
      <c r="ICC49" s="345"/>
      <c r="ICD49" s="342"/>
      <c r="ICE49" s="343"/>
      <c r="ICF49" s="344"/>
      <c r="ICG49" s="345"/>
      <c r="ICH49" s="342"/>
      <c r="ICI49" s="343"/>
      <c r="ICJ49" s="344"/>
      <c r="ICK49" s="345"/>
      <c r="ICL49" s="342"/>
      <c r="ICM49" s="343"/>
      <c r="ICN49" s="344"/>
      <c r="ICO49" s="345"/>
      <c r="ICP49" s="342"/>
      <c r="ICQ49" s="343"/>
      <c r="ICR49" s="344"/>
      <c r="ICS49" s="345"/>
      <c r="ICT49" s="342"/>
      <c r="ICU49" s="343"/>
      <c r="ICV49" s="344"/>
      <c r="ICW49" s="345"/>
      <c r="ICX49" s="342"/>
      <c r="ICY49" s="343"/>
      <c r="ICZ49" s="344"/>
      <c r="IDA49" s="345"/>
      <c r="IDB49" s="342"/>
      <c r="IDC49" s="343"/>
      <c r="IDD49" s="344"/>
      <c r="IDE49" s="345"/>
      <c r="IDF49" s="342"/>
      <c r="IDG49" s="343"/>
      <c r="IDH49" s="344"/>
      <c r="IDI49" s="345"/>
      <c r="IDJ49" s="342"/>
      <c r="IDK49" s="343"/>
      <c r="IDL49" s="344"/>
      <c r="IDM49" s="345"/>
      <c r="IDN49" s="342"/>
      <c r="IDO49" s="343"/>
      <c r="IDP49" s="344"/>
      <c r="IDQ49" s="345"/>
      <c r="IDR49" s="342"/>
      <c r="IDS49" s="343"/>
      <c r="IDT49" s="344"/>
      <c r="IDU49" s="345"/>
      <c r="IDV49" s="342"/>
      <c r="IDW49" s="343"/>
      <c r="IDX49" s="344"/>
      <c r="IDY49" s="345"/>
      <c r="IDZ49" s="342"/>
      <c r="IEA49" s="343"/>
      <c r="IEB49" s="344"/>
      <c r="IEC49" s="345"/>
      <c r="IED49" s="342"/>
      <c r="IEE49" s="343"/>
      <c r="IEF49" s="344"/>
      <c r="IEG49" s="345"/>
      <c r="IEH49" s="342"/>
      <c r="IEI49" s="343"/>
      <c r="IEJ49" s="344"/>
      <c r="IEK49" s="345"/>
      <c r="IEL49" s="342"/>
      <c r="IEM49" s="343"/>
      <c r="IEN49" s="344"/>
      <c r="IEO49" s="345"/>
      <c r="IEP49" s="342"/>
      <c r="IEQ49" s="343"/>
      <c r="IER49" s="344"/>
      <c r="IES49" s="345"/>
      <c r="IET49" s="342"/>
      <c r="IEU49" s="343"/>
      <c r="IEV49" s="344"/>
      <c r="IEW49" s="345"/>
      <c r="IEX49" s="342"/>
      <c r="IEY49" s="343"/>
      <c r="IEZ49" s="344"/>
      <c r="IFA49" s="345"/>
      <c r="IFB49" s="342"/>
      <c r="IFC49" s="343"/>
      <c r="IFD49" s="344"/>
      <c r="IFE49" s="345"/>
      <c r="IFF49" s="342"/>
      <c r="IFG49" s="343"/>
      <c r="IFH49" s="344"/>
      <c r="IFI49" s="345"/>
      <c r="IFJ49" s="342"/>
      <c r="IFK49" s="343"/>
      <c r="IFL49" s="344"/>
      <c r="IFM49" s="345"/>
      <c r="IFN49" s="342"/>
      <c r="IFO49" s="343"/>
      <c r="IFP49" s="344"/>
      <c r="IFQ49" s="345"/>
      <c r="IFR49" s="342"/>
      <c r="IFS49" s="343"/>
      <c r="IFT49" s="344"/>
      <c r="IFU49" s="345"/>
      <c r="IFV49" s="342"/>
      <c r="IFW49" s="343"/>
      <c r="IFX49" s="344"/>
      <c r="IFY49" s="345"/>
      <c r="IFZ49" s="342"/>
      <c r="IGA49" s="343"/>
      <c r="IGB49" s="344"/>
      <c r="IGC49" s="345"/>
      <c r="IGD49" s="342"/>
      <c r="IGE49" s="343"/>
      <c r="IGF49" s="344"/>
      <c r="IGG49" s="345"/>
      <c r="IGH49" s="342"/>
      <c r="IGI49" s="343"/>
      <c r="IGJ49" s="344"/>
      <c r="IGK49" s="345"/>
      <c r="IGL49" s="342"/>
      <c r="IGM49" s="343"/>
      <c r="IGN49" s="344"/>
      <c r="IGO49" s="345"/>
      <c r="IGP49" s="342"/>
      <c r="IGQ49" s="343"/>
      <c r="IGR49" s="344"/>
      <c r="IGS49" s="345"/>
      <c r="IGT49" s="342"/>
      <c r="IGU49" s="343"/>
      <c r="IGV49" s="344"/>
      <c r="IGW49" s="345"/>
      <c r="IGX49" s="342"/>
      <c r="IGY49" s="343"/>
      <c r="IGZ49" s="344"/>
      <c r="IHA49" s="345"/>
      <c r="IHB49" s="342"/>
      <c r="IHC49" s="343"/>
      <c r="IHD49" s="344"/>
      <c r="IHE49" s="345"/>
      <c r="IHF49" s="342"/>
      <c r="IHG49" s="343"/>
      <c r="IHH49" s="344"/>
      <c r="IHI49" s="345"/>
      <c r="IHJ49" s="342"/>
      <c r="IHK49" s="343"/>
      <c r="IHL49" s="344"/>
      <c r="IHM49" s="345"/>
      <c r="IHN49" s="342"/>
      <c r="IHO49" s="343"/>
      <c r="IHP49" s="344"/>
      <c r="IHQ49" s="345"/>
      <c r="IHR49" s="342"/>
      <c r="IHS49" s="343"/>
      <c r="IHT49" s="344"/>
      <c r="IHU49" s="345"/>
      <c r="IHV49" s="342"/>
      <c r="IHW49" s="343"/>
      <c r="IHX49" s="344"/>
      <c r="IHY49" s="345"/>
      <c r="IHZ49" s="342"/>
      <c r="IIA49" s="343"/>
      <c r="IIB49" s="344"/>
      <c r="IIC49" s="345"/>
      <c r="IID49" s="342"/>
      <c r="IIE49" s="343"/>
      <c r="IIF49" s="344"/>
      <c r="IIG49" s="345"/>
      <c r="IIH49" s="342"/>
      <c r="III49" s="343"/>
      <c r="IIJ49" s="344"/>
      <c r="IIK49" s="345"/>
      <c r="IIL49" s="342"/>
      <c r="IIM49" s="343"/>
      <c r="IIN49" s="344"/>
      <c r="IIO49" s="345"/>
      <c r="IIP49" s="342"/>
      <c r="IIQ49" s="343"/>
      <c r="IIR49" s="344"/>
      <c r="IIS49" s="345"/>
      <c r="IIT49" s="342"/>
      <c r="IIU49" s="343"/>
      <c r="IIV49" s="344"/>
      <c r="IIW49" s="345"/>
      <c r="IIX49" s="342"/>
      <c r="IIY49" s="343"/>
      <c r="IIZ49" s="344"/>
      <c r="IJA49" s="345"/>
      <c r="IJB49" s="342"/>
      <c r="IJC49" s="343"/>
      <c r="IJD49" s="344"/>
      <c r="IJE49" s="345"/>
      <c r="IJF49" s="342"/>
      <c r="IJG49" s="343"/>
      <c r="IJH49" s="344"/>
      <c r="IJI49" s="345"/>
      <c r="IJJ49" s="342"/>
      <c r="IJK49" s="343"/>
      <c r="IJL49" s="344"/>
      <c r="IJM49" s="345"/>
      <c r="IJN49" s="342"/>
      <c r="IJO49" s="343"/>
      <c r="IJP49" s="344"/>
      <c r="IJQ49" s="345"/>
      <c r="IJR49" s="342"/>
      <c r="IJS49" s="343"/>
      <c r="IJT49" s="344"/>
      <c r="IJU49" s="345"/>
      <c r="IJV49" s="342"/>
      <c r="IJW49" s="343"/>
      <c r="IJX49" s="344"/>
      <c r="IJY49" s="345"/>
      <c r="IJZ49" s="342"/>
      <c r="IKA49" s="343"/>
      <c r="IKB49" s="344"/>
      <c r="IKC49" s="345"/>
      <c r="IKD49" s="342"/>
      <c r="IKE49" s="343"/>
      <c r="IKF49" s="344"/>
      <c r="IKG49" s="345"/>
      <c r="IKH49" s="342"/>
      <c r="IKI49" s="343"/>
      <c r="IKJ49" s="344"/>
      <c r="IKK49" s="345"/>
      <c r="IKL49" s="342"/>
      <c r="IKM49" s="343"/>
      <c r="IKN49" s="344"/>
      <c r="IKO49" s="345"/>
      <c r="IKP49" s="342"/>
      <c r="IKQ49" s="343"/>
      <c r="IKR49" s="344"/>
      <c r="IKS49" s="345"/>
      <c r="IKT49" s="342"/>
      <c r="IKU49" s="343"/>
      <c r="IKV49" s="344"/>
      <c r="IKW49" s="345"/>
      <c r="IKX49" s="342"/>
      <c r="IKY49" s="343"/>
      <c r="IKZ49" s="344"/>
      <c r="ILA49" s="345"/>
      <c r="ILB49" s="342"/>
      <c r="ILC49" s="343"/>
      <c r="ILD49" s="344"/>
      <c r="ILE49" s="345"/>
      <c r="ILF49" s="342"/>
      <c r="ILG49" s="343"/>
      <c r="ILH49" s="344"/>
      <c r="ILI49" s="345"/>
      <c r="ILJ49" s="342"/>
      <c r="ILK49" s="343"/>
      <c r="ILL49" s="344"/>
      <c r="ILM49" s="345"/>
      <c r="ILN49" s="342"/>
      <c r="ILO49" s="343"/>
      <c r="ILP49" s="344"/>
      <c r="ILQ49" s="345"/>
      <c r="ILR49" s="342"/>
      <c r="ILS49" s="343"/>
      <c r="ILT49" s="344"/>
      <c r="ILU49" s="345"/>
      <c r="ILV49" s="342"/>
      <c r="ILW49" s="343"/>
      <c r="ILX49" s="344"/>
      <c r="ILY49" s="345"/>
      <c r="ILZ49" s="342"/>
      <c r="IMA49" s="343"/>
      <c r="IMB49" s="344"/>
      <c r="IMC49" s="345"/>
      <c r="IMD49" s="342"/>
      <c r="IME49" s="343"/>
      <c r="IMF49" s="344"/>
      <c r="IMG49" s="345"/>
      <c r="IMH49" s="342"/>
      <c r="IMI49" s="343"/>
      <c r="IMJ49" s="344"/>
      <c r="IMK49" s="345"/>
      <c r="IML49" s="342"/>
      <c r="IMM49" s="343"/>
      <c r="IMN49" s="344"/>
      <c r="IMO49" s="345"/>
      <c r="IMP49" s="342"/>
      <c r="IMQ49" s="343"/>
      <c r="IMR49" s="344"/>
      <c r="IMS49" s="345"/>
      <c r="IMT49" s="342"/>
      <c r="IMU49" s="343"/>
      <c r="IMV49" s="344"/>
      <c r="IMW49" s="345"/>
      <c r="IMX49" s="342"/>
      <c r="IMY49" s="343"/>
      <c r="IMZ49" s="344"/>
      <c r="INA49" s="345"/>
      <c r="INB49" s="342"/>
      <c r="INC49" s="343"/>
      <c r="IND49" s="344"/>
      <c r="INE49" s="345"/>
      <c r="INF49" s="342"/>
      <c r="ING49" s="343"/>
      <c r="INH49" s="344"/>
      <c r="INI49" s="345"/>
      <c r="INJ49" s="342"/>
      <c r="INK49" s="343"/>
      <c r="INL49" s="344"/>
      <c r="INM49" s="345"/>
      <c r="INN49" s="342"/>
      <c r="INO49" s="343"/>
      <c r="INP49" s="344"/>
      <c r="INQ49" s="345"/>
      <c r="INR49" s="342"/>
      <c r="INS49" s="343"/>
      <c r="INT49" s="344"/>
      <c r="INU49" s="345"/>
      <c r="INV49" s="342"/>
      <c r="INW49" s="343"/>
      <c r="INX49" s="344"/>
      <c r="INY49" s="345"/>
      <c r="INZ49" s="342"/>
      <c r="IOA49" s="343"/>
      <c r="IOB49" s="344"/>
      <c r="IOC49" s="345"/>
      <c r="IOD49" s="342"/>
      <c r="IOE49" s="343"/>
      <c r="IOF49" s="344"/>
      <c r="IOG49" s="345"/>
      <c r="IOH49" s="342"/>
      <c r="IOI49" s="343"/>
      <c r="IOJ49" s="344"/>
      <c r="IOK49" s="345"/>
      <c r="IOL49" s="342"/>
      <c r="IOM49" s="343"/>
      <c r="ION49" s="344"/>
      <c r="IOO49" s="345"/>
      <c r="IOP49" s="342"/>
      <c r="IOQ49" s="343"/>
      <c r="IOR49" s="344"/>
      <c r="IOS49" s="345"/>
      <c r="IOT49" s="342"/>
      <c r="IOU49" s="343"/>
      <c r="IOV49" s="344"/>
      <c r="IOW49" s="345"/>
      <c r="IOX49" s="342"/>
      <c r="IOY49" s="343"/>
      <c r="IOZ49" s="344"/>
      <c r="IPA49" s="345"/>
      <c r="IPB49" s="342"/>
      <c r="IPC49" s="343"/>
      <c r="IPD49" s="344"/>
      <c r="IPE49" s="345"/>
      <c r="IPF49" s="342"/>
      <c r="IPG49" s="343"/>
      <c r="IPH49" s="344"/>
      <c r="IPI49" s="345"/>
      <c r="IPJ49" s="342"/>
      <c r="IPK49" s="343"/>
      <c r="IPL49" s="344"/>
      <c r="IPM49" s="345"/>
      <c r="IPN49" s="342"/>
      <c r="IPO49" s="343"/>
      <c r="IPP49" s="344"/>
      <c r="IPQ49" s="345"/>
      <c r="IPR49" s="342"/>
      <c r="IPS49" s="343"/>
      <c r="IPT49" s="344"/>
      <c r="IPU49" s="345"/>
      <c r="IPV49" s="342"/>
      <c r="IPW49" s="343"/>
      <c r="IPX49" s="344"/>
      <c r="IPY49" s="345"/>
      <c r="IPZ49" s="342"/>
      <c r="IQA49" s="343"/>
      <c r="IQB49" s="344"/>
      <c r="IQC49" s="345"/>
      <c r="IQD49" s="342"/>
      <c r="IQE49" s="343"/>
      <c r="IQF49" s="344"/>
      <c r="IQG49" s="345"/>
      <c r="IQH49" s="342"/>
      <c r="IQI49" s="343"/>
      <c r="IQJ49" s="344"/>
      <c r="IQK49" s="345"/>
      <c r="IQL49" s="342"/>
      <c r="IQM49" s="343"/>
      <c r="IQN49" s="344"/>
      <c r="IQO49" s="345"/>
      <c r="IQP49" s="342"/>
      <c r="IQQ49" s="343"/>
      <c r="IQR49" s="344"/>
      <c r="IQS49" s="345"/>
      <c r="IQT49" s="342"/>
      <c r="IQU49" s="343"/>
      <c r="IQV49" s="344"/>
      <c r="IQW49" s="345"/>
      <c r="IQX49" s="342"/>
      <c r="IQY49" s="343"/>
      <c r="IQZ49" s="344"/>
      <c r="IRA49" s="345"/>
      <c r="IRB49" s="342"/>
      <c r="IRC49" s="343"/>
      <c r="IRD49" s="344"/>
      <c r="IRE49" s="345"/>
      <c r="IRF49" s="342"/>
      <c r="IRG49" s="343"/>
      <c r="IRH49" s="344"/>
      <c r="IRI49" s="345"/>
      <c r="IRJ49" s="342"/>
      <c r="IRK49" s="343"/>
      <c r="IRL49" s="344"/>
      <c r="IRM49" s="345"/>
      <c r="IRN49" s="342"/>
      <c r="IRO49" s="343"/>
      <c r="IRP49" s="344"/>
      <c r="IRQ49" s="345"/>
      <c r="IRR49" s="342"/>
      <c r="IRS49" s="343"/>
      <c r="IRT49" s="344"/>
      <c r="IRU49" s="345"/>
      <c r="IRV49" s="342"/>
      <c r="IRW49" s="343"/>
      <c r="IRX49" s="344"/>
      <c r="IRY49" s="345"/>
      <c r="IRZ49" s="342"/>
      <c r="ISA49" s="343"/>
      <c r="ISB49" s="344"/>
      <c r="ISC49" s="345"/>
      <c r="ISD49" s="342"/>
      <c r="ISE49" s="343"/>
      <c r="ISF49" s="344"/>
      <c r="ISG49" s="345"/>
      <c r="ISH49" s="342"/>
      <c r="ISI49" s="343"/>
      <c r="ISJ49" s="344"/>
      <c r="ISK49" s="345"/>
      <c r="ISL49" s="342"/>
      <c r="ISM49" s="343"/>
      <c r="ISN49" s="344"/>
      <c r="ISO49" s="345"/>
      <c r="ISP49" s="342"/>
      <c r="ISQ49" s="343"/>
      <c r="ISR49" s="344"/>
      <c r="ISS49" s="345"/>
      <c r="IST49" s="342"/>
      <c r="ISU49" s="343"/>
      <c r="ISV49" s="344"/>
      <c r="ISW49" s="345"/>
      <c r="ISX49" s="342"/>
      <c r="ISY49" s="343"/>
      <c r="ISZ49" s="344"/>
      <c r="ITA49" s="345"/>
      <c r="ITB49" s="342"/>
      <c r="ITC49" s="343"/>
      <c r="ITD49" s="344"/>
      <c r="ITE49" s="345"/>
      <c r="ITF49" s="342"/>
      <c r="ITG49" s="343"/>
      <c r="ITH49" s="344"/>
      <c r="ITI49" s="345"/>
      <c r="ITJ49" s="342"/>
      <c r="ITK49" s="343"/>
      <c r="ITL49" s="344"/>
      <c r="ITM49" s="345"/>
      <c r="ITN49" s="342"/>
      <c r="ITO49" s="343"/>
      <c r="ITP49" s="344"/>
      <c r="ITQ49" s="345"/>
      <c r="ITR49" s="342"/>
      <c r="ITS49" s="343"/>
      <c r="ITT49" s="344"/>
      <c r="ITU49" s="345"/>
      <c r="ITV49" s="342"/>
      <c r="ITW49" s="343"/>
      <c r="ITX49" s="344"/>
      <c r="ITY49" s="345"/>
      <c r="ITZ49" s="342"/>
      <c r="IUA49" s="343"/>
      <c r="IUB49" s="344"/>
      <c r="IUC49" s="345"/>
      <c r="IUD49" s="342"/>
      <c r="IUE49" s="343"/>
      <c r="IUF49" s="344"/>
      <c r="IUG49" s="345"/>
      <c r="IUH49" s="342"/>
      <c r="IUI49" s="343"/>
      <c r="IUJ49" s="344"/>
      <c r="IUK49" s="345"/>
      <c r="IUL49" s="342"/>
      <c r="IUM49" s="343"/>
      <c r="IUN49" s="344"/>
      <c r="IUO49" s="345"/>
      <c r="IUP49" s="342"/>
      <c r="IUQ49" s="343"/>
      <c r="IUR49" s="344"/>
      <c r="IUS49" s="345"/>
      <c r="IUT49" s="342"/>
      <c r="IUU49" s="343"/>
      <c r="IUV49" s="344"/>
      <c r="IUW49" s="345"/>
      <c r="IUX49" s="342"/>
      <c r="IUY49" s="343"/>
      <c r="IUZ49" s="344"/>
      <c r="IVA49" s="345"/>
      <c r="IVB49" s="342"/>
      <c r="IVC49" s="343"/>
      <c r="IVD49" s="344"/>
      <c r="IVE49" s="345"/>
      <c r="IVF49" s="342"/>
      <c r="IVG49" s="343"/>
      <c r="IVH49" s="344"/>
      <c r="IVI49" s="345"/>
      <c r="IVJ49" s="342"/>
      <c r="IVK49" s="343"/>
      <c r="IVL49" s="344"/>
      <c r="IVM49" s="345"/>
      <c r="IVN49" s="342"/>
      <c r="IVO49" s="343"/>
      <c r="IVP49" s="344"/>
      <c r="IVQ49" s="345"/>
      <c r="IVR49" s="342"/>
      <c r="IVS49" s="343"/>
      <c r="IVT49" s="344"/>
      <c r="IVU49" s="345"/>
      <c r="IVV49" s="342"/>
      <c r="IVW49" s="343"/>
      <c r="IVX49" s="344"/>
      <c r="IVY49" s="345"/>
      <c r="IVZ49" s="342"/>
      <c r="IWA49" s="343"/>
      <c r="IWB49" s="344"/>
      <c r="IWC49" s="345"/>
      <c r="IWD49" s="342"/>
      <c r="IWE49" s="343"/>
      <c r="IWF49" s="344"/>
      <c r="IWG49" s="345"/>
      <c r="IWH49" s="342"/>
      <c r="IWI49" s="343"/>
      <c r="IWJ49" s="344"/>
      <c r="IWK49" s="345"/>
      <c r="IWL49" s="342"/>
      <c r="IWM49" s="343"/>
      <c r="IWN49" s="344"/>
      <c r="IWO49" s="345"/>
      <c r="IWP49" s="342"/>
      <c r="IWQ49" s="343"/>
      <c r="IWR49" s="344"/>
      <c r="IWS49" s="345"/>
      <c r="IWT49" s="342"/>
      <c r="IWU49" s="343"/>
      <c r="IWV49" s="344"/>
      <c r="IWW49" s="345"/>
      <c r="IWX49" s="342"/>
      <c r="IWY49" s="343"/>
      <c r="IWZ49" s="344"/>
      <c r="IXA49" s="345"/>
      <c r="IXB49" s="342"/>
      <c r="IXC49" s="343"/>
      <c r="IXD49" s="344"/>
      <c r="IXE49" s="345"/>
      <c r="IXF49" s="342"/>
      <c r="IXG49" s="343"/>
      <c r="IXH49" s="344"/>
      <c r="IXI49" s="345"/>
      <c r="IXJ49" s="342"/>
      <c r="IXK49" s="343"/>
      <c r="IXL49" s="344"/>
      <c r="IXM49" s="345"/>
      <c r="IXN49" s="342"/>
      <c r="IXO49" s="343"/>
      <c r="IXP49" s="344"/>
      <c r="IXQ49" s="345"/>
      <c r="IXR49" s="342"/>
      <c r="IXS49" s="343"/>
      <c r="IXT49" s="344"/>
      <c r="IXU49" s="345"/>
      <c r="IXV49" s="342"/>
      <c r="IXW49" s="343"/>
      <c r="IXX49" s="344"/>
      <c r="IXY49" s="345"/>
      <c r="IXZ49" s="342"/>
      <c r="IYA49" s="343"/>
      <c r="IYB49" s="344"/>
      <c r="IYC49" s="345"/>
      <c r="IYD49" s="342"/>
      <c r="IYE49" s="343"/>
      <c r="IYF49" s="344"/>
      <c r="IYG49" s="345"/>
      <c r="IYH49" s="342"/>
      <c r="IYI49" s="343"/>
      <c r="IYJ49" s="344"/>
      <c r="IYK49" s="345"/>
      <c r="IYL49" s="342"/>
      <c r="IYM49" s="343"/>
      <c r="IYN49" s="344"/>
      <c r="IYO49" s="345"/>
      <c r="IYP49" s="342"/>
      <c r="IYQ49" s="343"/>
      <c r="IYR49" s="344"/>
      <c r="IYS49" s="345"/>
      <c r="IYT49" s="342"/>
      <c r="IYU49" s="343"/>
      <c r="IYV49" s="344"/>
      <c r="IYW49" s="345"/>
      <c r="IYX49" s="342"/>
      <c r="IYY49" s="343"/>
      <c r="IYZ49" s="344"/>
      <c r="IZA49" s="345"/>
      <c r="IZB49" s="342"/>
      <c r="IZC49" s="343"/>
      <c r="IZD49" s="344"/>
      <c r="IZE49" s="345"/>
      <c r="IZF49" s="342"/>
      <c r="IZG49" s="343"/>
      <c r="IZH49" s="344"/>
      <c r="IZI49" s="345"/>
      <c r="IZJ49" s="342"/>
      <c r="IZK49" s="343"/>
      <c r="IZL49" s="344"/>
      <c r="IZM49" s="345"/>
      <c r="IZN49" s="342"/>
      <c r="IZO49" s="343"/>
      <c r="IZP49" s="344"/>
      <c r="IZQ49" s="345"/>
      <c r="IZR49" s="342"/>
      <c r="IZS49" s="343"/>
      <c r="IZT49" s="344"/>
      <c r="IZU49" s="345"/>
      <c r="IZV49" s="342"/>
      <c r="IZW49" s="343"/>
      <c r="IZX49" s="344"/>
      <c r="IZY49" s="345"/>
      <c r="IZZ49" s="342"/>
      <c r="JAA49" s="343"/>
      <c r="JAB49" s="344"/>
      <c r="JAC49" s="345"/>
      <c r="JAD49" s="342"/>
      <c r="JAE49" s="343"/>
      <c r="JAF49" s="344"/>
      <c r="JAG49" s="345"/>
      <c r="JAH49" s="342"/>
      <c r="JAI49" s="343"/>
      <c r="JAJ49" s="344"/>
      <c r="JAK49" s="345"/>
      <c r="JAL49" s="342"/>
      <c r="JAM49" s="343"/>
      <c r="JAN49" s="344"/>
      <c r="JAO49" s="345"/>
      <c r="JAP49" s="342"/>
      <c r="JAQ49" s="343"/>
      <c r="JAR49" s="344"/>
      <c r="JAS49" s="345"/>
      <c r="JAT49" s="342"/>
      <c r="JAU49" s="343"/>
      <c r="JAV49" s="344"/>
      <c r="JAW49" s="345"/>
      <c r="JAX49" s="342"/>
      <c r="JAY49" s="343"/>
      <c r="JAZ49" s="344"/>
      <c r="JBA49" s="345"/>
      <c r="JBB49" s="342"/>
      <c r="JBC49" s="343"/>
      <c r="JBD49" s="344"/>
      <c r="JBE49" s="345"/>
      <c r="JBF49" s="342"/>
      <c r="JBG49" s="343"/>
      <c r="JBH49" s="344"/>
      <c r="JBI49" s="345"/>
      <c r="JBJ49" s="342"/>
      <c r="JBK49" s="343"/>
      <c r="JBL49" s="344"/>
      <c r="JBM49" s="345"/>
      <c r="JBN49" s="342"/>
      <c r="JBO49" s="343"/>
      <c r="JBP49" s="344"/>
      <c r="JBQ49" s="345"/>
      <c r="JBR49" s="342"/>
      <c r="JBS49" s="343"/>
      <c r="JBT49" s="344"/>
      <c r="JBU49" s="345"/>
      <c r="JBV49" s="342"/>
      <c r="JBW49" s="343"/>
      <c r="JBX49" s="344"/>
      <c r="JBY49" s="345"/>
      <c r="JBZ49" s="342"/>
      <c r="JCA49" s="343"/>
      <c r="JCB49" s="344"/>
      <c r="JCC49" s="345"/>
      <c r="JCD49" s="342"/>
      <c r="JCE49" s="343"/>
      <c r="JCF49" s="344"/>
      <c r="JCG49" s="345"/>
      <c r="JCH49" s="342"/>
      <c r="JCI49" s="343"/>
      <c r="JCJ49" s="344"/>
      <c r="JCK49" s="345"/>
      <c r="JCL49" s="342"/>
      <c r="JCM49" s="343"/>
      <c r="JCN49" s="344"/>
      <c r="JCO49" s="345"/>
      <c r="JCP49" s="342"/>
      <c r="JCQ49" s="343"/>
      <c r="JCR49" s="344"/>
      <c r="JCS49" s="345"/>
      <c r="JCT49" s="342"/>
      <c r="JCU49" s="343"/>
      <c r="JCV49" s="344"/>
      <c r="JCW49" s="345"/>
      <c r="JCX49" s="342"/>
      <c r="JCY49" s="343"/>
      <c r="JCZ49" s="344"/>
      <c r="JDA49" s="345"/>
      <c r="JDB49" s="342"/>
      <c r="JDC49" s="343"/>
      <c r="JDD49" s="344"/>
      <c r="JDE49" s="345"/>
      <c r="JDF49" s="342"/>
      <c r="JDG49" s="343"/>
      <c r="JDH49" s="344"/>
      <c r="JDI49" s="345"/>
      <c r="JDJ49" s="342"/>
      <c r="JDK49" s="343"/>
      <c r="JDL49" s="344"/>
      <c r="JDM49" s="345"/>
      <c r="JDN49" s="342"/>
      <c r="JDO49" s="343"/>
      <c r="JDP49" s="344"/>
      <c r="JDQ49" s="345"/>
      <c r="JDR49" s="342"/>
      <c r="JDS49" s="343"/>
      <c r="JDT49" s="344"/>
      <c r="JDU49" s="345"/>
      <c r="JDV49" s="342"/>
      <c r="JDW49" s="343"/>
      <c r="JDX49" s="344"/>
      <c r="JDY49" s="345"/>
      <c r="JDZ49" s="342"/>
      <c r="JEA49" s="343"/>
      <c r="JEB49" s="344"/>
      <c r="JEC49" s="345"/>
      <c r="JED49" s="342"/>
      <c r="JEE49" s="343"/>
      <c r="JEF49" s="344"/>
      <c r="JEG49" s="345"/>
      <c r="JEH49" s="342"/>
      <c r="JEI49" s="343"/>
      <c r="JEJ49" s="344"/>
      <c r="JEK49" s="345"/>
      <c r="JEL49" s="342"/>
      <c r="JEM49" s="343"/>
      <c r="JEN49" s="344"/>
      <c r="JEO49" s="345"/>
      <c r="JEP49" s="342"/>
      <c r="JEQ49" s="343"/>
      <c r="JER49" s="344"/>
      <c r="JES49" s="345"/>
      <c r="JET49" s="342"/>
      <c r="JEU49" s="343"/>
      <c r="JEV49" s="344"/>
      <c r="JEW49" s="345"/>
      <c r="JEX49" s="342"/>
      <c r="JEY49" s="343"/>
      <c r="JEZ49" s="344"/>
      <c r="JFA49" s="345"/>
      <c r="JFB49" s="342"/>
      <c r="JFC49" s="343"/>
      <c r="JFD49" s="344"/>
      <c r="JFE49" s="345"/>
      <c r="JFF49" s="342"/>
      <c r="JFG49" s="343"/>
      <c r="JFH49" s="344"/>
      <c r="JFI49" s="345"/>
      <c r="JFJ49" s="342"/>
      <c r="JFK49" s="343"/>
      <c r="JFL49" s="344"/>
      <c r="JFM49" s="345"/>
      <c r="JFN49" s="342"/>
      <c r="JFO49" s="343"/>
      <c r="JFP49" s="344"/>
      <c r="JFQ49" s="345"/>
      <c r="JFR49" s="342"/>
      <c r="JFS49" s="343"/>
      <c r="JFT49" s="344"/>
      <c r="JFU49" s="345"/>
      <c r="JFV49" s="342"/>
      <c r="JFW49" s="343"/>
      <c r="JFX49" s="344"/>
      <c r="JFY49" s="345"/>
      <c r="JFZ49" s="342"/>
      <c r="JGA49" s="343"/>
      <c r="JGB49" s="344"/>
      <c r="JGC49" s="345"/>
      <c r="JGD49" s="342"/>
      <c r="JGE49" s="343"/>
      <c r="JGF49" s="344"/>
      <c r="JGG49" s="345"/>
      <c r="JGH49" s="342"/>
      <c r="JGI49" s="343"/>
      <c r="JGJ49" s="344"/>
      <c r="JGK49" s="345"/>
      <c r="JGL49" s="342"/>
      <c r="JGM49" s="343"/>
      <c r="JGN49" s="344"/>
      <c r="JGO49" s="345"/>
      <c r="JGP49" s="342"/>
      <c r="JGQ49" s="343"/>
      <c r="JGR49" s="344"/>
      <c r="JGS49" s="345"/>
      <c r="JGT49" s="342"/>
      <c r="JGU49" s="343"/>
      <c r="JGV49" s="344"/>
      <c r="JGW49" s="345"/>
      <c r="JGX49" s="342"/>
      <c r="JGY49" s="343"/>
      <c r="JGZ49" s="344"/>
      <c r="JHA49" s="345"/>
      <c r="JHB49" s="342"/>
      <c r="JHC49" s="343"/>
      <c r="JHD49" s="344"/>
      <c r="JHE49" s="345"/>
      <c r="JHF49" s="342"/>
      <c r="JHG49" s="343"/>
      <c r="JHH49" s="344"/>
      <c r="JHI49" s="345"/>
      <c r="JHJ49" s="342"/>
      <c r="JHK49" s="343"/>
      <c r="JHL49" s="344"/>
      <c r="JHM49" s="345"/>
      <c r="JHN49" s="342"/>
      <c r="JHO49" s="343"/>
      <c r="JHP49" s="344"/>
      <c r="JHQ49" s="345"/>
      <c r="JHR49" s="342"/>
      <c r="JHS49" s="343"/>
      <c r="JHT49" s="344"/>
      <c r="JHU49" s="345"/>
      <c r="JHV49" s="342"/>
      <c r="JHW49" s="343"/>
      <c r="JHX49" s="344"/>
      <c r="JHY49" s="345"/>
      <c r="JHZ49" s="342"/>
      <c r="JIA49" s="343"/>
      <c r="JIB49" s="344"/>
      <c r="JIC49" s="345"/>
      <c r="JID49" s="342"/>
      <c r="JIE49" s="343"/>
      <c r="JIF49" s="344"/>
      <c r="JIG49" s="345"/>
      <c r="JIH49" s="342"/>
      <c r="JII49" s="343"/>
      <c r="JIJ49" s="344"/>
      <c r="JIK49" s="345"/>
      <c r="JIL49" s="342"/>
      <c r="JIM49" s="343"/>
      <c r="JIN49" s="344"/>
      <c r="JIO49" s="345"/>
      <c r="JIP49" s="342"/>
      <c r="JIQ49" s="343"/>
      <c r="JIR49" s="344"/>
      <c r="JIS49" s="345"/>
      <c r="JIT49" s="342"/>
      <c r="JIU49" s="343"/>
      <c r="JIV49" s="344"/>
      <c r="JIW49" s="345"/>
      <c r="JIX49" s="342"/>
      <c r="JIY49" s="343"/>
      <c r="JIZ49" s="344"/>
      <c r="JJA49" s="345"/>
      <c r="JJB49" s="342"/>
      <c r="JJC49" s="343"/>
      <c r="JJD49" s="344"/>
      <c r="JJE49" s="345"/>
      <c r="JJF49" s="342"/>
      <c r="JJG49" s="343"/>
      <c r="JJH49" s="344"/>
      <c r="JJI49" s="345"/>
      <c r="JJJ49" s="342"/>
      <c r="JJK49" s="343"/>
      <c r="JJL49" s="344"/>
      <c r="JJM49" s="345"/>
      <c r="JJN49" s="342"/>
      <c r="JJO49" s="343"/>
      <c r="JJP49" s="344"/>
      <c r="JJQ49" s="345"/>
      <c r="JJR49" s="342"/>
      <c r="JJS49" s="343"/>
      <c r="JJT49" s="344"/>
      <c r="JJU49" s="345"/>
      <c r="JJV49" s="342"/>
      <c r="JJW49" s="343"/>
      <c r="JJX49" s="344"/>
      <c r="JJY49" s="345"/>
      <c r="JJZ49" s="342"/>
      <c r="JKA49" s="343"/>
      <c r="JKB49" s="344"/>
      <c r="JKC49" s="345"/>
      <c r="JKD49" s="342"/>
      <c r="JKE49" s="343"/>
      <c r="JKF49" s="344"/>
      <c r="JKG49" s="345"/>
      <c r="JKH49" s="342"/>
      <c r="JKI49" s="343"/>
      <c r="JKJ49" s="344"/>
      <c r="JKK49" s="345"/>
      <c r="JKL49" s="342"/>
      <c r="JKM49" s="343"/>
      <c r="JKN49" s="344"/>
      <c r="JKO49" s="345"/>
      <c r="JKP49" s="342"/>
      <c r="JKQ49" s="343"/>
      <c r="JKR49" s="344"/>
      <c r="JKS49" s="345"/>
      <c r="JKT49" s="342"/>
      <c r="JKU49" s="343"/>
      <c r="JKV49" s="344"/>
      <c r="JKW49" s="345"/>
      <c r="JKX49" s="342"/>
      <c r="JKY49" s="343"/>
      <c r="JKZ49" s="344"/>
      <c r="JLA49" s="345"/>
      <c r="JLB49" s="342"/>
      <c r="JLC49" s="343"/>
      <c r="JLD49" s="344"/>
      <c r="JLE49" s="345"/>
      <c r="JLF49" s="342"/>
      <c r="JLG49" s="343"/>
      <c r="JLH49" s="344"/>
      <c r="JLI49" s="345"/>
      <c r="JLJ49" s="342"/>
      <c r="JLK49" s="343"/>
      <c r="JLL49" s="344"/>
      <c r="JLM49" s="345"/>
      <c r="JLN49" s="342"/>
      <c r="JLO49" s="343"/>
      <c r="JLP49" s="344"/>
      <c r="JLQ49" s="345"/>
      <c r="JLR49" s="342"/>
      <c r="JLS49" s="343"/>
      <c r="JLT49" s="344"/>
      <c r="JLU49" s="345"/>
      <c r="JLV49" s="342"/>
      <c r="JLW49" s="343"/>
      <c r="JLX49" s="344"/>
      <c r="JLY49" s="345"/>
      <c r="JLZ49" s="342"/>
      <c r="JMA49" s="343"/>
      <c r="JMB49" s="344"/>
      <c r="JMC49" s="345"/>
      <c r="JMD49" s="342"/>
      <c r="JME49" s="343"/>
      <c r="JMF49" s="344"/>
      <c r="JMG49" s="345"/>
      <c r="JMH49" s="342"/>
      <c r="JMI49" s="343"/>
      <c r="JMJ49" s="344"/>
      <c r="JMK49" s="345"/>
      <c r="JML49" s="342"/>
      <c r="JMM49" s="343"/>
      <c r="JMN49" s="344"/>
      <c r="JMO49" s="345"/>
      <c r="JMP49" s="342"/>
      <c r="JMQ49" s="343"/>
      <c r="JMR49" s="344"/>
      <c r="JMS49" s="345"/>
      <c r="JMT49" s="342"/>
      <c r="JMU49" s="343"/>
      <c r="JMV49" s="344"/>
      <c r="JMW49" s="345"/>
      <c r="JMX49" s="342"/>
      <c r="JMY49" s="343"/>
      <c r="JMZ49" s="344"/>
      <c r="JNA49" s="345"/>
      <c r="JNB49" s="342"/>
      <c r="JNC49" s="343"/>
      <c r="JND49" s="344"/>
      <c r="JNE49" s="345"/>
      <c r="JNF49" s="342"/>
      <c r="JNG49" s="343"/>
      <c r="JNH49" s="344"/>
      <c r="JNI49" s="345"/>
      <c r="JNJ49" s="342"/>
      <c r="JNK49" s="343"/>
      <c r="JNL49" s="344"/>
      <c r="JNM49" s="345"/>
      <c r="JNN49" s="342"/>
      <c r="JNO49" s="343"/>
      <c r="JNP49" s="344"/>
      <c r="JNQ49" s="345"/>
      <c r="JNR49" s="342"/>
      <c r="JNS49" s="343"/>
      <c r="JNT49" s="344"/>
      <c r="JNU49" s="345"/>
      <c r="JNV49" s="342"/>
      <c r="JNW49" s="343"/>
      <c r="JNX49" s="344"/>
      <c r="JNY49" s="345"/>
      <c r="JNZ49" s="342"/>
      <c r="JOA49" s="343"/>
      <c r="JOB49" s="344"/>
      <c r="JOC49" s="345"/>
      <c r="JOD49" s="342"/>
      <c r="JOE49" s="343"/>
      <c r="JOF49" s="344"/>
      <c r="JOG49" s="345"/>
      <c r="JOH49" s="342"/>
      <c r="JOI49" s="343"/>
      <c r="JOJ49" s="344"/>
      <c r="JOK49" s="345"/>
      <c r="JOL49" s="342"/>
      <c r="JOM49" s="343"/>
      <c r="JON49" s="344"/>
      <c r="JOO49" s="345"/>
      <c r="JOP49" s="342"/>
      <c r="JOQ49" s="343"/>
      <c r="JOR49" s="344"/>
      <c r="JOS49" s="345"/>
      <c r="JOT49" s="342"/>
      <c r="JOU49" s="343"/>
      <c r="JOV49" s="344"/>
      <c r="JOW49" s="345"/>
      <c r="JOX49" s="342"/>
      <c r="JOY49" s="343"/>
      <c r="JOZ49" s="344"/>
      <c r="JPA49" s="345"/>
      <c r="JPB49" s="342"/>
      <c r="JPC49" s="343"/>
      <c r="JPD49" s="344"/>
      <c r="JPE49" s="345"/>
      <c r="JPF49" s="342"/>
      <c r="JPG49" s="343"/>
      <c r="JPH49" s="344"/>
      <c r="JPI49" s="345"/>
      <c r="JPJ49" s="342"/>
      <c r="JPK49" s="343"/>
      <c r="JPL49" s="344"/>
      <c r="JPM49" s="345"/>
      <c r="JPN49" s="342"/>
      <c r="JPO49" s="343"/>
      <c r="JPP49" s="344"/>
      <c r="JPQ49" s="345"/>
      <c r="JPR49" s="342"/>
      <c r="JPS49" s="343"/>
      <c r="JPT49" s="344"/>
      <c r="JPU49" s="345"/>
      <c r="JPV49" s="342"/>
      <c r="JPW49" s="343"/>
      <c r="JPX49" s="344"/>
      <c r="JPY49" s="345"/>
      <c r="JPZ49" s="342"/>
      <c r="JQA49" s="343"/>
      <c r="JQB49" s="344"/>
      <c r="JQC49" s="345"/>
      <c r="JQD49" s="342"/>
      <c r="JQE49" s="343"/>
      <c r="JQF49" s="344"/>
      <c r="JQG49" s="345"/>
      <c r="JQH49" s="342"/>
      <c r="JQI49" s="343"/>
      <c r="JQJ49" s="344"/>
      <c r="JQK49" s="345"/>
      <c r="JQL49" s="342"/>
      <c r="JQM49" s="343"/>
      <c r="JQN49" s="344"/>
      <c r="JQO49" s="345"/>
      <c r="JQP49" s="342"/>
      <c r="JQQ49" s="343"/>
      <c r="JQR49" s="344"/>
      <c r="JQS49" s="345"/>
      <c r="JQT49" s="342"/>
      <c r="JQU49" s="343"/>
      <c r="JQV49" s="344"/>
      <c r="JQW49" s="345"/>
      <c r="JQX49" s="342"/>
      <c r="JQY49" s="343"/>
      <c r="JQZ49" s="344"/>
      <c r="JRA49" s="345"/>
      <c r="JRB49" s="342"/>
      <c r="JRC49" s="343"/>
      <c r="JRD49" s="344"/>
      <c r="JRE49" s="345"/>
      <c r="JRF49" s="342"/>
      <c r="JRG49" s="343"/>
      <c r="JRH49" s="344"/>
      <c r="JRI49" s="345"/>
      <c r="JRJ49" s="342"/>
      <c r="JRK49" s="343"/>
      <c r="JRL49" s="344"/>
      <c r="JRM49" s="345"/>
      <c r="JRN49" s="342"/>
      <c r="JRO49" s="343"/>
      <c r="JRP49" s="344"/>
      <c r="JRQ49" s="345"/>
      <c r="JRR49" s="342"/>
      <c r="JRS49" s="343"/>
      <c r="JRT49" s="344"/>
      <c r="JRU49" s="345"/>
      <c r="JRV49" s="342"/>
      <c r="JRW49" s="343"/>
      <c r="JRX49" s="344"/>
      <c r="JRY49" s="345"/>
      <c r="JRZ49" s="342"/>
      <c r="JSA49" s="343"/>
      <c r="JSB49" s="344"/>
      <c r="JSC49" s="345"/>
      <c r="JSD49" s="342"/>
      <c r="JSE49" s="343"/>
      <c r="JSF49" s="344"/>
      <c r="JSG49" s="345"/>
      <c r="JSH49" s="342"/>
      <c r="JSI49" s="343"/>
      <c r="JSJ49" s="344"/>
      <c r="JSK49" s="345"/>
      <c r="JSL49" s="342"/>
      <c r="JSM49" s="343"/>
      <c r="JSN49" s="344"/>
      <c r="JSO49" s="345"/>
      <c r="JSP49" s="342"/>
      <c r="JSQ49" s="343"/>
      <c r="JSR49" s="344"/>
      <c r="JSS49" s="345"/>
      <c r="JST49" s="342"/>
      <c r="JSU49" s="343"/>
      <c r="JSV49" s="344"/>
      <c r="JSW49" s="345"/>
      <c r="JSX49" s="342"/>
      <c r="JSY49" s="343"/>
      <c r="JSZ49" s="344"/>
      <c r="JTA49" s="345"/>
      <c r="JTB49" s="342"/>
      <c r="JTC49" s="343"/>
      <c r="JTD49" s="344"/>
      <c r="JTE49" s="345"/>
      <c r="JTF49" s="342"/>
      <c r="JTG49" s="343"/>
      <c r="JTH49" s="344"/>
      <c r="JTI49" s="345"/>
      <c r="JTJ49" s="342"/>
      <c r="JTK49" s="343"/>
      <c r="JTL49" s="344"/>
      <c r="JTM49" s="345"/>
      <c r="JTN49" s="342"/>
      <c r="JTO49" s="343"/>
      <c r="JTP49" s="344"/>
      <c r="JTQ49" s="345"/>
      <c r="JTR49" s="342"/>
      <c r="JTS49" s="343"/>
      <c r="JTT49" s="344"/>
      <c r="JTU49" s="345"/>
      <c r="JTV49" s="342"/>
      <c r="JTW49" s="343"/>
      <c r="JTX49" s="344"/>
      <c r="JTY49" s="345"/>
      <c r="JTZ49" s="342"/>
      <c r="JUA49" s="343"/>
      <c r="JUB49" s="344"/>
      <c r="JUC49" s="345"/>
      <c r="JUD49" s="342"/>
      <c r="JUE49" s="343"/>
      <c r="JUF49" s="344"/>
      <c r="JUG49" s="345"/>
      <c r="JUH49" s="342"/>
      <c r="JUI49" s="343"/>
      <c r="JUJ49" s="344"/>
      <c r="JUK49" s="345"/>
      <c r="JUL49" s="342"/>
      <c r="JUM49" s="343"/>
      <c r="JUN49" s="344"/>
      <c r="JUO49" s="345"/>
      <c r="JUP49" s="342"/>
      <c r="JUQ49" s="343"/>
      <c r="JUR49" s="344"/>
      <c r="JUS49" s="345"/>
      <c r="JUT49" s="342"/>
      <c r="JUU49" s="343"/>
      <c r="JUV49" s="344"/>
      <c r="JUW49" s="345"/>
      <c r="JUX49" s="342"/>
      <c r="JUY49" s="343"/>
      <c r="JUZ49" s="344"/>
      <c r="JVA49" s="345"/>
      <c r="JVB49" s="342"/>
      <c r="JVC49" s="343"/>
      <c r="JVD49" s="344"/>
      <c r="JVE49" s="345"/>
      <c r="JVF49" s="342"/>
      <c r="JVG49" s="343"/>
      <c r="JVH49" s="344"/>
      <c r="JVI49" s="345"/>
      <c r="JVJ49" s="342"/>
      <c r="JVK49" s="343"/>
      <c r="JVL49" s="344"/>
      <c r="JVM49" s="345"/>
      <c r="JVN49" s="342"/>
      <c r="JVO49" s="343"/>
      <c r="JVP49" s="344"/>
      <c r="JVQ49" s="345"/>
      <c r="JVR49" s="342"/>
      <c r="JVS49" s="343"/>
      <c r="JVT49" s="344"/>
      <c r="JVU49" s="345"/>
      <c r="JVV49" s="342"/>
      <c r="JVW49" s="343"/>
      <c r="JVX49" s="344"/>
      <c r="JVY49" s="345"/>
      <c r="JVZ49" s="342"/>
      <c r="JWA49" s="343"/>
      <c r="JWB49" s="344"/>
      <c r="JWC49" s="345"/>
      <c r="JWD49" s="342"/>
      <c r="JWE49" s="343"/>
      <c r="JWF49" s="344"/>
      <c r="JWG49" s="345"/>
      <c r="JWH49" s="342"/>
      <c r="JWI49" s="343"/>
      <c r="JWJ49" s="344"/>
      <c r="JWK49" s="345"/>
      <c r="JWL49" s="342"/>
      <c r="JWM49" s="343"/>
      <c r="JWN49" s="344"/>
      <c r="JWO49" s="345"/>
      <c r="JWP49" s="342"/>
      <c r="JWQ49" s="343"/>
      <c r="JWR49" s="344"/>
      <c r="JWS49" s="345"/>
      <c r="JWT49" s="342"/>
      <c r="JWU49" s="343"/>
      <c r="JWV49" s="344"/>
      <c r="JWW49" s="345"/>
      <c r="JWX49" s="342"/>
      <c r="JWY49" s="343"/>
      <c r="JWZ49" s="344"/>
      <c r="JXA49" s="345"/>
      <c r="JXB49" s="342"/>
      <c r="JXC49" s="343"/>
      <c r="JXD49" s="344"/>
      <c r="JXE49" s="345"/>
      <c r="JXF49" s="342"/>
      <c r="JXG49" s="343"/>
      <c r="JXH49" s="344"/>
      <c r="JXI49" s="345"/>
      <c r="JXJ49" s="342"/>
      <c r="JXK49" s="343"/>
      <c r="JXL49" s="344"/>
      <c r="JXM49" s="345"/>
      <c r="JXN49" s="342"/>
      <c r="JXO49" s="343"/>
      <c r="JXP49" s="344"/>
      <c r="JXQ49" s="345"/>
      <c r="JXR49" s="342"/>
      <c r="JXS49" s="343"/>
      <c r="JXT49" s="344"/>
      <c r="JXU49" s="345"/>
      <c r="JXV49" s="342"/>
      <c r="JXW49" s="343"/>
      <c r="JXX49" s="344"/>
      <c r="JXY49" s="345"/>
      <c r="JXZ49" s="342"/>
      <c r="JYA49" s="343"/>
      <c r="JYB49" s="344"/>
      <c r="JYC49" s="345"/>
      <c r="JYD49" s="342"/>
      <c r="JYE49" s="343"/>
      <c r="JYF49" s="344"/>
      <c r="JYG49" s="345"/>
      <c r="JYH49" s="342"/>
      <c r="JYI49" s="343"/>
      <c r="JYJ49" s="344"/>
      <c r="JYK49" s="345"/>
      <c r="JYL49" s="342"/>
      <c r="JYM49" s="343"/>
      <c r="JYN49" s="344"/>
      <c r="JYO49" s="345"/>
      <c r="JYP49" s="342"/>
      <c r="JYQ49" s="343"/>
      <c r="JYR49" s="344"/>
      <c r="JYS49" s="345"/>
      <c r="JYT49" s="342"/>
      <c r="JYU49" s="343"/>
      <c r="JYV49" s="344"/>
      <c r="JYW49" s="345"/>
      <c r="JYX49" s="342"/>
      <c r="JYY49" s="343"/>
      <c r="JYZ49" s="344"/>
      <c r="JZA49" s="345"/>
      <c r="JZB49" s="342"/>
      <c r="JZC49" s="343"/>
      <c r="JZD49" s="344"/>
      <c r="JZE49" s="345"/>
      <c r="JZF49" s="342"/>
      <c r="JZG49" s="343"/>
      <c r="JZH49" s="344"/>
      <c r="JZI49" s="345"/>
      <c r="JZJ49" s="342"/>
      <c r="JZK49" s="343"/>
      <c r="JZL49" s="344"/>
      <c r="JZM49" s="345"/>
      <c r="JZN49" s="342"/>
      <c r="JZO49" s="343"/>
      <c r="JZP49" s="344"/>
      <c r="JZQ49" s="345"/>
      <c r="JZR49" s="342"/>
      <c r="JZS49" s="343"/>
      <c r="JZT49" s="344"/>
      <c r="JZU49" s="345"/>
      <c r="JZV49" s="342"/>
      <c r="JZW49" s="343"/>
      <c r="JZX49" s="344"/>
      <c r="JZY49" s="345"/>
      <c r="JZZ49" s="342"/>
      <c r="KAA49" s="343"/>
      <c r="KAB49" s="344"/>
      <c r="KAC49" s="345"/>
      <c r="KAD49" s="342"/>
      <c r="KAE49" s="343"/>
      <c r="KAF49" s="344"/>
      <c r="KAG49" s="345"/>
      <c r="KAH49" s="342"/>
      <c r="KAI49" s="343"/>
      <c r="KAJ49" s="344"/>
      <c r="KAK49" s="345"/>
      <c r="KAL49" s="342"/>
      <c r="KAM49" s="343"/>
      <c r="KAN49" s="344"/>
      <c r="KAO49" s="345"/>
      <c r="KAP49" s="342"/>
      <c r="KAQ49" s="343"/>
      <c r="KAR49" s="344"/>
      <c r="KAS49" s="345"/>
      <c r="KAT49" s="342"/>
      <c r="KAU49" s="343"/>
      <c r="KAV49" s="344"/>
      <c r="KAW49" s="345"/>
      <c r="KAX49" s="342"/>
      <c r="KAY49" s="343"/>
      <c r="KAZ49" s="344"/>
      <c r="KBA49" s="345"/>
      <c r="KBB49" s="342"/>
      <c r="KBC49" s="343"/>
      <c r="KBD49" s="344"/>
      <c r="KBE49" s="345"/>
      <c r="KBF49" s="342"/>
      <c r="KBG49" s="343"/>
      <c r="KBH49" s="344"/>
      <c r="KBI49" s="345"/>
      <c r="KBJ49" s="342"/>
      <c r="KBK49" s="343"/>
      <c r="KBL49" s="344"/>
      <c r="KBM49" s="345"/>
      <c r="KBN49" s="342"/>
      <c r="KBO49" s="343"/>
      <c r="KBP49" s="344"/>
      <c r="KBQ49" s="345"/>
      <c r="KBR49" s="342"/>
      <c r="KBS49" s="343"/>
      <c r="KBT49" s="344"/>
      <c r="KBU49" s="345"/>
      <c r="KBV49" s="342"/>
      <c r="KBW49" s="343"/>
      <c r="KBX49" s="344"/>
      <c r="KBY49" s="345"/>
      <c r="KBZ49" s="342"/>
      <c r="KCA49" s="343"/>
      <c r="KCB49" s="344"/>
      <c r="KCC49" s="345"/>
      <c r="KCD49" s="342"/>
      <c r="KCE49" s="343"/>
      <c r="KCF49" s="344"/>
      <c r="KCG49" s="345"/>
      <c r="KCH49" s="342"/>
      <c r="KCI49" s="343"/>
      <c r="KCJ49" s="344"/>
      <c r="KCK49" s="345"/>
      <c r="KCL49" s="342"/>
      <c r="KCM49" s="343"/>
      <c r="KCN49" s="344"/>
      <c r="KCO49" s="345"/>
      <c r="KCP49" s="342"/>
      <c r="KCQ49" s="343"/>
      <c r="KCR49" s="344"/>
      <c r="KCS49" s="345"/>
      <c r="KCT49" s="342"/>
      <c r="KCU49" s="343"/>
      <c r="KCV49" s="344"/>
      <c r="KCW49" s="345"/>
      <c r="KCX49" s="342"/>
      <c r="KCY49" s="343"/>
      <c r="KCZ49" s="344"/>
      <c r="KDA49" s="345"/>
      <c r="KDB49" s="342"/>
      <c r="KDC49" s="343"/>
      <c r="KDD49" s="344"/>
      <c r="KDE49" s="345"/>
      <c r="KDF49" s="342"/>
      <c r="KDG49" s="343"/>
      <c r="KDH49" s="344"/>
      <c r="KDI49" s="345"/>
      <c r="KDJ49" s="342"/>
      <c r="KDK49" s="343"/>
      <c r="KDL49" s="344"/>
      <c r="KDM49" s="345"/>
      <c r="KDN49" s="342"/>
      <c r="KDO49" s="343"/>
      <c r="KDP49" s="344"/>
      <c r="KDQ49" s="345"/>
      <c r="KDR49" s="342"/>
      <c r="KDS49" s="343"/>
      <c r="KDT49" s="344"/>
      <c r="KDU49" s="345"/>
      <c r="KDV49" s="342"/>
      <c r="KDW49" s="343"/>
      <c r="KDX49" s="344"/>
      <c r="KDY49" s="345"/>
      <c r="KDZ49" s="342"/>
      <c r="KEA49" s="343"/>
      <c r="KEB49" s="344"/>
      <c r="KEC49" s="345"/>
      <c r="KED49" s="342"/>
      <c r="KEE49" s="343"/>
      <c r="KEF49" s="344"/>
      <c r="KEG49" s="345"/>
      <c r="KEH49" s="342"/>
      <c r="KEI49" s="343"/>
      <c r="KEJ49" s="344"/>
      <c r="KEK49" s="345"/>
      <c r="KEL49" s="342"/>
      <c r="KEM49" s="343"/>
      <c r="KEN49" s="344"/>
      <c r="KEO49" s="345"/>
      <c r="KEP49" s="342"/>
      <c r="KEQ49" s="343"/>
      <c r="KER49" s="344"/>
      <c r="KES49" s="345"/>
      <c r="KET49" s="342"/>
      <c r="KEU49" s="343"/>
      <c r="KEV49" s="344"/>
      <c r="KEW49" s="345"/>
      <c r="KEX49" s="342"/>
      <c r="KEY49" s="343"/>
      <c r="KEZ49" s="344"/>
      <c r="KFA49" s="345"/>
      <c r="KFB49" s="342"/>
      <c r="KFC49" s="343"/>
      <c r="KFD49" s="344"/>
      <c r="KFE49" s="345"/>
      <c r="KFF49" s="342"/>
      <c r="KFG49" s="343"/>
      <c r="KFH49" s="344"/>
      <c r="KFI49" s="345"/>
      <c r="KFJ49" s="342"/>
      <c r="KFK49" s="343"/>
      <c r="KFL49" s="344"/>
      <c r="KFM49" s="345"/>
      <c r="KFN49" s="342"/>
      <c r="KFO49" s="343"/>
      <c r="KFP49" s="344"/>
      <c r="KFQ49" s="345"/>
      <c r="KFR49" s="342"/>
      <c r="KFS49" s="343"/>
      <c r="KFT49" s="344"/>
      <c r="KFU49" s="345"/>
      <c r="KFV49" s="342"/>
      <c r="KFW49" s="343"/>
      <c r="KFX49" s="344"/>
      <c r="KFY49" s="345"/>
      <c r="KFZ49" s="342"/>
      <c r="KGA49" s="343"/>
      <c r="KGB49" s="344"/>
      <c r="KGC49" s="345"/>
      <c r="KGD49" s="342"/>
      <c r="KGE49" s="343"/>
      <c r="KGF49" s="344"/>
      <c r="KGG49" s="345"/>
      <c r="KGH49" s="342"/>
      <c r="KGI49" s="343"/>
      <c r="KGJ49" s="344"/>
      <c r="KGK49" s="345"/>
      <c r="KGL49" s="342"/>
      <c r="KGM49" s="343"/>
      <c r="KGN49" s="344"/>
      <c r="KGO49" s="345"/>
      <c r="KGP49" s="342"/>
      <c r="KGQ49" s="343"/>
      <c r="KGR49" s="344"/>
      <c r="KGS49" s="345"/>
      <c r="KGT49" s="342"/>
      <c r="KGU49" s="343"/>
      <c r="KGV49" s="344"/>
      <c r="KGW49" s="345"/>
      <c r="KGX49" s="342"/>
      <c r="KGY49" s="343"/>
      <c r="KGZ49" s="344"/>
      <c r="KHA49" s="345"/>
      <c r="KHB49" s="342"/>
      <c r="KHC49" s="343"/>
      <c r="KHD49" s="344"/>
      <c r="KHE49" s="345"/>
      <c r="KHF49" s="342"/>
      <c r="KHG49" s="343"/>
      <c r="KHH49" s="344"/>
      <c r="KHI49" s="345"/>
      <c r="KHJ49" s="342"/>
      <c r="KHK49" s="343"/>
      <c r="KHL49" s="344"/>
      <c r="KHM49" s="345"/>
      <c r="KHN49" s="342"/>
      <c r="KHO49" s="343"/>
      <c r="KHP49" s="344"/>
      <c r="KHQ49" s="345"/>
      <c r="KHR49" s="342"/>
      <c r="KHS49" s="343"/>
      <c r="KHT49" s="344"/>
      <c r="KHU49" s="345"/>
      <c r="KHV49" s="342"/>
      <c r="KHW49" s="343"/>
      <c r="KHX49" s="344"/>
      <c r="KHY49" s="345"/>
      <c r="KHZ49" s="342"/>
      <c r="KIA49" s="343"/>
      <c r="KIB49" s="344"/>
      <c r="KIC49" s="345"/>
      <c r="KID49" s="342"/>
      <c r="KIE49" s="343"/>
      <c r="KIF49" s="344"/>
      <c r="KIG49" s="345"/>
      <c r="KIH49" s="342"/>
      <c r="KII49" s="343"/>
      <c r="KIJ49" s="344"/>
      <c r="KIK49" s="345"/>
      <c r="KIL49" s="342"/>
      <c r="KIM49" s="343"/>
      <c r="KIN49" s="344"/>
      <c r="KIO49" s="345"/>
      <c r="KIP49" s="342"/>
      <c r="KIQ49" s="343"/>
      <c r="KIR49" s="344"/>
      <c r="KIS49" s="345"/>
      <c r="KIT49" s="342"/>
      <c r="KIU49" s="343"/>
      <c r="KIV49" s="344"/>
      <c r="KIW49" s="345"/>
      <c r="KIX49" s="342"/>
      <c r="KIY49" s="343"/>
      <c r="KIZ49" s="344"/>
      <c r="KJA49" s="345"/>
      <c r="KJB49" s="342"/>
      <c r="KJC49" s="343"/>
      <c r="KJD49" s="344"/>
      <c r="KJE49" s="345"/>
      <c r="KJF49" s="342"/>
      <c r="KJG49" s="343"/>
      <c r="KJH49" s="344"/>
      <c r="KJI49" s="345"/>
      <c r="KJJ49" s="342"/>
      <c r="KJK49" s="343"/>
      <c r="KJL49" s="344"/>
      <c r="KJM49" s="345"/>
      <c r="KJN49" s="342"/>
      <c r="KJO49" s="343"/>
      <c r="KJP49" s="344"/>
      <c r="KJQ49" s="345"/>
      <c r="KJR49" s="342"/>
      <c r="KJS49" s="343"/>
      <c r="KJT49" s="344"/>
      <c r="KJU49" s="345"/>
      <c r="KJV49" s="342"/>
      <c r="KJW49" s="343"/>
      <c r="KJX49" s="344"/>
      <c r="KJY49" s="345"/>
      <c r="KJZ49" s="342"/>
      <c r="KKA49" s="343"/>
      <c r="KKB49" s="344"/>
      <c r="KKC49" s="345"/>
      <c r="KKD49" s="342"/>
      <c r="KKE49" s="343"/>
      <c r="KKF49" s="344"/>
      <c r="KKG49" s="345"/>
      <c r="KKH49" s="342"/>
      <c r="KKI49" s="343"/>
      <c r="KKJ49" s="344"/>
      <c r="KKK49" s="345"/>
      <c r="KKL49" s="342"/>
      <c r="KKM49" s="343"/>
      <c r="KKN49" s="344"/>
      <c r="KKO49" s="345"/>
      <c r="KKP49" s="342"/>
      <c r="KKQ49" s="343"/>
      <c r="KKR49" s="344"/>
      <c r="KKS49" s="345"/>
      <c r="KKT49" s="342"/>
      <c r="KKU49" s="343"/>
      <c r="KKV49" s="344"/>
      <c r="KKW49" s="345"/>
      <c r="KKX49" s="342"/>
      <c r="KKY49" s="343"/>
      <c r="KKZ49" s="344"/>
      <c r="KLA49" s="345"/>
      <c r="KLB49" s="342"/>
      <c r="KLC49" s="343"/>
      <c r="KLD49" s="344"/>
      <c r="KLE49" s="345"/>
      <c r="KLF49" s="342"/>
      <c r="KLG49" s="343"/>
      <c r="KLH49" s="344"/>
      <c r="KLI49" s="345"/>
      <c r="KLJ49" s="342"/>
      <c r="KLK49" s="343"/>
      <c r="KLL49" s="344"/>
      <c r="KLM49" s="345"/>
      <c r="KLN49" s="342"/>
      <c r="KLO49" s="343"/>
      <c r="KLP49" s="344"/>
      <c r="KLQ49" s="345"/>
      <c r="KLR49" s="342"/>
      <c r="KLS49" s="343"/>
      <c r="KLT49" s="344"/>
      <c r="KLU49" s="345"/>
      <c r="KLV49" s="342"/>
      <c r="KLW49" s="343"/>
      <c r="KLX49" s="344"/>
      <c r="KLY49" s="345"/>
      <c r="KLZ49" s="342"/>
      <c r="KMA49" s="343"/>
      <c r="KMB49" s="344"/>
      <c r="KMC49" s="345"/>
      <c r="KMD49" s="342"/>
      <c r="KME49" s="343"/>
      <c r="KMF49" s="344"/>
      <c r="KMG49" s="345"/>
      <c r="KMH49" s="342"/>
      <c r="KMI49" s="343"/>
      <c r="KMJ49" s="344"/>
      <c r="KMK49" s="345"/>
      <c r="KML49" s="342"/>
      <c r="KMM49" s="343"/>
      <c r="KMN49" s="344"/>
      <c r="KMO49" s="345"/>
      <c r="KMP49" s="342"/>
      <c r="KMQ49" s="343"/>
      <c r="KMR49" s="344"/>
      <c r="KMS49" s="345"/>
      <c r="KMT49" s="342"/>
      <c r="KMU49" s="343"/>
      <c r="KMV49" s="344"/>
      <c r="KMW49" s="345"/>
      <c r="KMX49" s="342"/>
      <c r="KMY49" s="343"/>
      <c r="KMZ49" s="344"/>
      <c r="KNA49" s="345"/>
      <c r="KNB49" s="342"/>
      <c r="KNC49" s="343"/>
      <c r="KND49" s="344"/>
      <c r="KNE49" s="345"/>
      <c r="KNF49" s="342"/>
      <c r="KNG49" s="343"/>
      <c r="KNH49" s="344"/>
      <c r="KNI49" s="345"/>
      <c r="KNJ49" s="342"/>
      <c r="KNK49" s="343"/>
      <c r="KNL49" s="344"/>
      <c r="KNM49" s="345"/>
      <c r="KNN49" s="342"/>
      <c r="KNO49" s="343"/>
      <c r="KNP49" s="344"/>
      <c r="KNQ49" s="345"/>
      <c r="KNR49" s="342"/>
      <c r="KNS49" s="343"/>
      <c r="KNT49" s="344"/>
      <c r="KNU49" s="345"/>
      <c r="KNV49" s="342"/>
      <c r="KNW49" s="343"/>
      <c r="KNX49" s="344"/>
      <c r="KNY49" s="345"/>
      <c r="KNZ49" s="342"/>
      <c r="KOA49" s="343"/>
      <c r="KOB49" s="344"/>
      <c r="KOC49" s="345"/>
      <c r="KOD49" s="342"/>
      <c r="KOE49" s="343"/>
      <c r="KOF49" s="344"/>
      <c r="KOG49" s="345"/>
      <c r="KOH49" s="342"/>
      <c r="KOI49" s="343"/>
      <c r="KOJ49" s="344"/>
      <c r="KOK49" s="345"/>
      <c r="KOL49" s="342"/>
      <c r="KOM49" s="343"/>
      <c r="KON49" s="344"/>
      <c r="KOO49" s="345"/>
      <c r="KOP49" s="342"/>
      <c r="KOQ49" s="343"/>
      <c r="KOR49" s="344"/>
      <c r="KOS49" s="345"/>
      <c r="KOT49" s="342"/>
      <c r="KOU49" s="343"/>
      <c r="KOV49" s="344"/>
      <c r="KOW49" s="345"/>
      <c r="KOX49" s="342"/>
      <c r="KOY49" s="343"/>
      <c r="KOZ49" s="344"/>
      <c r="KPA49" s="345"/>
      <c r="KPB49" s="342"/>
      <c r="KPC49" s="343"/>
      <c r="KPD49" s="344"/>
      <c r="KPE49" s="345"/>
      <c r="KPF49" s="342"/>
      <c r="KPG49" s="343"/>
      <c r="KPH49" s="344"/>
      <c r="KPI49" s="345"/>
      <c r="KPJ49" s="342"/>
      <c r="KPK49" s="343"/>
      <c r="KPL49" s="344"/>
      <c r="KPM49" s="345"/>
      <c r="KPN49" s="342"/>
      <c r="KPO49" s="343"/>
      <c r="KPP49" s="344"/>
      <c r="KPQ49" s="345"/>
      <c r="KPR49" s="342"/>
      <c r="KPS49" s="343"/>
      <c r="KPT49" s="344"/>
      <c r="KPU49" s="345"/>
      <c r="KPV49" s="342"/>
      <c r="KPW49" s="343"/>
      <c r="KPX49" s="344"/>
      <c r="KPY49" s="345"/>
      <c r="KPZ49" s="342"/>
      <c r="KQA49" s="343"/>
      <c r="KQB49" s="344"/>
      <c r="KQC49" s="345"/>
      <c r="KQD49" s="342"/>
      <c r="KQE49" s="343"/>
      <c r="KQF49" s="344"/>
      <c r="KQG49" s="345"/>
      <c r="KQH49" s="342"/>
      <c r="KQI49" s="343"/>
      <c r="KQJ49" s="344"/>
      <c r="KQK49" s="345"/>
      <c r="KQL49" s="342"/>
      <c r="KQM49" s="343"/>
      <c r="KQN49" s="344"/>
      <c r="KQO49" s="345"/>
      <c r="KQP49" s="342"/>
      <c r="KQQ49" s="343"/>
      <c r="KQR49" s="344"/>
      <c r="KQS49" s="345"/>
      <c r="KQT49" s="342"/>
      <c r="KQU49" s="343"/>
      <c r="KQV49" s="344"/>
      <c r="KQW49" s="345"/>
      <c r="KQX49" s="342"/>
      <c r="KQY49" s="343"/>
      <c r="KQZ49" s="344"/>
      <c r="KRA49" s="345"/>
      <c r="KRB49" s="342"/>
      <c r="KRC49" s="343"/>
      <c r="KRD49" s="344"/>
      <c r="KRE49" s="345"/>
      <c r="KRF49" s="342"/>
      <c r="KRG49" s="343"/>
      <c r="KRH49" s="344"/>
      <c r="KRI49" s="345"/>
      <c r="KRJ49" s="342"/>
      <c r="KRK49" s="343"/>
      <c r="KRL49" s="344"/>
      <c r="KRM49" s="345"/>
      <c r="KRN49" s="342"/>
      <c r="KRO49" s="343"/>
      <c r="KRP49" s="344"/>
      <c r="KRQ49" s="345"/>
      <c r="KRR49" s="342"/>
      <c r="KRS49" s="343"/>
      <c r="KRT49" s="344"/>
      <c r="KRU49" s="345"/>
      <c r="KRV49" s="342"/>
      <c r="KRW49" s="343"/>
      <c r="KRX49" s="344"/>
      <c r="KRY49" s="345"/>
      <c r="KRZ49" s="342"/>
      <c r="KSA49" s="343"/>
      <c r="KSB49" s="344"/>
      <c r="KSC49" s="345"/>
      <c r="KSD49" s="342"/>
      <c r="KSE49" s="343"/>
      <c r="KSF49" s="344"/>
      <c r="KSG49" s="345"/>
      <c r="KSH49" s="342"/>
      <c r="KSI49" s="343"/>
      <c r="KSJ49" s="344"/>
      <c r="KSK49" s="345"/>
      <c r="KSL49" s="342"/>
      <c r="KSM49" s="343"/>
      <c r="KSN49" s="344"/>
      <c r="KSO49" s="345"/>
      <c r="KSP49" s="342"/>
      <c r="KSQ49" s="343"/>
      <c r="KSR49" s="344"/>
      <c r="KSS49" s="345"/>
      <c r="KST49" s="342"/>
      <c r="KSU49" s="343"/>
      <c r="KSV49" s="344"/>
      <c r="KSW49" s="345"/>
      <c r="KSX49" s="342"/>
      <c r="KSY49" s="343"/>
      <c r="KSZ49" s="344"/>
      <c r="KTA49" s="345"/>
      <c r="KTB49" s="342"/>
      <c r="KTC49" s="343"/>
      <c r="KTD49" s="344"/>
      <c r="KTE49" s="345"/>
      <c r="KTF49" s="342"/>
      <c r="KTG49" s="343"/>
      <c r="KTH49" s="344"/>
      <c r="KTI49" s="345"/>
      <c r="KTJ49" s="342"/>
      <c r="KTK49" s="343"/>
      <c r="KTL49" s="344"/>
      <c r="KTM49" s="345"/>
      <c r="KTN49" s="342"/>
      <c r="KTO49" s="343"/>
      <c r="KTP49" s="344"/>
      <c r="KTQ49" s="345"/>
      <c r="KTR49" s="342"/>
      <c r="KTS49" s="343"/>
      <c r="KTT49" s="344"/>
      <c r="KTU49" s="345"/>
      <c r="KTV49" s="342"/>
      <c r="KTW49" s="343"/>
      <c r="KTX49" s="344"/>
      <c r="KTY49" s="345"/>
      <c r="KTZ49" s="342"/>
      <c r="KUA49" s="343"/>
      <c r="KUB49" s="344"/>
      <c r="KUC49" s="345"/>
      <c r="KUD49" s="342"/>
      <c r="KUE49" s="343"/>
      <c r="KUF49" s="344"/>
      <c r="KUG49" s="345"/>
      <c r="KUH49" s="342"/>
      <c r="KUI49" s="343"/>
      <c r="KUJ49" s="344"/>
      <c r="KUK49" s="345"/>
      <c r="KUL49" s="342"/>
      <c r="KUM49" s="343"/>
      <c r="KUN49" s="344"/>
      <c r="KUO49" s="345"/>
      <c r="KUP49" s="342"/>
      <c r="KUQ49" s="343"/>
      <c r="KUR49" s="344"/>
      <c r="KUS49" s="345"/>
      <c r="KUT49" s="342"/>
      <c r="KUU49" s="343"/>
      <c r="KUV49" s="344"/>
      <c r="KUW49" s="345"/>
      <c r="KUX49" s="342"/>
      <c r="KUY49" s="343"/>
      <c r="KUZ49" s="344"/>
      <c r="KVA49" s="345"/>
      <c r="KVB49" s="342"/>
      <c r="KVC49" s="343"/>
      <c r="KVD49" s="344"/>
      <c r="KVE49" s="345"/>
      <c r="KVF49" s="342"/>
      <c r="KVG49" s="343"/>
      <c r="KVH49" s="344"/>
      <c r="KVI49" s="345"/>
      <c r="KVJ49" s="342"/>
      <c r="KVK49" s="343"/>
      <c r="KVL49" s="344"/>
      <c r="KVM49" s="345"/>
      <c r="KVN49" s="342"/>
      <c r="KVO49" s="343"/>
      <c r="KVP49" s="344"/>
      <c r="KVQ49" s="345"/>
      <c r="KVR49" s="342"/>
      <c r="KVS49" s="343"/>
      <c r="KVT49" s="344"/>
      <c r="KVU49" s="345"/>
      <c r="KVV49" s="342"/>
      <c r="KVW49" s="343"/>
      <c r="KVX49" s="344"/>
      <c r="KVY49" s="345"/>
      <c r="KVZ49" s="342"/>
      <c r="KWA49" s="343"/>
      <c r="KWB49" s="344"/>
      <c r="KWC49" s="345"/>
      <c r="KWD49" s="342"/>
      <c r="KWE49" s="343"/>
      <c r="KWF49" s="344"/>
      <c r="KWG49" s="345"/>
      <c r="KWH49" s="342"/>
      <c r="KWI49" s="343"/>
      <c r="KWJ49" s="344"/>
      <c r="KWK49" s="345"/>
      <c r="KWL49" s="342"/>
      <c r="KWM49" s="343"/>
      <c r="KWN49" s="344"/>
      <c r="KWO49" s="345"/>
      <c r="KWP49" s="342"/>
      <c r="KWQ49" s="343"/>
      <c r="KWR49" s="344"/>
      <c r="KWS49" s="345"/>
      <c r="KWT49" s="342"/>
      <c r="KWU49" s="343"/>
      <c r="KWV49" s="344"/>
      <c r="KWW49" s="345"/>
      <c r="KWX49" s="342"/>
      <c r="KWY49" s="343"/>
      <c r="KWZ49" s="344"/>
      <c r="KXA49" s="345"/>
      <c r="KXB49" s="342"/>
      <c r="KXC49" s="343"/>
      <c r="KXD49" s="344"/>
      <c r="KXE49" s="345"/>
      <c r="KXF49" s="342"/>
      <c r="KXG49" s="343"/>
      <c r="KXH49" s="344"/>
      <c r="KXI49" s="345"/>
      <c r="KXJ49" s="342"/>
      <c r="KXK49" s="343"/>
      <c r="KXL49" s="344"/>
      <c r="KXM49" s="345"/>
      <c r="KXN49" s="342"/>
      <c r="KXO49" s="343"/>
      <c r="KXP49" s="344"/>
      <c r="KXQ49" s="345"/>
      <c r="KXR49" s="342"/>
      <c r="KXS49" s="343"/>
      <c r="KXT49" s="344"/>
      <c r="KXU49" s="345"/>
      <c r="KXV49" s="342"/>
      <c r="KXW49" s="343"/>
      <c r="KXX49" s="344"/>
      <c r="KXY49" s="345"/>
      <c r="KXZ49" s="342"/>
      <c r="KYA49" s="343"/>
      <c r="KYB49" s="344"/>
      <c r="KYC49" s="345"/>
      <c r="KYD49" s="342"/>
      <c r="KYE49" s="343"/>
      <c r="KYF49" s="344"/>
      <c r="KYG49" s="345"/>
      <c r="KYH49" s="342"/>
      <c r="KYI49" s="343"/>
      <c r="KYJ49" s="344"/>
      <c r="KYK49" s="345"/>
      <c r="KYL49" s="342"/>
      <c r="KYM49" s="343"/>
      <c r="KYN49" s="344"/>
      <c r="KYO49" s="345"/>
      <c r="KYP49" s="342"/>
      <c r="KYQ49" s="343"/>
      <c r="KYR49" s="344"/>
      <c r="KYS49" s="345"/>
      <c r="KYT49" s="342"/>
      <c r="KYU49" s="343"/>
      <c r="KYV49" s="344"/>
      <c r="KYW49" s="345"/>
      <c r="KYX49" s="342"/>
      <c r="KYY49" s="343"/>
      <c r="KYZ49" s="344"/>
      <c r="KZA49" s="345"/>
      <c r="KZB49" s="342"/>
      <c r="KZC49" s="343"/>
      <c r="KZD49" s="344"/>
      <c r="KZE49" s="345"/>
      <c r="KZF49" s="342"/>
      <c r="KZG49" s="343"/>
      <c r="KZH49" s="344"/>
      <c r="KZI49" s="345"/>
      <c r="KZJ49" s="342"/>
      <c r="KZK49" s="343"/>
      <c r="KZL49" s="344"/>
      <c r="KZM49" s="345"/>
      <c r="KZN49" s="342"/>
      <c r="KZO49" s="343"/>
      <c r="KZP49" s="344"/>
      <c r="KZQ49" s="345"/>
      <c r="KZR49" s="342"/>
      <c r="KZS49" s="343"/>
      <c r="KZT49" s="344"/>
      <c r="KZU49" s="345"/>
      <c r="KZV49" s="342"/>
      <c r="KZW49" s="343"/>
      <c r="KZX49" s="344"/>
      <c r="KZY49" s="345"/>
      <c r="KZZ49" s="342"/>
      <c r="LAA49" s="343"/>
      <c r="LAB49" s="344"/>
      <c r="LAC49" s="345"/>
      <c r="LAD49" s="342"/>
      <c r="LAE49" s="343"/>
      <c r="LAF49" s="344"/>
      <c r="LAG49" s="345"/>
      <c r="LAH49" s="342"/>
      <c r="LAI49" s="343"/>
      <c r="LAJ49" s="344"/>
      <c r="LAK49" s="345"/>
      <c r="LAL49" s="342"/>
      <c r="LAM49" s="343"/>
      <c r="LAN49" s="344"/>
      <c r="LAO49" s="345"/>
      <c r="LAP49" s="342"/>
      <c r="LAQ49" s="343"/>
      <c r="LAR49" s="344"/>
      <c r="LAS49" s="345"/>
      <c r="LAT49" s="342"/>
      <c r="LAU49" s="343"/>
      <c r="LAV49" s="344"/>
      <c r="LAW49" s="345"/>
      <c r="LAX49" s="342"/>
      <c r="LAY49" s="343"/>
      <c r="LAZ49" s="344"/>
      <c r="LBA49" s="345"/>
      <c r="LBB49" s="342"/>
      <c r="LBC49" s="343"/>
      <c r="LBD49" s="344"/>
      <c r="LBE49" s="345"/>
      <c r="LBF49" s="342"/>
      <c r="LBG49" s="343"/>
      <c r="LBH49" s="344"/>
      <c r="LBI49" s="345"/>
      <c r="LBJ49" s="342"/>
      <c r="LBK49" s="343"/>
      <c r="LBL49" s="344"/>
      <c r="LBM49" s="345"/>
      <c r="LBN49" s="342"/>
      <c r="LBO49" s="343"/>
      <c r="LBP49" s="344"/>
      <c r="LBQ49" s="345"/>
      <c r="LBR49" s="342"/>
      <c r="LBS49" s="343"/>
      <c r="LBT49" s="344"/>
      <c r="LBU49" s="345"/>
      <c r="LBV49" s="342"/>
      <c r="LBW49" s="343"/>
      <c r="LBX49" s="344"/>
      <c r="LBY49" s="345"/>
      <c r="LBZ49" s="342"/>
      <c r="LCA49" s="343"/>
      <c r="LCB49" s="344"/>
      <c r="LCC49" s="345"/>
      <c r="LCD49" s="342"/>
      <c r="LCE49" s="343"/>
      <c r="LCF49" s="344"/>
      <c r="LCG49" s="345"/>
      <c r="LCH49" s="342"/>
      <c r="LCI49" s="343"/>
      <c r="LCJ49" s="344"/>
      <c r="LCK49" s="345"/>
      <c r="LCL49" s="342"/>
      <c r="LCM49" s="343"/>
      <c r="LCN49" s="344"/>
      <c r="LCO49" s="345"/>
      <c r="LCP49" s="342"/>
      <c r="LCQ49" s="343"/>
      <c r="LCR49" s="344"/>
      <c r="LCS49" s="345"/>
      <c r="LCT49" s="342"/>
      <c r="LCU49" s="343"/>
      <c r="LCV49" s="344"/>
      <c r="LCW49" s="345"/>
      <c r="LCX49" s="342"/>
      <c r="LCY49" s="343"/>
      <c r="LCZ49" s="344"/>
      <c r="LDA49" s="345"/>
      <c r="LDB49" s="342"/>
      <c r="LDC49" s="343"/>
      <c r="LDD49" s="344"/>
      <c r="LDE49" s="345"/>
      <c r="LDF49" s="342"/>
      <c r="LDG49" s="343"/>
      <c r="LDH49" s="344"/>
      <c r="LDI49" s="345"/>
      <c r="LDJ49" s="342"/>
      <c r="LDK49" s="343"/>
      <c r="LDL49" s="344"/>
      <c r="LDM49" s="345"/>
      <c r="LDN49" s="342"/>
      <c r="LDO49" s="343"/>
      <c r="LDP49" s="344"/>
      <c r="LDQ49" s="345"/>
      <c r="LDR49" s="342"/>
      <c r="LDS49" s="343"/>
      <c r="LDT49" s="344"/>
      <c r="LDU49" s="345"/>
      <c r="LDV49" s="342"/>
      <c r="LDW49" s="343"/>
      <c r="LDX49" s="344"/>
      <c r="LDY49" s="345"/>
      <c r="LDZ49" s="342"/>
      <c r="LEA49" s="343"/>
      <c r="LEB49" s="344"/>
      <c r="LEC49" s="345"/>
      <c r="LED49" s="342"/>
      <c r="LEE49" s="343"/>
      <c r="LEF49" s="344"/>
      <c r="LEG49" s="345"/>
      <c r="LEH49" s="342"/>
      <c r="LEI49" s="343"/>
      <c r="LEJ49" s="344"/>
      <c r="LEK49" s="345"/>
      <c r="LEL49" s="342"/>
      <c r="LEM49" s="343"/>
      <c r="LEN49" s="344"/>
      <c r="LEO49" s="345"/>
      <c r="LEP49" s="342"/>
      <c r="LEQ49" s="343"/>
      <c r="LER49" s="344"/>
      <c r="LES49" s="345"/>
      <c r="LET49" s="342"/>
      <c r="LEU49" s="343"/>
      <c r="LEV49" s="344"/>
      <c r="LEW49" s="345"/>
      <c r="LEX49" s="342"/>
      <c r="LEY49" s="343"/>
      <c r="LEZ49" s="344"/>
      <c r="LFA49" s="345"/>
      <c r="LFB49" s="342"/>
      <c r="LFC49" s="343"/>
      <c r="LFD49" s="344"/>
      <c r="LFE49" s="345"/>
      <c r="LFF49" s="342"/>
      <c r="LFG49" s="343"/>
      <c r="LFH49" s="344"/>
      <c r="LFI49" s="345"/>
      <c r="LFJ49" s="342"/>
      <c r="LFK49" s="343"/>
      <c r="LFL49" s="344"/>
      <c r="LFM49" s="345"/>
      <c r="LFN49" s="342"/>
      <c r="LFO49" s="343"/>
      <c r="LFP49" s="344"/>
      <c r="LFQ49" s="345"/>
      <c r="LFR49" s="342"/>
      <c r="LFS49" s="343"/>
      <c r="LFT49" s="344"/>
      <c r="LFU49" s="345"/>
      <c r="LFV49" s="342"/>
      <c r="LFW49" s="343"/>
      <c r="LFX49" s="344"/>
      <c r="LFY49" s="345"/>
      <c r="LFZ49" s="342"/>
      <c r="LGA49" s="343"/>
      <c r="LGB49" s="344"/>
      <c r="LGC49" s="345"/>
      <c r="LGD49" s="342"/>
      <c r="LGE49" s="343"/>
      <c r="LGF49" s="344"/>
      <c r="LGG49" s="345"/>
      <c r="LGH49" s="342"/>
      <c r="LGI49" s="343"/>
      <c r="LGJ49" s="344"/>
      <c r="LGK49" s="345"/>
      <c r="LGL49" s="342"/>
      <c r="LGM49" s="343"/>
      <c r="LGN49" s="344"/>
      <c r="LGO49" s="345"/>
      <c r="LGP49" s="342"/>
      <c r="LGQ49" s="343"/>
      <c r="LGR49" s="344"/>
      <c r="LGS49" s="345"/>
      <c r="LGT49" s="342"/>
      <c r="LGU49" s="343"/>
      <c r="LGV49" s="344"/>
      <c r="LGW49" s="345"/>
      <c r="LGX49" s="342"/>
      <c r="LGY49" s="343"/>
      <c r="LGZ49" s="344"/>
      <c r="LHA49" s="345"/>
      <c r="LHB49" s="342"/>
      <c r="LHC49" s="343"/>
      <c r="LHD49" s="344"/>
      <c r="LHE49" s="345"/>
      <c r="LHF49" s="342"/>
      <c r="LHG49" s="343"/>
      <c r="LHH49" s="344"/>
      <c r="LHI49" s="345"/>
      <c r="LHJ49" s="342"/>
      <c r="LHK49" s="343"/>
      <c r="LHL49" s="344"/>
      <c r="LHM49" s="345"/>
      <c r="LHN49" s="342"/>
      <c r="LHO49" s="343"/>
      <c r="LHP49" s="344"/>
      <c r="LHQ49" s="345"/>
      <c r="LHR49" s="342"/>
      <c r="LHS49" s="343"/>
      <c r="LHT49" s="344"/>
      <c r="LHU49" s="345"/>
      <c r="LHV49" s="342"/>
      <c r="LHW49" s="343"/>
      <c r="LHX49" s="344"/>
      <c r="LHY49" s="345"/>
      <c r="LHZ49" s="342"/>
      <c r="LIA49" s="343"/>
      <c r="LIB49" s="344"/>
      <c r="LIC49" s="345"/>
      <c r="LID49" s="342"/>
      <c r="LIE49" s="343"/>
      <c r="LIF49" s="344"/>
      <c r="LIG49" s="345"/>
      <c r="LIH49" s="342"/>
      <c r="LII49" s="343"/>
      <c r="LIJ49" s="344"/>
      <c r="LIK49" s="345"/>
      <c r="LIL49" s="342"/>
      <c r="LIM49" s="343"/>
      <c r="LIN49" s="344"/>
      <c r="LIO49" s="345"/>
      <c r="LIP49" s="342"/>
      <c r="LIQ49" s="343"/>
      <c r="LIR49" s="344"/>
      <c r="LIS49" s="345"/>
      <c r="LIT49" s="342"/>
      <c r="LIU49" s="343"/>
      <c r="LIV49" s="344"/>
      <c r="LIW49" s="345"/>
      <c r="LIX49" s="342"/>
      <c r="LIY49" s="343"/>
      <c r="LIZ49" s="344"/>
      <c r="LJA49" s="345"/>
      <c r="LJB49" s="342"/>
      <c r="LJC49" s="343"/>
      <c r="LJD49" s="344"/>
      <c r="LJE49" s="345"/>
      <c r="LJF49" s="342"/>
      <c r="LJG49" s="343"/>
      <c r="LJH49" s="344"/>
      <c r="LJI49" s="345"/>
      <c r="LJJ49" s="342"/>
      <c r="LJK49" s="343"/>
      <c r="LJL49" s="344"/>
      <c r="LJM49" s="345"/>
      <c r="LJN49" s="342"/>
      <c r="LJO49" s="343"/>
      <c r="LJP49" s="344"/>
      <c r="LJQ49" s="345"/>
      <c r="LJR49" s="342"/>
      <c r="LJS49" s="343"/>
      <c r="LJT49" s="344"/>
      <c r="LJU49" s="345"/>
      <c r="LJV49" s="342"/>
      <c r="LJW49" s="343"/>
      <c r="LJX49" s="344"/>
      <c r="LJY49" s="345"/>
      <c r="LJZ49" s="342"/>
      <c r="LKA49" s="343"/>
      <c r="LKB49" s="344"/>
      <c r="LKC49" s="345"/>
      <c r="LKD49" s="342"/>
      <c r="LKE49" s="343"/>
      <c r="LKF49" s="344"/>
      <c r="LKG49" s="345"/>
      <c r="LKH49" s="342"/>
      <c r="LKI49" s="343"/>
      <c r="LKJ49" s="344"/>
      <c r="LKK49" s="345"/>
      <c r="LKL49" s="342"/>
      <c r="LKM49" s="343"/>
      <c r="LKN49" s="344"/>
      <c r="LKO49" s="345"/>
      <c r="LKP49" s="342"/>
      <c r="LKQ49" s="343"/>
      <c r="LKR49" s="344"/>
      <c r="LKS49" s="345"/>
      <c r="LKT49" s="342"/>
      <c r="LKU49" s="343"/>
      <c r="LKV49" s="344"/>
      <c r="LKW49" s="345"/>
      <c r="LKX49" s="342"/>
      <c r="LKY49" s="343"/>
      <c r="LKZ49" s="344"/>
      <c r="LLA49" s="345"/>
      <c r="LLB49" s="342"/>
      <c r="LLC49" s="343"/>
      <c r="LLD49" s="344"/>
      <c r="LLE49" s="345"/>
      <c r="LLF49" s="342"/>
      <c r="LLG49" s="343"/>
      <c r="LLH49" s="344"/>
      <c r="LLI49" s="345"/>
      <c r="LLJ49" s="342"/>
      <c r="LLK49" s="343"/>
      <c r="LLL49" s="344"/>
      <c r="LLM49" s="345"/>
      <c r="LLN49" s="342"/>
      <c r="LLO49" s="343"/>
      <c r="LLP49" s="344"/>
      <c r="LLQ49" s="345"/>
      <c r="LLR49" s="342"/>
      <c r="LLS49" s="343"/>
      <c r="LLT49" s="344"/>
      <c r="LLU49" s="345"/>
      <c r="LLV49" s="342"/>
      <c r="LLW49" s="343"/>
      <c r="LLX49" s="344"/>
      <c r="LLY49" s="345"/>
      <c r="LLZ49" s="342"/>
      <c r="LMA49" s="343"/>
      <c r="LMB49" s="344"/>
      <c r="LMC49" s="345"/>
      <c r="LMD49" s="342"/>
      <c r="LME49" s="343"/>
      <c r="LMF49" s="344"/>
      <c r="LMG49" s="345"/>
      <c r="LMH49" s="342"/>
      <c r="LMI49" s="343"/>
      <c r="LMJ49" s="344"/>
      <c r="LMK49" s="345"/>
      <c r="LML49" s="342"/>
      <c r="LMM49" s="343"/>
      <c r="LMN49" s="344"/>
      <c r="LMO49" s="345"/>
      <c r="LMP49" s="342"/>
      <c r="LMQ49" s="343"/>
      <c r="LMR49" s="344"/>
      <c r="LMS49" s="345"/>
      <c r="LMT49" s="342"/>
      <c r="LMU49" s="343"/>
      <c r="LMV49" s="344"/>
      <c r="LMW49" s="345"/>
      <c r="LMX49" s="342"/>
      <c r="LMY49" s="343"/>
      <c r="LMZ49" s="344"/>
      <c r="LNA49" s="345"/>
      <c r="LNB49" s="342"/>
      <c r="LNC49" s="343"/>
      <c r="LND49" s="344"/>
      <c r="LNE49" s="345"/>
      <c r="LNF49" s="342"/>
      <c r="LNG49" s="343"/>
      <c r="LNH49" s="344"/>
      <c r="LNI49" s="345"/>
      <c r="LNJ49" s="342"/>
      <c r="LNK49" s="343"/>
      <c r="LNL49" s="344"/>
      <c r="LNM49" s="345"/>
      <c r="LNN49" s="342"/>
      <c r="LNO49" s="343"/>
      <c r="LNP49" s="344"/>
      <c r="LNQ49" s="345"/>
      <c r="LNR49" s="342"/>
      <c r="LNS49" s="343"/>
      <c r="LNT49" s="344"/>
      <c r="LNU49" s="345"/>
      <c r="LNV49" s="342"/>
      <c r="LNW49" s="343"/>
      <c r="LNX49" s="344"/>
      <c r="LNY49" s="345"/>
      <c r="LNZ49" s="342"/>
      <c r="LOA49" s="343"/>
      <c r="LOB49" s="344"/>
      <c r="LOC49" s="345"/>
      <c r="LOD49" s="342"/>
      <c r="LOE49" s="343"/>
      <c r="LOF49" s="344"/>
      <c r="LOG49" s="345"/>
      <c r="LOH49" s="342"/>
      <c r="LOI49" s="343"/>
      <c r="LOJ49" s="344"/>
      <c r="LOK49" s="345"/>
      <c r="LOL49" s="342"/>
      <c r="LOM49" s="343"/>
      <c r="LON49" s="344"/>
      <c r="LOO49" s="345"/>
      <c r="LOP49" s="342"/>
      <c r="LOQ49" s="343"/>
      <c r="LOR49" s="344"/>
      <c r="LOS49" s="345"/>
      <c r="LOT49" s="342"/>
      <c r="LOU49" s="343"/>
      <c r="LOV49" s="344"/>
      <c r="LOW49" s="345"/>
      <c r="LOX49" s="342"/>
      <c r="LOY49" s="343"/>
      <c r="LOZ49" s="344"/>
      <c r="LPA49" s="345"/>
      <c r="LPB49" s="342"/>
      <c r="LPC49" s="343"/>
      <c r="LPD49" s="344"/>
      <c r="LPE49" s="345"/>
      <c r="LPF49" s="342"/>
      <c r="LPG49" s="343"/>
      <c r="LPH49" s="344"/>
      <c r="LPI49" s="345"/>
      <c r="LPJ49" s="342"/>
      <c r="LPK49" s="343"/>
      <c r="LPL49" s="344"/>
      <c r="LPM49" s="345"/>
      <c r="LPN49" s="342"/>
      <c r="LPO49" s="343"/>
      <c r="LPP49" s="344"/>
      <c r="LPQ49" s="345"/>
      <c r="LPR49" s="342"/>
      <c r="LPS49" s="343"/>
      <c r="LPT49" s="344"/>
      <c r="LPU49" s="345"/>
      <c r="LPV49" s="342"/>
      <c r="LPW49" s="343"/>
      <c r="LPX49" s="344"/>
      <c r="LPY49" s="345"/>
      <c r="LPZ49" s="342"/>
      <c r="LQA49" s="343"/>
      <c r="LQB49" s="344"/>
      <c r="LQC49" s="345"/>
      <c r="LQD49" s="342"/>
      <c r="LQE49" s="343"/>
      <c r="LQF49" s="344"/>
      <c r="LQG49" s="345"/>
      <c r="LQH49" s="342"/>
      <c r="LQI49" s="343"/>
      <c r="LQJ49" s="344"/>
      <c r="LQK49" s="345"/>
      <c r="LQL49" s="342"/>
      <c r="LQM49" s="343"/>
      <c r="LQN49" s="344"/>
      <c r="LQO49" s="345"/>
      <c r="LQP49" s="342"/>
      <c r="LQQ49" s="343"/>
      <c r="LQR49" s="344"/>
      <c r="LQS49" s="345"/>
      <c r="LQT49" s="342"/>
      <c r="LQU49" s="343"/>
      <c r="LQV49" s="344"/>
      <c r="LQW49" s="345"/>
      <c r="LQX49" s="342"/>
      <c r="LQY49" s="343"/>
      <c r="LQZ49" s="344"/>
      <c r="LRA49" s="345"/>
      <c r="LRB49" s="342"/>
      <c r="LRC49" s="343"/>
      <c r="LRD49" s="344"/>
      <c r="LRE49" s="345"/>
      <c r="LRF49" s="342"/>
      <c r="LRG49" s="343"/>
      <c r="LRH49" s="344"/>
      <c r="LRI49" s="345"/>
      <c r="LRJ49" s="342"/>
      <c r="LRK49" s="343"/>
      <c r="LRL49" s="344"/>
      <c r="LRM49" s="345"/>
      <c r="LRN49" s="342"/>
      <c r="LRO49" s="343"/>
      <c r="LRP49" s="344"/>
      <c r="LRQ49" s="345"/>
      <c r="LRR49" s="342"/>
      <c r="LRS49" s="343"/>
      <c r="LRT49" s="344"/>
      <c r="LRU49" s="345"/>
      <c r="LRV49" s="342"/>
      <c r="LRW49" s="343"/>
      <c r="LRX49" s="344"/>
      <c r="LRY49" s="345"/>
      <c r="LRZ49" s="342"/>
      <c r="LSA49" s="343"/>
      <c r="LSB49" s="344"/>
      <c r="LSC49" s="345"/>
      <c r="LSD49" s="342"/>
      <c r="LSE49" s="343"/>
      <c r="LSF49" s="344"/>
      <c r="LSG49" s="345"/>
      <c r="LSH49" s="342"/>
      <c r="LSI49" s="343"/>
      <c r="LSJ49" s="344"/>
      <c r="LSK49" s="345"/>
      <c r="LSL49" s="342"/>
      <c r="LSM49" s="343"/>
      <c r="LSN49" s="344"/>
      <c r="LSO49" s="345"/>
      <c r="LSP49" s="342"/>
      <c r="LSQ49" s="343"/>
      <c r="LSR49" s="344"/>
      <c r="LSS49" s="345"/>
      <c r="LST49" s="342"/>
      <c r="LSU49" s="343"/>
      <c r="LSV49" s="344"/>
      <c r="LSW49" s="345"/>
      <c r="LSX49" s="342"/>
      <c r="LSY49" s="343"/>
      <c r="LSZ49" s="344"/>
      <c r="LTA49" s="345"/>
      <c r="LTB49" s="342"/>
      <c r="LTC49" s="343"/>
      <c r="LTD49" s="344"/>
      <c r="LTE49" s="345"/>
      <c r="LTF49" s="342"/>
      <c r="LTG49" s="343"/>
      <c r="LTH49" s="344"/>
      <c r="LTI49" s="345"/>
      <c r="LTJ49" s="342"/>
      <c r="LTK49" s="343"/>
      <c r="LTL49" s="344"/>
      <c r="LTM49" s="345"/>
      <c r="LTN49" s="342"/>
      <c r="LTO49" s="343"/>
      <c r="LTP49" s="344"/>
      <c r="LTQ49" s="345"/>
      <c r="LTR49" s="342"/>
      <c r="LTS49" s="343"/>
      <c r="LTT49" s="344"/>
      <c r="LTU49" s="345"/>
      <c r="LTV49" s="342"/>
      <c r="LTW49" s="343"/>
      <c r="LTX49" s="344"/>
      <c r="LTY49" s="345"/>
      <c r="LTZ49" s="342"/>
      <c r="LUA49" s="343"/>
      <c r="LUB49" s="344"/>
      <c r="LUC49" s="345"/>
      <c r="LUD49" s="342"/>
      <c r="LUE49" s="343"/>
      <c r="LUF49" s="344"/>
      <c r="LUG49" s="345"/>
      <c r="LUH49" s="342"/>
      <c r="LUI49" s="343"/>
      <c r="LUJ49" s="344"/>
      <c r="LUK49" s="345"/>
      <c r="LUL49" s="342"/>
      <c r="LUM49" s="343"/>
      <c r="LUN49" s="344"/>
      <c r="LUO49" s="345"/>
      <c r="LUP49" s="342"/>
      <c r="LUQ49" s="343"/>
      <c r="LUR49" s="344"/>
      <c r="LUS49" s="345"/>
      <c r="LUT49" s="342"/>
      <c r="LUU49" s="343"/>
      <c r="LUV49" s="344"/>
      <c r="LUW49" s="345"/>
      <c r="LUX49" s="342"/>
      <c r="LUY49" s="343"/>
      <c r="LUZ49" s="344"/>
      <c r="LVA49" s="345"/>
      <c r="LVB49" s="342"/>
      <c r="LVC49" s="343"/>
      <c r="LVD49" s="344"/>
      <c r="LVE49" s="345"/>
      <c r="LVF49" s="342"/>
      <c r="LVG49" s="343"/>
      <c r="LVH49" s="344"/>
      <c r="LVI49" s="345"/>
      <c r="LVJ49" s="342"/>
      <c r="LVK49" s="343"/>
      <c r="LVL49" s="344"/>
      <c r="LVM49" s="345"/>
      <c r="LVN49" s="342"/>
      <c r="LVO49" s="343"/>
      <c r="LVP49" s="344"/>
      <c r="LVQ49" s="345"/>
      <c r="LVR49" s="342"/>
      <c r="LVS49" s="343"/>
      <c r="LVT49" s="344"/>
      <c r="LVU49" s="345"/>
      <c r="LVV49" s="342"/>
      <c r="LVW49" s="343"/>
      <c r="LVX49" s="344"/>
      <c r="LVY49" s="345"/>
      <c r="LVZ49" s="342"/>
      <c r="LWA49" s="343"/>
      <c r="LWB49" s="344"/>
      <c r="LWC49" s="345"/>
      <c r="LWD49" s="342"/>
      <c r="LWE49" s="343"/>
      <c r="LWF49" s="344"/>
      <c r="LWG49" s="345"/>
      <c r="LWH49" s="342"/>
      <c r="LWI49" s="343"/>
      <c r="LWJ49" s="344"/>
      <c r="LWK49" s="345"/>
      <c r="LWL49" s="342"/>
      <c r="LWM49" s="343"/>
      <c r="LWN49" s="344"/>
      <c r="LWO49" s="345"/>
      <c r="LWP49" s="342"/>
      <c r="LWQ49" s="343"/>
      <c r="LWR49" s="344"/>
      <c r="LWS49" s="345"/>
      <c r="LWT49" s="342"/>
      <c r="LWU49" s="343"/>
      <c r="LWV49" s="344"/>
      <c r="LWW49" s="345"/>
      <c r="LWX49" s="342"/>
      <c r="LWY49" s="343"/>
      <c r="LWZ49" s="344"/>
      <c r="LXA49" s="345"/>
      <c r="LXB49" s="342"/>
      <c r="LXC49" s="343"/>
      <c r="LXD49" s="344"/>
      <c r="LXE49" s="345"/>
      <c r="LXF49" s="342"/>
      <c r="LXG49" s="343"/>
      <c r="LXH49" s="344"/>
      <c r="LXI49" s="345"/>
      <c r="LXJ49" s="342"/>
      <c r="LXK49" s="343"/>
      <c r="LXL49" s="344"/>
      <c r="LXM49" s="345"/>
      <c r="LXN49" s="342"/>
      <c r="LXO49" s="343"/>
      <c r="LXP49" s="344"/>
      <c r="LXQ49" s="345"/>
      <c r="LXR49" s="342"/>
      <c r="LXS49" s="343"/>
      <c r="LXT49" s="344"/>
      <c r="LXU49" s="345"/>
      <c r="LXV49" s="342"/>
      <c r="LXW49" s="343"/>
      <c r="LXX49" s="344"/>
      <c r="LXY49" s="345"/>
      <c r="LXZ49" s="342"/>
      <c r="LYA49" s="343"/>
      <c r="LYB49" s="344"/>
      <c r="LYC49" s="345"/>
      <c r="LYD49" s="342"/>
      <c r="LYE49" s="343"/>
      <c r="LYF49" s="344"/>
      <c r="LYG49" s="345"/>
      <c r="LYH49" s="342"/>
      <c r="LYI49" s="343"/>
      <c r="LYJ49" s="344"/>
      <c r="LYK49" s="345"/>
      <c r="LYL49" s="342"/>
      <c r="LYM49" s="343"/>
      <c r="LYN49" s="344"/>
      <c r="LYO49" s="345"/>
      <c r="LYP49" s="342"/>
      <c r="LYQ49" s="343"/>
      <c r="LYR49" s="344"/>
      <c r="LYS49" s="345"/>
      <c r="LYT49" s="342"/>
      <c r="LYU49" s="343"/>
      <c r="LYV49" s="344"/>
      <c r="LYW49" s="345"/>
      <c r="LYX49" s="342"/>
      <c r="LYY49" s="343"/>
      <c r="LYZ49" s="344"/>
      <c r="LZA49" s="345"/>
      <c r="LZB49" s="342"/>
      <c r="LZC49" s="343"/>
      <c r="LZD49" s="344"/>
      <c r="LZE49" s="345"/>
      <c r="LZF49" s="342"/>
      <c r="LZG49" s="343"/>
      <c r="LZH49" s="344"/>
      <c r="LZI49" s="345"/>
      <c r="LZJ49" s="342"/>
      <c r="LZK49" s="343"/>
      <c r="LZL49" s="344"/>
      <c r="LZM49" s="345"/>
      <c r="LZN49" s="342"/>
      <c r="LZO49" s="343"/>
      <c r="LZP49" s="344"/>
      <c r="LZQ49" s="345"/>
      <c r="LZR49" s="342"/>
      <c r="LZS49" s="343"/>
      <c r="LZT49" s="344"/>
      <c r="LZU49" s="345"/>
      <c r="LZV49" s="342"/>
      <c r="LZW49" s="343"/>
      <c r="LZX49" s="344"/>
      <c r="LZY49" s="345"/>
      <c r="LZZ49" s="342"/>
      <c r="MAA49" s="343"/>
      <c r="MAB49" s="344"/>
      <c r="MAC49" s="345"/>
      <c r="MAD49" s="342"/>
      <c r="MAE49" s="343"/>
      <c r="MAF49" s="344"/>
      <c r="MAG49" s="345"/>
      <c r="MAH49" s="342"/>
      <c r="MAI49" s="343"/>
      <c r="MAJ49" s="344"/>
      <c r="MAK49" s="345"/>
      <c r="MAL49" s="342"/>
      <c r="MAM49" s="343"/>
      <c r="MAN49" s="344"/>
      <c r="MAO49" s="345"/>
      <c r="MAP49" s="342"/>
      <c r="MAQ49" s="343"/>
      <c r="MAR49" s="344"/>
      <c r="MAS49" s="345"/>
      <c r="MAT49" s="342"/>
      <c r="MAU49" s="343"/>
      <c r="MAV49" s="344"/>
      <c r="MAW49" s="345"/>
      <c r="MAX49" s="342"/>
      <c r="MAY49" s="343"/>
      <c r="MAZ49" s="344"/>
      <c r="MBA49" s="345"/>
      <c r="MBB49" s="342"/>
      <c r="MBC49" s="343"/>
      <c r="MBD49" s="344"/>
      <c r="MBE49" s="345"/>
      <c r="MBF49" s="342"/>
      <c r="MBG49" s="343"/>
      <c r="MBH49" s="344"/>
      <c r="MBI49" s="345"/>
      <c r="MBJ49" s="342"/>
      <c r="MBK49" s="343"/>
      <c r="MBL49" s="344"/>
      <c r="MBM49" s="345"/>
      <c r="MBN49" s="342"/>
      <c r="MBO49" s="343"/>
      <c r="MBP49" s="344"/>
      <c r="MBQ49" s="345"/>
      <c r="MBR49" s="342"/>
      <c r="MBS49" s="343"/>
      <c r="MBT49" s="344"/>
      <c r="MBU49" s="345"/>
      <c r="MBV49" s="342"/>
      <c r="MBW49" s="343"/>
      <c r="MBX49" s="344"/>
      <c r="MBY49" s="345"/>
      <c r="MBZ49" s="342"/>
      <c r="MCA49" s="343"/>
      <c r="MCB49" s="344"/>
      <c r="MCC49" s="345"/>
      <c r="MCD49" s="342"/>
      <c r="MCE49" s="343"/>
      <c r="MCF49" s="344"/>
      <c r="MCG49" s="345"/>
      <c r="MCH49" s="342"/>
      <c r="MCI49" s="343"/>
      <c r="MCJ49" s="344"/>
      <c r="MCK49" s="345"/>
      <c r="MCL49" s="342"/>
      <c r="MCM49" s="343"/>
      <c r="MCN49" s="344"/>
      <c r="MCO49" s="345"/>
      <c r="MCP49" s="342"/>
      <c r="MCQ49" s="343"/>
      <c r="MCR49" s="344"/>
      <c r="MCS49" s="345"/>
      <c r="MCT49" s="342"/>
      <c r="MCU49" s="343"/>
      <c r="MCV49" s="344"/>
      <c r="MCW49" s="345"/>
      <c r="MCX49" s="342"/>
      <c r="MCY49" s="343"/>
      <c r="MCZ49" s="344"/>
      <c r="MDA49" s="345"/>
      <c r="MDB49" s="342"/>
      <c r="MDC49" s="343"/>
      <c r="MDD49" s="344"/>
      <c r="MDE49" s="345"/>
      <c r="MDF49" s="342"/>
      <c r="MDG49" s="343"/>
      <c r="MDH49" s="344"/>
      <c r="MDI49" s="345"/>
      <c r="MDJ49" s="342"/>
      <c r="MDK49" s="343"/>
      <c r="MDL49" s="344"/>
      <c r="MDM49" s="345"/>
      <c r="MDN49" s="342"/>
      <c r="MDO49" s="343"/>
      <c r="MDP49" s="344"/>
      <c r="MDQ49" s="345"/>
      <c r="MDR49" s="342"/>
      <c r="MDS49" s="343"/>
      <c r="MDT49" s="344"/>
      <c r="MDU49" s="345"/>
      <c r="MDV49" s="342"/>
      <c r="MDW49" s="343"/>
      <c r="MDX49" s="344"/>
      <c r="MDY49" s="345"/>
      <c r="MDZ49" s="342"/>
      <c r="MEA49" s="343"/>
      <c r="MEB49" s="344"/>
      <c r="MEC49" s="345"/>
      <c r="MED49" s="342"/>
      <c r="MEE49" s="343"/>
      <c r="MEF49" s="344"/>
      <c r="MEG49" s="345"/>
      <c r="MEH49" s="342"/>
      <c r="MEI49" s="343"/>
      <c r="MEJ49" s="344"/>
      <c r="MEK49" s="345"/>
      <c r="MEL49" s="342"/>
      <c r="MEM49" s="343"/>
      <c r="MEN49" s="344"/>
      <c r="MEO49" s="345"/>
      <c r="MEP49" s="342"/>
      <c r="MEQ49" s="343"/>
      <c r="MER49" s="344"/>
      <c r="MES49" s="345"/>
      <c r="MET49" s="342"/>
      <c r="MEU49" s="343"/>
      <c r="MEV49" s="344"/>
      <c r="MEW49" s="345"/>
      <c r="MEX49" s="342"/>
      <c r="MEY49" s="343"/>
      <c r="MEZ49" s="344"/>
      <c r="MFA49" s="345"/>
      <c r="MFB49" s="342"/>
      <c r="MFC49" s="343"/>
      <c r="MFD49" s="344"/>
      <c r="MFE49" s="345"/>
      <c r="MFF49" s="342"/>
      <c r="MFG49" s="343"/>
      <c r="MFH49" s="344"/>
      <c r="MFI49" s="345"/>
      <c r="MFJ49" s="342"/>
      <c r="MFK49" s="343"/>
      <c r="MFL49" s="344"/>
      <c r="MFM49" s="345"/>
      <c r="MFN49" s="342"/>
      <c r="MFO49" s="343"/>
      <c r="MFP49" s="344"/>
      <c r="MFQ49" s="345"/>
      <c r="MFR49" s="342"/>
      <c r="MFS49" s="343"/>
      <c r="MFT49" s="344"/>
      <c r="MFU49" s="345"/>
      <c r="MFV49" s="342"/>
      <c r="MFW49" s="343"/>
      <c r="MFX49" s="344"/>
      <c r="MFY49" s="345"/>
      <c r="MFZ49" s="342"/>
      <c r="MGA49" s="343"/>
      <c r="MGB49" s="344"/>
      <c r="MGC49" s="345"/>
      <c r="MGD49" s="342"/>
      <c r="MGE49" s="343"/>
      <c r="MGF49" s="344"/>
      <c r="MGG49" s="345"/>
      <c r="MGH49" s="342"/>
      <c r="MGI49" s="343"/>
      <c r="MGJ49" s="344"/>
      <c r="MGK49" s="345"/>
      <c r="MGL49" s="342"/>
      <c r="MGM49" s="343"/>
      <c r="MGN49" s="344"/>
      <c r="MGO49" s="345"/>
      <c r="MGP49" s="342"/>
      <c r="MGQ49" s="343"/>
      <c r="MGR49" s="344"/>
      <c r="MGS49" s="345"/>
      <c r="MGT49" s="342"/>
      <c r="MGU49" s="343"/>
      <c r="MGV49" s="344"/>
      <c r="MGW49" s="345"/>
      <c r="MGX49" s="342"/>
      <c r="MGY49" s="343"/>
      <c r="MGZ49" s="344"/>
      <c r="MHA49" s="345"/>
      <c r="MHB49" s="342"/>
      <c r="MHC49" s="343"/>
      <c r="MHD49" s="344"/>
      <c r="MHE49" s="345"/>
      <c r="MHF49" s="342"/>
      <c r="MHG49" s="343"/>
      <c r="MHH49" s="344"/>
      <c r="MHI49" s="345"/>
      <c r="MHJ49" s="342"/>
      <c r="MHK49" s="343"/>
      <c r="MHL49" s="344"/>
      <c r="MHM49" s="345"/>
      <c r="MHN49" s="342"/>
      <c r="MHO49" s="343"/>
      <c r="MHP49" s="344"/>
      <c r="MHQ49" s="345"/>
      <c r="MHR49" s="342"/>
      <c r="MHS49" s="343"/>
      <c r="MHT49" s="344"/>
      <c r="MHU49" s="345"/>
      <c r="MHV49" s="342"/>
      <c r="MHW49" s="343"/>
      <c r="MHX49" s="344"/>
      <c r="MHY49" s="345"/>
      <c r="MHZ49" s="342"/>
      <c r="MIA49" s="343"/>
      <c r="MIB49" s="344"/>
      <c r="MIC49" s="345"/>
      <c r="MID49" s="342"/>
      <c r="MIE49" s="343"/>
      <c r="MIF49" s="344"/>
      <c r="MIG49" s="345"/>
      <c r="MIH49" s="342"/>
      <c r="MII49" s="343"/>
      <c r="MIJ49" s="344"/>
      <c r="MIK49" s="345"/>
      <c r="MIL49" s="342"/>
      <c r="MIM49" s="343"/>
      <c r="MIN49" s="344"/>
      <c r="MIO49" s="345"/>
      <c r="MIP49" s="342"/>
      <c r="MIQ49" s="343"/>
      <c r="MIR49" s="344"/>
      <c r="MIS49" s="345"/>
      <c r="MIT49" s="342"/>
      <c r="MIU49" s="343"/>
      <c r="MIV49" s="344"/>
      <c r="MIW49" s="345"/>
      <c r="MIX49" s="342"/>
      <c r="MIY49" s="343"/>
      <c r="MIZ49" s="344"/>
      <c r="MJA49" s="345"/>
      <c r="MJB49" s="342"/>
      <c r="MJC49" s="343"/>
      <c r="MJD49" s="344"/>
      <c r="MJE49" s="345"/>
      <c r="MJF49" s="342"/>
      <c r="MJG49" s="343"/>
      <c r="MJH49" s="344"/>
      <c r="MJI49" s="345"/>
      <c r="MJJ49" s="342"/>
      <c r="MJK49" s="343"/>
      <c r="MJL49" s="344"/>
      <c r="MJM49" s="345"/>
      <c r="MJN49" s="342"/>
      <c r="MJO49" s="343"/>
      <c r="MJP49" s="344"/>
      <c r="MJQ49" s="345"/>
      <c r="MJR49" s="342"/>
      <c r="MJS49" s="343"/>
      <c r="MJT49" s="344"/>
      <c r="MJU49" s="345"/>
      <c r="MJV49" s="342"/>
      <c r="MJW49" s="343"/>
      <c r="MJX49" s="344"/>
      <c r="MJY49" s="345"/>
      <c r="MJZ49" s="342"/>
      <c r="MKA49" s="343"/>
      <c r="MKB49" s="344"/>
      <c r="MKC49" s="345"/>
      <c r="MKD49" s="342"/>
      <c r="MKE49" s="343"/>
      <c r="MKF49" s="344"/>
      <c r="MKG49" s="345"/>
      <c r="MKH49" s="342"/>
      <c r="MKI49" s="343"/>
      <c r="MKJ49" s="344"/>
      <c r="MKK49" s="345"/>
      <c r="MKL49" s="342"/>
      <c r="MKM49" s="343"/>
      <c r="MKN49" s="344"/>
      <c r="MKO49" s="345"/>
      <c r="MKP49" s="342"/>
      <c r="MKQ49" s="343"/>
      <c r="MKR49" s="344"/>
      <c r="MKS49" s="345"/>
      <c r="MKT49" s="342"/>
      <c r="MKU49" s="343"/>
      <c r="MKV49" s="344"/>
      <c r="MKW49" s="345"/>
      <c r="MKX49" s="342"/>
      <c r="MKY49" s="343"/>
      <c r="MKZ49" s="344"/>
      <c r="MLA49" s="345"/>
      <c r="MLB49" s="342"/>
      <c r="MLC49" s="343"/>
      <c r="MLD49" s="344"/>
      <c r="MLE49" s="345"/>
      <c r="MLF49" s="342"/>
      <c r="MLG49" s="343"/>
      <c r="MLH49" s="344"/>
      <c r="MLI49" s="345"/>
      <c r="MLJ49" s="342"/>
      <c r="MLK49" s="343"/>
      <c r="MLL49" s="344"/>
      <c r="MLM49" s="345"/>
      <c r="MLN49" s="342"/>
      <c r="MLO49" s="343"/>
      <c r="MLP49" s="344"/>
      <c r="MLQ49" s="345"/>
      <c r="MLR49" s="342"/>
      <c r="MLS49" s="343"/>
      <c r="MLT49" s="344"/>
      <c r="MLU49" s="345"/>
      <c r="MLV49" s="342"/>
      <c r="MLW49" s="343"/>
      <c r="MLX49" s="344"/>
      <c r="MLY49" s="345"/>
      <c r="MLZ49" s="342"/>
      <c r="MMA49" s="343"/>
      <c r="MMB49" s="344"/>
      <c r="MMC49" s="345"/>
      <c r="MMD49" s="342"/>
      <c r="MME49" s="343"/>
      <c r="MMF49" s="344"/>
      <c r="MMG49" s="345"/>
      <c r="MMH49" s="342"/>
      <c r="MMI49" s="343"/>
      <c r="MMJ49" s="344"/>
      <c r="MMK49" s="345"/>
      <c r="MML49" s="342"/>
      <c r="MMM49" s="343"/>
      <c r="MMN49" s="344"/>
      <c r="MMO49" s="345"/>
      <c r="MMP49" s="342"/>
      <c r="MMQ49" s="343"/>
      <c r="MMR49" s="344"/>
      <c r="MMS49" s="345"/>
      <c r="MMT49" s="342"/>
      <c r="MMU49" s="343"/>
      <c r="MMV49" s="344"/>
      <c r="MMW49" s="345"/>
      <c r="MMX49" s="342"/>
      <c r="MMY49" s="343"/>
      <c r="MMZ49" s="344"/>
      <c r="MNA49" s="345"/>
      <c r="MNB49" s="342"/>
      <c r="MNC49" s="343"/>
      <c r="MND49" s="344"/>
      <c r="MNE49" s="345"/>
      <c r="MNF49" s="342"/>
      <c r="MNG49" s="343"/>
      <c r="MNH49" s="344"/>
      <c r="MNI49" s="345"/>
      <c r="MNJ49" s="342"/>
      <c r="MNK49" s="343"/>
      <c r="MNL49" s="344"/>
      <c r="MNM49" s="345"/>
      <c r="MNN49" s="342"/>
      <c r="MNO49" s="343"/>
      <c r="MNP49" s="344"/>
      <c r="MNQ49" s="345"/>
      <c r="MNR49" s="342"/>
      <c r="MNS49" s="343"/>
      <c r="MNT49" s="344"/>
      <c r="MNU49" s="345"/>
      <c r="MNV49" s="342"/>
      <c r="MNW49" s="343"/>
      <c r="MNX49" s="344"/>
      <c r="MNY49" s="345"/>
      <c r="MNZ49" s="342"/>
      <c r="MOA49" s="343"/>
      <c r="MOB49" s="344"/>
      <c r="MOC49" s="345"/>
      <c r="MOD49" s="342"/>
      <c r="MOE49" s="343"/>
      <c r="MOF49" s="344"/>
      <c r="MOG49" s="345"/>
      <c r="MOH49" s="342"/>
      <c r="MOI49" s="343"/>
      <c r="MOJ49" s="344"/>
      <c r="MOK49" s="345"/>
      <c r="MOL49" s="342"/>
      <c r="MOM49" s="343"/>
      <c r="MON49" s="344"/>
      <c r="MOO49" s="345"/>
      <c r="MOP49" s="342"/>
      <c r="MOQ49" s="343"/>
      <c r="MOR49" s="344"/>
      <c r="MOS49" s="345"/>
      <c r="MOT49" s="342"/>
      <c r="MOU49" s="343"/>
      <c r="MOV49" s="344"/>
      <c r="MOW49" s="345"/>
      <c r="MOX49" s="342"/>
      <c r="MOY49" s="343"/>
      <c r="MOZ49" s="344"/>
      <c r="MPA49" s="345"/>
      <c r="MPB49" s="342"/>
      <c r="MPC49" s="343"/>
      <c r="MPD49" s="344"/>
      <c r="MPE49" s="345"/>
      <c r="MPF49" s="342"/>
      <c r="MPG49" s="343"/>
      <c r="MPH49" s="344"/>
      <c r="MPI49" s="345"/>
      <c r="MPJ49" s="342"/>
      <c r="MPK49" s="343"/>
      <c r="MPL49" s="344"/>
      <c r="MPM49" s="345"/>
      <c r="MPN49" s="342"/>
      <c r="MPO49" s="343"/>
      <c r="MPP49" s="344"/>
      <c r="MPQ49" s="345"/>
      <c r="MPR49" s="342"/>
      <c r="MPS49" s="343"/>
      <c r="MPT49" s="344"/>
      <c r="MPU49" s="345"/>
      <c r="MPV49" s="342"/>
      <c r="MPW49" s="343"/>
      <c r="MPX49" s="344"/>
      <c r="MPY49" s="345"/>
      <c r="MPZ49" s="342"/>
      <c r="MQA49" s="343"/>
      <c r="MQB49" s="344"/>
      <c r="MQC49" s="345"/>
      <c r="MQD49" s="342"/>
      <c r="MQE49" s="343"/>
      <c r="MQF49" s="344"/>
      <c r="MQG49" s="345"/>
      <c r="MQH49" s="342"/>
      <c r="MQI49" s="343"/>
      <c r="MQJ49" s="344"/>
      <c r="MQK49" s="345"/>
      <c r="MQL49" s="342"/>
      <c r="MQM49" s="343"/>
      <c r="MQN49" s="344"/>
      <c r="MQO49" s="345"/>
      <c r="MQP49" s="342"/>
      <c r="MQQ49" s="343"/>
      <c r="MQR49" s="344"/>
      <c r="MQS49" s="345"/>
      <c r="MQT49" s="342"/>
      <c r="MQU49" s="343"/>
      <c r="MQV49" s="344"/>
      <c r="MQW49" s="345"/>
      <c r="MQX49" s="342"/>
      <c r="MQY49" s="343"/>
      <c r="MQZ49" s="344"/>
      <c r="MRA49" s="345"/>
      <c r="MRB49" s="342"/>
      <c r="MRC49" s="343"/>
      <c r="MRD49" s="344"/>
      <c r="MRE49" s="345"/>
      <c r="MRF49" s="342"/>
      <c r="MRG49" s="343"/>
      <c r="MRH49" s="344"/>
      <c r="MRI49" s="345"/>
      <c r="MRJ49" s="342"/>
      <c r="MRK49" s="343"/>
      <c r="MRL49" s="344"/>
      <c r="MRM49" s="345"/>
      <c r="MRN49" s="342"/>
      <c r="MRO49" s="343"/>
      <c r="MRP49" s="344"/>
      <c r="MRQ49" s="345"/>
      <c r="MRR49" s="342"/>
      <c r="MRS49" s="343"/>
      <c r="MRT49" s="344"/>
      <c r="MRU49" s="345"/>
      <c r="MRV49" s="342"/>
      <c r="MRW49" s="343"/>
      <c r="MRX49" s="344"/>
      <c r="MRY49" s="345"/>
      <c r="MRZ49" s="342"/>
      <c r="MSA49" s="343"/>
      <c r="MSB49" s="344"/>
      <c r="MSC49" s="345"/>
      <c r="MSD49" s="342"/>
      <c r="MSE49" s="343"/>
      <c r="MSF49" s="344"/>
      <c r="MSG49" s="345"/>
      <c r="MSH49" s="342"/>
      <c r="MSI49" s="343"/>
      <c r="MSJ49" s="344"/>
      <c r="MSK49" s="345"/>
      <c r="MSL49" s="342"/>
      <c r="MSM49" s="343"/>
      <c r="MSN49" s="344"/>
      <c r="MSO49" s="345"/>
      <c r="MSP49" s="342"/>
      <c r="MSQ49" s="343"/>
      <c r="MSR49" s="344"/>
      <c r="MSS49" s="345"/>
      <c r="MST49" s="342"/>
      <c r="MSU49" s="343"/>
      <c r="MSV49" s="344"/>
      <c r="MSW49" s="345"/>
      <c r="MSX49" s="342"/>
      <c r="MSY49" s="343"/>
      <c r="MSZ49" s="344"/>
      <c r="MTA49" s="345"/>
      <c r="MTB49" s="342"/>
      <c r="MTC49" s="343"/>
      <c r="MTD49" s="344"/>
      <c r="MTE49" s="345"/>
      <c r="MTF49" s="342"/>
      <c r="MTG49" s="343"/>
      <c r="MTH49" s="344"/>
      <c r="MTI49" s="345"/>
      <c r="MTJ49" s="342"/>
      <c r="MTK49" s="343"/>
      <c r="MTL49" s="344"/>
      <c r="MTM49" s="345"/>
      <c r="MTN49" s="342"/>
      <c r="MTO49" s="343"/>
      <c r="MTP49" s="344"/>
      <c r="MTQ49" s="345"/>
      <c r="MTR49" s="342"/>
      <c r="MTS49" s="343"/>
      <c r="MTT49" s="344"/>
      <c r="MTU49" s="345"/>
      <c r="MTV49" s="342"/>
      <c r="MTW49" s="343"/>
      <c r="MTX49" s="344"/>
      <c r="MTY49" s="345"/>
      <c r="MTZ49" s="342"/>
      <c r="MUA49" s="343"/>
      <c r="MUB49" s="344"/>
      <c r="MUC49" s="345"/>
      <c r="MUD49" s="342"/>
      <c r="MUE49" s="343"/>
      <c r="MUF49" s="344"/>
      <c r="MUG49" s="345"/>
      <c r="MUH49" s="342"/>
      <c r="MUI49" s="343"/>
      <c r="MUJ49" s="344"/>
      <c r="MUK49" s="345"/>
      <c r="MUL49" s="342"/>
      <c r="MUM49" s="343"/>
      <c r="MUN49" s="344"/>
      <c r="MUO49" s="345"/>
      <c r="MUP49" s="342"/>
      <c r="MUQ49" s="343"/>
      <c r="MUR49" s="344"/>
      <c r="MUS49" s="345"/>
      <c r="MUT49" s="342"/>
      <c r="MUU49" s="343"/>
      <c r="MUV49" s="344"/>
      <c r="MUW49" s="345"/>
      <c r="MUX49" s="342"/>
      <c r="MUY49" s="343"/>
      <c r="MUZ49" s="344"/>
      <c r="MVA49" s="345"/>
      <c r="MVB49" s="342"/>
      <c r="MVC49" s="343"/>
      <c r="MVD49" s="344"/>
      <c r="MVE49" s="345"/>
      <c r="MVF49" s="342"/>
      <c r="MVG49" s="343"/>
      <c r="MVH49" s="344"/>
      <c r="MVI49" s="345"/>
      <c r="MVJ49" s="342"/>
      <c r="MVK49" s="343"/>
      <c r="MVL49" s="344"/>
      <c r="MVM49" s="345"/>
      <c r="MVN49" s="342"/>
      <c r="MVO49" s="343"/>
      <c r="MVP49" s="344"/>
      <c r="MVQ49" s="345"/>
      <c r="MVR49" s="342"/>
      <c r="MVS49" s="343"/>
      <c r="MVT49" s="344"/>
      <c r="MVU49" s="345"/>
      <c r="MVV49" s="342"/>
      <c r="MVW49" s="343"/>
      <c r="MVX49" s="344"/>
      <c r="MVY49" s="345"/>
      <c r="MVZ49" s="342"/>
      <c r="MWA49" s="343"/>
      <c r="MWB49" s="344"/>
      <c r="MWC49" s="345"/>
      <c r="MWD49" s="342"/>
      <c r="MWE49" s="343"/>
      <c r="MWF49" s="344"/>
      <c r="MWG49" s="345"/>
      <c r="MWH49" s="342"/>
      <c r="MWI49" s="343"/>
      <c r="MWJ49" s="344"/>
      <c r="MWK49" s="345"/>
      <c r="MWL49" s="342"/>
      <c r="MWM49" s="343"/>
      <c r="MWN49" s="344"/>
      <c r="MWO49" s="345"/>
      <c r="MWP49" s="342"/>
      <c r="MWQ49" s="343"/>
      <c r="MWR49" s="344"/>
      <c r="MWS49" s="345"/>
      <c r="MWT49" s="342"/>
      <c r="MWU49" s="343"/>
      <c r="MWV49" s="344"/>
      <c r="MWW49" s="345"/>
      <c r="MWX49" s="342"/>
      <c r="MWY49" s="343"/>
      <c r="MWZ49" s="344"/>
      <c r="MXA49" s="345"/>
      <c r="MXB49" s="342"/>
      <c r="MXC49" s="343"/>
      <c r="MXD49" s="344"/>
      <c r="MXE49" s="345"/>
      <c r="MXF49" s="342"/>
      <c r="MXG49" s="343"/>
      <c r="MXH49" s="344"/>
      <c r="MXI49" s="345"/>
      <c r="MXJ49" s="342"/>
      <c r="MXK49" s="343"/>
      <c r="MXL49" s="344"/>
      <c r="MXM49" s="345"/>
      <c r="MXN49" s="342"/>
      <c r="MXO49" s="343"/>
      <c r="MXP49" s="344"/>
      <c r="MXQ49" s="345"/>
      <c r="MXR49" s="342"/>
      <c r="MXS49" s="343"/>
      <c r="MXT49" s="344"/>
      <c r="MXU49" s="345"/>
      <c r="MXV49" s="342"/>
      <c r="MXW49" s="343"/>
      <c r="MXX49" s="344"/>
      <c r="MXY49" s="345"/>
      <c r="MXZ49" s="342"/>
      <c r="MYA49" s="343"/>
      <c r="MYB49" s="344"/>
      <c r="MYC49" s="345"/>
      <c r="MYD49" s="342"/>
      <c r="MYE49" s="343"/>
      <c r="MYF49" s="344"/>
      <c r="MYG49" s="345"/>
      <c r="MYH49" s="342"/>
      <c r="MYI49" s="343"/>
      <c r="MYJ49" s="344"/>
      <c r="MYK49" s="345"/>
      <c r="MYL49" s="342"/>
      <c r="MYM49" s="343"/>
      <c r="MYN49" s="344"/>
      <c r="MYO49" s="345"/>
      <c r="MYP49" s="342"/>
      <c r="MYQ49" s="343"/>
      <c r="MYR49" s="344"/>
      <c r="MYS49" s="345"/>
      <c r="MYT49" s="342"/>
      <c r="MYU49" s="343"/>
      <c r="MYV49" s="344"/>
      <c r="MYW49" s="345"/>
      <c r="MYX49" s="342"/>
      <c r="MYY49" s="343"/>
      <c r="MYZ49" s="344"/>
      <c r="MZA49" s="345"/>
      <c r="MZB49" s="342"/>
      <c r="MZC49" s="343"/>
      <c r="MZD49" s="344"/>
      <c r="MZE49" s="345"/>
      <c r="MZF49" s="342"/>
      <c r="MZG49" s="343"/>
      <c r="MZH49" s="344"/>
      <c r="MZI49" s="345"/>
      <c r="MZJ49" s="342"/>
      <c r="MZK49" s="343"/>
      <c r="MZL49" s="344"/>
      <c r="MZM49" s="345"/>
      <c r="MZN49" s="342"/>
      <c r="MZO49" s="343"/>
      <c r="MZP49" s="344"/>
      <c r="MZQ49" s="345"/>
      <c r="MZR49" s="342"/>
      <c r="MZS49" s="343"/>
      <c r="MZT49" s="344"/>
      <c r="MZU49" s="345"/>
      <c r="MZV49" s="342"/>
      <c r="MZW49" s="343"/>
      <c r="MZX49" s="344"/>
      <c r="MZY49" s="345"/>
      <c r="MZZ49" s="342"/>
      <c r="NAA49" s="343"/>
      <c r="NAB49" s="344"/>
      <c r="NAC49" s="345"/>
      <c r="NAD49" s="342"/>
      <c r="NAE49" s="343"/>
      <c r="NAF49" s="344"/>
      <c r="NAG49" s="345"/>
      <c r="NAH49" s="342"/>
      <c r="NAI49" s="343"/>
      <c r="NAJ49" s="344"/>
      <c r="NAK49" s="345"/>
      <c r="NAL49" s="342"/>
      <c r="NAM49" s="343"/>
      <c r="NAN49" s="344"/>
      <c r="NAO49" s="345"/>
      <c r="NAP49" s="342"/>
      <c r="NAQ49" s="343"/>
      <c r="NAR49" s="344"/>
      <c r="NAS49" s="345"/>
      <c r="NAT49" s="342"/>
      <c r="NAU49" s="343"/>
      <c r="NAV49" s="344"/>
      <c r="NAW49" s="345"/>
      <c r="NAX49" s="342"/>
      <c r="NAY49" s="343"/>
      <c r="NAZ49" s="344"/>
      <c r="NBA49" s="345"/>
      <c r="NBB49" s="342"/>
      <c r="NBC49" s="343"/>
      <c r="NBD49" s="344"/>
      <c r="NBE49" s="345"/>
      <c r="NBF49" s="342"/>
      <c r="NBG49" s="343"/>
      <c r="NBH49" s="344"/>
      <c r="NBI49" s="345"/>
      <c r="NBJ49" s="342"/>
      <c r="NBK49" s="343"/>
      <c r="NBL49" s="344"/>
      <c r="NBM49" s="345"/>
      <c r="NBN49" s="342"/>
      <c r="NBO49" s="343"/>
      <c r="NBP49" s="344"/>
      <c r="NBQ49" s="345"/>
      <c r="NBR49" s="342"/>
      <c r="NBS49" s="343"/>
      <c r="NBT49" s="344"/>
      <c r="NBU49" s="345"/>
      <c r="NBV49" s="342"/>
      <c r="NBW49" s="343"/>
      <c r="NBX49" s="344"/>
      <c r="NBY49" s="345"/>
      <c r="NBZ49" s="342"/>
      <c r="NCA49" s="343"/>
      <c r="NCB49" s="344"/>
      <c r="NCC49" s="345"/>
      <c r="NCD49" s="342"/>
      <c r="NCE49" s="343"/>
      <c r="NCF49" s="344"/>
      <c r="NCG49" s="345"/>
      <c r="NCH49" s="342"/>
      <c r="NCI49" s="343"/>
      <c r="NCJ49" s="344"/>
      <c r="NCK49" s="345"/>
      <c r="NCL49" s="342"/>
      <c r="NCM49" s="343"/>
      <c r="NCN49" s="344"/>
      <c r="NCO49" s="345"/>
      <c r="NCP49" s="342"/>
      <c r="NCQ49" s="343"/>
      <c r="NCR49" s="344"/>
      <c r="NCS49" s="345"/>
      <c r="NCT49" s="342"/>
      <c r="NCU49" s="343"/>
      <c r="NCV49" s="344"/>
      <c r="NCW49" s="345"/>
      <c r="NCX49" s="342"/>
      <c r="NCY49" s="343"/>
      <c r="NCZ49" s="344"/>
      <c r="NDA49" s="345"/>
      <c r="NDB49" s="342"/>
      <c r="NDC49" s="343"/>
      <c r="NDD49" s="344"/>
      <c r="NDE49" s="345"/>
      <c r="NDF49" s="342"/>
      <c r="NDG49" s="343"/>
      <c r="NDH49" s="344"/>
      <c r="NDI49" s="345"/>
      <c r="NDJ49" s="342"/>
      <c r="NDK49" s="343"/>
      <c r="NDL49" s="344"/>
      <c r="NDM49" s="345"/>
      <c r="NDN49" s="342"/>
      <c r="NDO49" s="343"/>
      <c r="NDP49" s="344"/>
      <c r="NDQ49" s="345"/>
      <c r="NDR49" s="342"/>
      <c r="NDS49" s="343"/>
      <c r="NDT49" s="344"/>
      <c r="NDU49" s="345"/>
      <c r="NDV49" s="342"/>
      <c r="NDW49" s="343"/>
      <c r="NDX49" s="344"/>
      <c r="NDY49" s="345"/>
      <c r="NDZ49" s="342"/>
      <c r="NEA49" s="343"/>
      <c r="NEB49" s="344"/>
      <c r="NEC49" s="345"/>
      <c r="NED49" s="342"/>
      <c r="NEE49" s="343"/>
      <c r="NEF49" s="344"/>
      <c r="NEG49" s="345"/>
      <c r="NEH49" s="342"/>
      <c r="NEI49" s="343"/>
      <c r="NEJ49" s="344"/>
      <c r="NEK49" s="345"/>
      <c r="NEL49" s="342"/>
      <c r="NEM49" s="343"/>
      <c r="NEN49" s="344"/>
      <c r="NEO49" s="345"/>
      <c r="NEP49" s="342"/>
      <c r="NEQ49" s="343"/>
      <c r="NER49" s="344"/>
      <c r="NES49" s="345"/>
      <c r="NET49" s="342"/>
      <c r="NEU49" s="343"/>
      <c r="NEV49" s="344"/>
      <c r="NEW49" s="345"/>
      <c r="NEX49" s="342"/>
      <c r="NEY49" s="343"/>
      <c r="NEZ49" s="344"/>
      <c r="NFA49" s="345"/>
      <c r="NFB49" s="342"/>
      <c r="NFC49" s="343"/>
      <c r="NFD49" s="344"/>
      <c r="NFE49" s="345"/>
      <c r="NFF49" s="342"/>
      <c r="NFG49" s="343"/>
      <c r="NFH49" s="344"/>
      <c r="NFI49" s="345"/>
      <c r="NFJ49" s="342"/>
      <c r="NFK49" s="343"/>
      <c r="NFL49" s="344"/>
      <c r="NFM49" s="345"/>
      <c r="NFN49" s="342"/>
      <c r="NFO49" s="343"/>
      <c r="NFP49" s="344"/>
      <c r="NFQ49" s="345"/>
      <c r="NFR49" s="342"/>
      <c r="NFS49" s="343"/>
      <c r="NFT49" s="344"/>
      <c r="NFU49" s="345"/>
      <c r="NFV49" s="342"/>
      <c r="NFW49" s="343"/>
      <c r="NFX49" s="344"/>
      <c r="NFY49" s="345"/>
      <c r="NFZ49" s="342"/>
      <c r="NGA49" s="343"/>
      <c r="NGB49" s="344"/>
      <c r="NGC49" s="345"/>
      <c r="NGD49" s="342"/>
      <c r="NGE49" s="343"/>
      <c r="NGF49" s="344"/>
      <c r="NGG49" s="345"/>
      <c r="NGH49" s="342"/>
      <c r="NGI49" s="343"/>
      <c r="NGJ49" s="344"/>
      <c r="NGK49" s="345"/>
      <c r="NGL49" s="342"/>
      <c r="NGM49" s="343"/>
      <c r="NGN49" s="344"/>
      <c r="NGO49" s="345"/>
      <c r="NGP49" s="342"/>
      <c r="NGQ49" s="343"/>
      <c r="NGR49" s="344"/>
      <c r="NGS49" s="345"/>
      <c r="NGT49" s="342"/>
      <c r="NGU49" s="343"/>
      <c r="NGV49" s="344"/>
      <c r="NGW49" s="345"/>
      <c r="NGX49" s="342"/>
      <c r="NGY49" s="343"/>
      <c r="NGZ49" s="344"/>
      <c r="NHA49" s="345"/>
      <c r="NHB49" s="342"/>
      <c r="NHC49" s="343"/>
      <c r="NHD49" s="344"/>
      <c r="NHE49" s="345"/>
      <c r="NHF49" s="342"/>
      <c r="NHG49" s="343"/>
      <c r="NHH49" s="344"/>
      <c r="NHI49" s="345"/>
      <c r="NHJ49" s="342"/>
      <c r="NHK49" s="343"/>
      <c r="NHL49" s="344"/>
      <c r="NHM49" s="345"/>
      <c r="NHN49" s="342"/>
      <c r="NHO49" s="343"/>
      <c r="NHP49" s="344"/>
      <c r="NHQ49" s="345"/>
      <c r="NHR49" s="342"/>
      <c r="NHS49" s="343"/>
      <c r="NHT49" s="344"/>
      <c r="NHU49" s="345"/>
      <c r="NHV49" s="342"/>
      <c r="NHW49" s="343"/>
      <c r="NHX49" s="344"/>
      <c r="NHY49" s="345"/>
      <c r="NHZ49" s="342"/>
      <c r="NIA49" s="343"/>
      <c r="NIB49" s="344"/>
      <c r="NIC49" s="345"/>
      <c r="NID49" s="342"/>
      <c r="NIE49" s="343"/>
      <c r="NIF49" s="344"/>
      <c r="NIG49" s="345"/>
      <c r="NIH49" s="342"/>
      <c r="NII49" s="343"/>
      <c r="NIJ49" s="344"/>
      <c r="NIK49" s="345"/>
      <c r="NIL49" s="342"/>
      <c r="NIM49" s="343"/>
      <c r="NIN49" s="344"/>
      <c r="NIO49" s="345"/>
      <c r="NIP49" s="342"/>
      <c r="NIQ49" s="343"/>
      <c r="NIR49" s="344"/>
      <c r="NIS49" s="345"/>
      <c r="NIT49" s="342"/>
      <c r="NIU49" s="343"/>
      <c r="NIV49" s="344"/>
      <c r="NIW49" s="345"/>
      <c r="NIX49" s="342"/>
      <c r="NIY49" s="343"/>
      <c r="NIZ49" s="344"/>
      <c r="NJA49" s="345"/>
      <c r="NJB49" s="342"/>
      <c r="NJC49" s="343"/>
      <c r="NJD49" s="344"/>
      <c r="NJE49" s="345"/>
      <c r="NJF49" s="342"/>
      <c r="NJG49" s="343"/>
      <c r="NJH49" s="344"/>
      <c r="NJI49" s="345"/>
      <c r="NJJ49" s="342"/>
      <c r="NJK49" s="343"/>
      <c r="NJL49" s="344"/>
      <c r="NJM49" s="345"/>
      <c r="NJN49" s="342"/>
      <c r="NJO49" s="343"/>
      <c r="NJP49" s="344"/>
      <c r="NJQ49" s="345"/>
      <c r="NJR49" s="342"/>
      <c r="NJS49" s="343"/>
      <c r="NJT49" s="344"/>
      <c r="NJU49" s="345"/>
      <c r="NJV49" s="342"/>
      <c r="NJW49" s="343"/>
      <c r="NJX49" s="344"/>
      <c r="NJY49" s="345"/>
      <c r="NJZ49" s="342"/>
      <c r="NKA49" s="343"/>
      <c r="NKB49" s="344"/>
      <c r="NKC49" s="345"/>
      <c r="NKD49" s="342"/>
      <c r="NKE49" s="343"/>
      <c r="NKF49" s="344"/>
      <c r="NKG49" s="345"/>
      <c r="NKH49" s="342"/>
      <c r="NKI49" s="343"/>
      <c r="NKJ49" s="344"/>
      <c r="NKK49" s="345"/>
      <c r="NKL49" s="342"/>
      <c r="NKM49" s="343"/>
      <c r="NKN49" s="344"/>
      <c r="NKO49" s="345"/>
      <c r="NKP49" s="342"/>
      <c r="NKQ49" s="343"/>
      <c r="NKR49" s="344"/>
      <c r="NKS49" s="345"/>
      <c r="NKT49" s="342"/>
      <c r="NKU49" s="343"/>
      <c r="NKV49" s="344"/>
      <c r="NKW49" s="345"/>
      <c r="NKX49" s="342"/>
      <c r="NKY49" s="343"/>
      <c r="NKZ49" s="344"/>
      <c r="NLA49" s="345"/>
      <c r="NLB49" s="342"/>
      <c r="NLC49" s="343"/>
      <c r="NLD49" s="344"/>
      <c r="NLE49" s="345"/>
      <c r="NLF49" s="342"/>
      <c r="NLG49" s="343"/>
      <c r="NLH49" s="344"/>
      <c r="NLI49" s="345"/>
      <c r="NLJ49" s="342"/>
      <c r="NLK49" s="343"/>
      <c r="NLL49" s="344"/>
      <c r="NLM49" s="345"/>
      <c r="NLN49" s="342"/>
      <c r="NLO49" s="343"/>
      <c r="NLP49" s="344"/>
      <c r="NLQ49" s="345"/>
      <c r="NLR49" s="342"/>
      <c r="NLS49" s="343"/>
      <c r="NLT49" s="344"/>
      <c r="NLU49" s="345"/>
      <c r="NLV49" s="342"/>
      <c r="NLW49" s="343"/>
      <c r="NLX49" s="344"/>
      <c r="NLY49" s="345"/>
      <c r="NLZ49" s="342"/>
      <c r="NMA49" s="343"/>
      <c r="NMB49" s="344"/>
      <c r="NMC49" s="345"/>
      <c r="NMD49" s="342"/>
      <c r="NME49" s="343"/>
      <c r="NMF49" s="344"/>
      <c r="NMG49" s="345"/>
      <c r="NMH49" s="342"/>
      <c r="NMI49" s="343"/>
      <c r="NMJ49" s="344"/>
      <c r="NMK49" s="345"/>
      <c r="NML49" s="342"/>
      <c r="NMM49" s="343"/>
      <c r="NMN49" s="344"/>
      <c r="NMO49" s="345"/>
      <c r="NMP49" s="342"/>
      <c r="NMQ49" s="343"/>
      <c r="NMR49" s="344"/>
      <c r="NMS49" s="345"/>
      <c r="NMT49" s="342"/>
      <c r="NMU49" s="343"/>
      <c r="NMV49" s="344"/>
      <c r="NMW49" s="345"/>
      <c r="NMX49" s="342"/>
      <c r="NMY49" s="343"/>
      <c r="NMZ49" s="344"/>
      <c r="NNA49" s="345"/>
      <c r="NNB49" s="342"/>
      <c r="NNC49" s="343"/>
      <c r="NND49" s="344"/>
      <c r="NNE49" s="345"/>
      <c r="NNF49" s="342"/>
      <c r="NNG49" s="343"/>
      <c r="NNH49" s="344"/>
      <c r="NNI49" s="345"/>
      <c r="NNJ49" s="342"/>
      <c r="NNK49" s="343"/>
      <c r="NNL49" s="344"/>
      <c r="NNM49" s="345"/>
      <c r="NNN49" s="342"/>
      <c r="NNO49" s="343"/>
      <c r="NNP49" s="344"/>
      <c r="NNQ49" s="345"/>
      <c r="NNR49" s="342"/>
      <c r="NNS49" s="343"/>
      <c r="NNT49" s="344"/>
      <c r="NNU49" s="345"/>
      <c r="NNV49" s="342"/>
      <c r="NNW49" s="343"/>
      <c r="NNX49" s="344"/>
      <c r="NNY49" s="345"/>
      <c r="NNZ49" s="342"/>
      <c r="NOA49" s="343"/>
      <c r="NOB49" s="344"/>
      <c r="NOC49" s="345"/>
      <c r="NOD49" s="342"/>
      <c r="NOE49" s="343"/>
      <c r="NOF49" s="344"/>
      <c r="NOG49" s="345"/>
      <c r="NOH49" s="342"/>
      <c r="NOI49" s="343"/>
      <c r="NOJ49" s="344"/>
      <c r="NOK49" s="345"/>
      <c r="NOL49" s="342"/>
      <c r="NOM49" s="343"/>
      <c r="NON49" s="344"/>
      <c r="NOO49" s="345"/>
      <c r="NOP49" s="342"/>
      <c r="NOQ49" s="343"/>
      <c r="NOR49" s="344"/>
      <c r="NOS49" s="345"/>
      <c r="NOT49" s="342"/>
      <c r="NOU49" s="343"/>
      <c r="NOV49" s="344"/>
      <c r="NOW49" s="345"/>
      <c r="NOX49" s="342"/>
      <c r="NOY49" s="343"/>
      <c r="NOZ49" s="344"/>
      <c r="NPA49" s="345"/>
      <c r="NPB49" s="342"/>
      <c r="NPC49" s="343"/>
      <c r="NPD49" s="344"/>
      <c r="NPE49" s="345"/>
      <c r="NPF49" s="342"/>
      <c r="NPG49" s="343"/>
      <c r="NPH49" s="344"/>
      <c r="NPI49" s="345"/>
      <c r="NPJ49" s="342"/>
      <c r="NPK49" s="343"/>
      <c r="NPL49" s="344"/>
      <c r="NPM49" s="345"/>
      <c r="NPN49" s="342"/>
      <c r="NPO49" s="343"/>
      <c r="NPP49" s="344"/>
      <c r="NPQ49" s="345"/>
      <c r="NPR49" s="342"/>
      <c r="NPS49" s="343"/>
      <c r="NPT49" s="344"/>
      <c r="NPU49" s="345"/>
      <c r="NPV49" s="342"/>
      <c r="NPW49" s="343"/>
      <c r="NPX49" s="344"/>
      <c r="NPY49" s="345"/>
      <c r="NPZ49" s="342"/>
      <c r="NQA49" s="343"/>
      <c r="NQB49" s="344"/>
      <c r="NQC49" s="345"/>
      <c r="NQD49" s="342"/>
      <c r="NQE49" s="343"/>
      <c r="NQF49" s="344"/>
      <c r="NQG49" s="345"/>
      <c r="NQH49" s="342"/>
      <c r="NQI49" s="343"/>
      <c r="NQJ49" s="344"/>
      <c r="NQK49" s="345"/>
      <c r="NQL49" s="342"/>
      <c r="NQM49" s="343"/>
      <c r="NQN49" s="344"/>
      <c r="NQO49" s="345"/>
      <c r="NQP49" s="342"/>
      <c r="NQQ49" s="343"/>
      <c r="NQR49" s="344"/>
      <c r="NQS49" s="345"/>
      <c r="NQT49" s="342"/>
      <c r="NQU49" s="343"/>
      <c r="NQV49" s="344"/>
      <c r="NQW49" s="345"/>
      <c r="NQX49" s="342"/>
      <c r="NQY49" s="343"/>
      <c r="NQZ49" s="344"/>
      <c r="NRA49" s="345"/>
      <c r="NRB49" s="342"/>
      <c r="NRC49" s="343"/>
      <c r="NRD49" s="344"/>
      <c r="NRE49" s="345"/>
      <c r="NRF49" s="342"/>
      <c r="NRG49" s="343"/>
      <c r="NRH49" s="344"/>
      <c r="NRI49" s="345"/>
      <c r="NRJ49" s="342"/>
      <c r="NRK49" s="343"/>
      <c r="NRL49" s="344"/>
      <c r="NRM49" s="345"/>
      <c r="NRN49" s="342"/>
      <c r="NRO49" s="343"/>
      <c r="NRP49" s="344"/>
      <c r="NRQ49" s="345"/>
      <c r="NRR49" s="342"/>
      <c r="NRS49" s="343"/>
      <c r="NRT49" s="344"/>
      <c r="NRU49" s="345"/>
      <c r="NRV49" s="342"/>
      <c r="NRW49" s="343"/>
      <c r="NRX49" s="344"/>
      <c r="NRY49" s="345"/>
      <c r="NRZ49" s="342"/>
      <c r="NSA49" s="343"/>
      <c r="NSB49" s="344"/>
      <c r="NSC49" s="345"/>
      <c r="NSD49" s="342"/>
      <c r="NSE49" s="343"/>
      <c r="NSF49" s="344"/>
      <c r="NSG49" s="345"/>
      <c r="NSH49" s="342"/>
      <c r="NSI49" s="343"/>
      <c r="NSJ49" s="344"/>
      <c r="NSK49" s="345"/>
      <c r="NSL49" s="342"/>
      <c r="NSM49" s="343"/>
      <c r="NSN49" s="344"/>
      <c r="NSO49" s="345"/>
      <c r="NSP49" s="342"/>
      <c r="NSQ49" s="343"/>
      <c r="NSR49" s="344"/>
      <c r="NSS49" s="345"/>
      <c r="NST49" s="342"/>
      <c r="NSU49" s="343"/>
      <c r="NSV49" s="344"/>
      <c r="NSW49" s="345"/>
      <c r="NSX49" s="342"/>
      <c r="NSY49" s="343"/>
      <c r="NSZ49" s="344"/>
      <c r="NTA49" s="345"/>
      <c r="NTB49" s="342"/>
      <c r="NTC49" s="343"/>
      <c r="NTD49" s="344"/>
      <c r="NTE49" s="345"/>
      <c r="NTF49" s="342"/>
      <c r="NTG49" s="343"/>
      <c r="NTH49" s="344"/>
      <c r="NTI49" s="345"/>
      <c r="NTJ49" s="342"/>
      <c r="NTK49" s="343"/>
      <c r="NTL49" s="344"/>
      <c r="NTM49" s="345"/>
      <c r="NTN49" s="342"/>
      <c r="NTO49" s="343"/>
      <c r="NTP49" s="344"/>
      <c r="NTQ49" s="345"/>
      <c r="NTR49" s="342"/>
      <c r="NTS49" s="343"/>
      <c r="NTT49" s="344"/>
      <c r="NTU49" s="345"/>
      <c r="NTV49" s="342"/>
      <c r="NTW49" s="343"/>
      <c r="NTX49" s="344"/>
      <c r="NTY49" s="345"/>
      <c r="NTZ49" s="342"/>
      <c r="NUA49" s="343"/>
      <c r="NUB49" s="344"/>
      <c r="NUC49" s="345"/>
      <c r="NUD49" s="342"/>
      <c r="NUE49" s="343"/>
      <c r="NUF49" s="344"/>
      <c r="NUG49" s="345"/>
      <c r="NUH49" s="342"/>
      <c r="NUI49" s="343"/>
      <c r="NUJ49" s="344"/>
      <c r="NUK49" s="345"/>
      <c r="NUL49" s="342"/>
      <c r="NUM49" s="343"/>
      <c r="NUN49" s="344"/>
      <c r="NUO49" s="345"/>
      <c r="NUP49" s="342"/>
      <c r="NUQ49" s="343"/>
      <c r="NUR49" s="344"/>
      <c r="NUS49" s="345"/>
      <c r="NUT49" s="342"/>
      <c r="NUU49" s="343"/>
      <c r="NUV49" s="344"/>
      <c r="NUW49" s="345"/>
      <c r="NUX49" s="342"/>
      <c r="NUY49" s="343"/>
      <c r="NUZ49" s="344"/>
      <c r="NVA49" s="345"/>
      <c r="NVB49" s="342"/>
      <c r="NVC49" s="343"/>
      <c r="NVD49" s="344"/>
      <c r="NVE49" s="345"/>
      <c r="NVF49" s="342"/>
      <c r="NVG49" s="343"/>
      <c r="NVH49" s="344"/>
      <c r="NVI49" s="345"/>
      <c r="NVJ49" s="342"/>
      <c r="NVK49" s="343"/>
      <c r="NVL49" s="344"/>
      <c r="NVM49" s="345"/>
      <c r="NVN49" s="342"/>
      <c r="NVO49" s="343"/>
      <c r="NVP49" s="344"/>
      <c r="NVQ49" s="345"/>
      <c r="NVR49" s="342"/>
      <c r="NVS49" s="343"/>
      <c r="NVT49" s="344"/>
      <c r="NVU49" s="345"/>
      <c r="NVV49" s="342"/>
      <c r="NVW49" s="343"/>
      <c r="NVX49" s="344"/>
      <c r="NVY49" s="345"/>
      <c r="NVZ49" s="342"/>
      <c r="NWA49" s="343"/>
      <c r="NWB49" s="344"/>
      <c r="NWC49" s="345"/>
      <c r="NWD49" s="342"/>
      <c r="NWE49" s="343"/>
      <c r="NWF49" s="344"/>
      <c r="NWG49" s="345"/>
      <c r="NWH49" s="342"/>
      <c r="NWI49" s="343"/>
      <c r="NWJ49" s="344"/>
      <c r="NWK49" s="345"/>
      <c r="NWL49" s="342"/>
      <c r="NWM49" s="343"/>
      <c r="NWN49" s="344"/>
      <c r="NWO49" s="345"/>
      <c r="NWP49" s="342"/>
      <c r="NWQ49" s="343"/>
      <c r="NWR49" s="344"/>
      <c r="NWS49" s="345"/>
      <c r="NWT49" s="342"/>
      <c r="NWU49" s="343"/>
      <c r="NWV49" s="344"/>
      <c r="NWW49" s="345"/>
      <c r="NWX49" s="342"/>
      <c r="NWY49" s="343"/>
      <c r="NWZ49" s="344"/>
      <c r="NXA49" s="345"/>
      <c r="NXB49" s="342"/>
      <c r="NXC49" s="343"/>
      <c r="NXD49" s="344"/>
      <c r="NXE49" s="345"/>
      <c r="NXF49" s="342"/>
      <c r="NXG49" s="343"/>
      <c r="NXH49" s="344"/>
      <c r="NXI49" s="345"/>
      <c r="NXJ49" s="342"/>
      <c r="NXK49" s="343"/>
      <c r="NXL49" s="344"/>
      <c r="NXM49" s="345"/>
      <c r="NXN49" s="342"/>
      <c r="NXO49" s="343"/>
      <c r="NXP49" s="344"/>
      <c r="NXQ49" s="345"/>
      <c r="NXR49" s="342"/>
      <c r="NXS49" s="343"/>
      <c r="NXT49" s="344"/>
      <c r="NXU49" s="345"/>
      <c r="NXV49" s="342"/>
      <c r="NXW49" s="343"/>
      <c r="NXX49" s="344"/>
      <c r="NXY49" s="345"/>
      <c r="NXZ49" s="342"/>
      <c r="NYA49" s="343"/>
      <c r="NYB49" s="344"/>
      <c r="NYC49" s="345"/>
      <c r="NYD49" s="342"/>
      <c r="NYE49" s="343"/>
      <c r="NYF49" s="344"/>
      <c r="NYG49" s="345"/>
      <c r="NYH49" s="342"/>
      <c r="NYI49" s="343"/>
      <c r="NYJ49" s="344"/>
      <c r="NYK49" s="345"/>
      <c r="NYL49" s="342"/>
      <c r="NYM49" s="343"/>
      <c r="NYN49" s="344"/>
      <c r="NYO49" s="345"/>
      <c r="NYP49" s="342"/>
      <c r="NYQ49" s="343"/>
      <c r="NYR49" s="344"/>
      <c r="NYS49" s="345"/>
      <c r="NYT49" s="342"/>
      <c r="NYU49" s="343"/>
      <c r="NYV49" s="344"/>
      <c r="NYW49" s="345"/>
      <c r="NYX49" s="342"/>
      <c r="NYY49" s="343"/>
      <c r="NYZ49" s="344"/>
      <c r="NZA49" s="345"/>
      <c r="NZB49" s="342"/>
      <c r="NZC49" s="343"/>
      <c r="NZD49" s="344"/>
      <c r="NZE49" s="345"/>
      <c r="NZF49" s="342"/>
      <c r="NZG49" s="343"/>
      <c r="NZH49" s="344"/>
      <c r="NZI49" s="345"/>
      <c r="NZJ49" s="342"/>
      <c r="NZK49" s="343"/>
      <c r="NZL49" s="344"/>
      <c r="NZM49" s="345"/>
      <c r="NZN49" s="342"/>
      <c r="NZO49" s="343"/>
      <c r="NZP49" s="344"/>
      <c r="NZQ49" s="345"/>
      <c r="NZR49" s="342"/>
      <c r="NZS49" s="343"/>
      <c r="NZT49" s="344"/>
      <c r="NZU49" s="345"/>
      <c r="NZV49" s="342"/>
      <c r="NZW49" s="343"/>
      <c r="NZX49" s="344"/>
      <c r="NZY49" s="345"/>
      <c r="NZZ49" s="342"/>
      <c r="OAA49" s="343"/>
      <c r="OAB49" s="344"/>
      <c r="OAC49" s="345"/>
      <c r="OAD49" s="342"/>
      <c r="OAE49" s="343"/>
      <c r="OAF49" s="344"/>
      <c r="OAG49" s="345"/>
      <c r="OAH49" s="342"/>
      <c r="OAI49" s="343"/>
      <c r="OAJ49" s="344"/>
      <c r="OAK49" s="345"/>
      <c r="OAL49" s="342"/>
      <c r="OAM49" s="343"/>
      <c r="OAN49" s="344"/>
      <c r="OAO49" s="345"/>
      <c r="OAP49" s="342"/>
      <c r="OAQ49" s="343"/>
      <c r="OAR49" s="344"/>
      <c r="OAS49" s="345"/>
      <c r="OAT49" s="342"/>
      <c r="OAU49" s="343"/>
      <c r="OAV49" s="344"/>
      <c r="OAW49" s="345"/>
      <c r="OAX49" s="342"/>
      <c r="OAY49" s="343"/>
      <c r="OAZ49" s="344"/>
      <c r="OBA49" s="345"/>
      <c r="OBB49" s="342"/>
      <c r="OBC49" s="343"/>
      <c r="OBD49" s="344"/>
      <c r="OBE49" s="345"/>
      <c r="OBF49" s="342"/>
      <c r="OBG49" s="343"/>
      <c r="OBH49" s="344"/>
      <c r="OBI49" s="345"/>
      <c r="OBJ49" s="342"/>
      <c r="OBK49" s="343"/>
      <c r="OBL49" s="344"/>
      <c r="OBM49" s="345"/>
      <c r="OBN49" s="342"/>
      <c r="OBO49" s="343"/>
      <c r="OBP49" s="344"/>
      <c r="OBQ49" s="345"/>
      <c r="OBR49" s="342"/>
      <c r="OBS49" s="343"/>
      <c r="OBT49" s="344"/>
      <c r="OBU49" s="345"/>
      <c r="OBV49" s="342"/>
      <c r="OBW49" s="343"/>
      <c r="OBX49" s="344"/>
      <c r="OBY49" s="345"/>
      <c r="OBZ49" s="342"/>
      <c r="OCA49" s="343"/>
      <c r="OCB49" s="344"/>
      <c r="OCC49" s="345"/>
      <c r="OCD49" s="342"/>
      <c r="OCE49" s="343"/>
      <c r="OCF49" s="344"/>
      <c r="OCG49" s="345"/>
      <c r="OCH49" s="342"/>
      <c r="OCI49" s="343"/>
      <c r="OCJ49" s="344"/>
      <c r="OCK49" s="345"/>
      <c r="OCL49" s="342"/>
      <c r="OCM49" s="343"/>
      <c r="OCN49" s="344"/>
      <c r="OCO49" s="345"/>
      <c r="OCP49" s="342"/>
      <c r="OCQ49" s="343"/>
      <c r="OCR49" s="344"/>
      <c r="OCS49" s="345"/>
      <c r="OCT49" s="342"/>
      <c r="OCU49" s="343"/>
      <c r="OCV49" s="344"/>
      <c r="OCW49" s="345"/>
      <c r="OCX49" s="342"/>
      <c r="OCY49" s="343"/>
      <c r="OCZ49" s="344"/>
      <c r="ODA49" s="345"/>
      <c r="ODB49" s="342"/>
      <c r="ODC49" s="343"/>
      <c r="ODD49" s="344"/>
      <c r="ODE49" s="345"/>
      <c r="ODF49" s="342"/>
      <c r="ODG49" s="343"/>
      <c r="ODH49" s="344"/>
      <c r="ODI49" s="345"/>
      <c r="ODJ49" s="342"/>
      <c r="ODK49" s="343"/>
      <c r="ODL49" s="344"/>
      <c r="ODM49" s="345"/>
      <c r="ODN49" s="342"/>
      <c r="ODO49" s="343"/>
      <c r="ODP49" s="344"/>
      <c r="ODQ49" s="345"/>
      <c r="ODR49" s="342"/>
      <c r="ODS49" s="343"/>
      <c r="ODT49" s="344"/>
      <c r="ODU49" s="345"/>
      <c r="ODV49" s="342"/>
      <c r="ODW49" s="343"/>
      <c r="ODX49" s="344"/>
      <c r="ODY49" s="345"/>
      <c r="ODZ49" s="342"/>
      <c r="OEA49" s="343"/>
      <c r="OEB49" s="344"/>
      <c r="OEC49" s="345"/>
      <c r="OED49" s="342"/>
      <c r="OEE49" s="343"/>
      <c r="OEF49" s="344"/>
      <c r="OEG49" s="345"/>
      <c r="OEH49" s="342"/>
      <c r="OEI49" s="343"/>
      <c r="OEJ49" s="344"/>
      <c r="OEK49" s="345"/>
      <c r="OEL49" s="342"/>
      <c r="OEM49" s="343"/>
      <c r="OEN49" s="344"/>
      <c r="OEO49" s="345"/>
      <c r="OEP49" s="342"/>
      <c r="OEQ49" s="343"/>
      <c r="OER49" s="344"/>
      <c r="OES49" s="345"/>
      <c r="OET49" s="342"/>
      <c r="OEU49" s="343"/>
      <c r="OEV49" s="344"/>
      <c r="OEW49" s="345"/>
      <c r="OEX49" s="342"/>
      <c r="OEY49" s="343"/>
      <c r="OEZ49" s="344"/>
      <c r="OFA49" s="345"/>
      <c r="OFB49" s="342"/>
      <c r="OFC49" s="343"/>
      <c r="OFD49" s="344"/>
      <c r="OFE49" s="345"/>
      <c r="OFF49" s="342"/>
      <c r="OFG49" s="343"/>
      <c r="OFH49" s="344"/>
      <c r="OFI49" s="345"/>
      <c r="OFJ49" s="342"/>
      <c r="OFK49" s="343"/>
      <c r="OFL49" s="344"/>
      <c r="OFM49" s="345"/>
      <c r="OFN49" s="342"/>
      <c r="OFO49" s="343"/>
      <c r="OFP49" s="344"/>
      <c r="OFQ49" s="345"/>
      <c r="OFR49" s="342"/>
      <c r="OFS49" s="343"/>
      <c r="OFT49" s="344"/>
      <c r="OFU49" s="345"/>
      <c r="OFV49" s="342"/>
      <c r="OFW49" s="343"/>
      <c r="OFX49" s="344"/>
      <c r="OFY49" s="345"/>
      <c r="OFZ49" s="342"/>
      <c r="OGA49" s="343"/>
      <c r="OGB49" s="344"/>
      <c r="OGC49" s="345"/>
      <c r="OGD49" s="342"/>
      <c r="OGE49" s="343"/>
      <c r="OGF49" s="344"/>
      <c r="OGG49" s="345"/>
      <c r="OGH49" s="342"/>
      <c r="OGI49" s="343"/>
      <c r="OGJ49" s="344"/>
      <c r="OGK49" s="345"/>
      <c r="OGL49" s="342"/>
      <c r="OGM49" s="343"/>
      <c r="OGN49" s="344"/>
      <c r="OGO49" s="345"/>
      <c r="OGP49" s="342"/>
      <c r="OGQ49" s="343"/>
      <c r="OGR49" s="344"/>
      <c r="OGS49" s="345"/>
      <c r="OGT49" s="342"/>
      <c r="OGU49" s="343"/>
      <c r="OGV49" s="344"/>
      <c r="OGW49" s="345"/>
      <c r="OGX49" s="342"/>
      <c r="OGY49" s="343"/>
      <c r="OGZ49" s="344"/>
      <c r="OHA49" s="345"/>
      <c r="OHB49" s="342"/>
      <c r="OHC49" s="343"/>
      <c r="OHD49" s="344"/>
      <c r="OHE49" s="345"/>
      <c r="OHF49" s="342"/>
      <c r="OHG49" s="343"/>
      <c r="OHH49" s="344"/>
      <c r="OHI49" s="345"/>
      <c r="OHJ49" s="342"/>
      <c r="OHK49" s="343"/>
      <c r="OHL49" s="344"/>
      <c r="OHM49" s="345"/>
      <c r="OHN49" s="342"/>
      <c r="OHO49" s="343"/>
      <c r="OHP49" s="344"/>
      <c r="OHQ49" s="345"/>
      <c r="OHR49" s="342"/>
      <c r="OHS49" s="343"/>
      <c r="OHT49" s="344"/>
      <c r="OHU49" s="345"/>
      <c r="OHV49" s="342"/>
      <c r="OHW49" s="343"/>
      <c r="OHX49" s="344"/>
      <c r="OHY49" s="345"/>
      <c r="OHZ49" s="342"/>
      <c r="OIA49" s="343"/>
      <c r="OIB49" s="344"/>
      <c r="OIC49" s="345"/>
      <c r="OID49" s="342"/>
      <c r="OIE49" s="343"/>
      <c r="OIF49" s="344"/>
      <c r="OIG49" s="345"/>
      <c r="OIH49" s="342"/>
      <c r="OII49" s="343"/>
      <c r="OIJ49" s="344"/>
      <c r="OIK49" s="345"/>
      <c r="OIL49" s="342"/>
      <c r="OIM49" s="343"/>
      <c r="OIN49" s="344"/>
      <c r="OIO49" s="345"/>
      <c r="OIP49" s="342"/>
      <c r="OIQ49" s="343"/>
      <c r="OIR49" s="344"/>
      <c r="OIS49" s="345"/>
      <c r="OIT49" s="342"/>
      <c r="OIU49" s="343"/>
      <c r="OIV49" s="344"/>
      <c r="OIW49" s="345"/>
      <c r="OIX49" s="342"/>
      <c r="OIY49" s="343"/>
      <c r="OIZ49" s="344"/>
      <c r="OJA49" s="345"/>
      <c r="OJB49" s="342"/>
      <c r="OJC49" s="343"/>
      <c r="OJD49" s="344"/>
      <c r="OJE49" s="345"/>
      <c r="OJF49" s="342"/>
      <c r="OJG49" s="343"/>
      <c r="OJH49" s="344"/>
      <c r="OJI49" s="345"/>
      <c r="OJJ49" s="342"/>
      <c r="OJK49" s="343"/>
      <c r="OJL49" s="344"/>
      <c r="OJM49" s="345"/>
      <c r="OJN49" s="342"/>
      <c r="OJO49" s="343"/>
      <c r="OJP49" s="344"/>
      <c r="OJQ49" s="345"/>
      <c r="OJR49" s="342"/>
      <c r="OJS49" s="343"/>
      <c r="OJT49" s="344"/>
      <c r="OJU49" s="345"/>
      <c r="OJV49" s="342"/>
      <c r="OJW49" s="343"/>
      <c r="OJX49" s="344"/>
      <c r="OJY49" s="345"/>
      <c r="OJZ49" s="342"/>
      <c r="OKA49" s="343"/>
      <c r="OKB49" s="344"/>
      <c r="OKC49" s="345"/>
      <c r="OKD49" s="342"/>
      <c r="OKE49" s="343"/>
      <c r="OKF49" s="344"/>
      <c r="OKG49" s="345"/>
      <c r="OKH49" s="342"/>
      <c r="OKI49" s="343"/>
      <c r="OKJ49" s="344"/>
      <c r="OKK49" s="345"/>
      <c r="OKL49" s="342"/>
      <c r="OKM49" s="343"/>
      <c r="OKN49" s="344"/>
      <c r="OKO49" s="345"/>
      <c r="OKP49" s="342"/>
      <c r="OKQ49" s="343"/>
      <c r="OKR49" s="344"/>
      <c r="OKS49" s="345"/>
      <c r="OKT49" s="342"/>
      <c r="OKU49" s="343"/>
      <c r="OKV49" s="344"/>
      <c r="OKW49" s="345"/>
      <c r="OKX49" s="342"/>
      <c r="OKY49" s="343"/>
      <c r="OKZ49" s="344"/>
      <c r="OLA49" s="345"/>
      <c r="OLB49" s="342"/>
      <c r="OLC49" s="343"/>
      <c r="OLD49" s="344"/>
      <c r="OLE49" s="345"/>
      <c r="OLF49" s="342"/>
      <c r="OLG49" s="343"/>
      <c r="OLH49" s="344"/>
      <c r="OLI49" s="345"/>
      <c r="OLJ49" s="342"/>
      <c r="OLK49" s="343"/>
      <c r="OLL49" s="344"/>
      <c r="OLM49" s="345"/>
      <c r="OLN49" s="342"/>
      <c r="OLO49" s="343"/>
      <c r="OLP49" s="344"/>
      <c r="OLQ49" s="345"/>
      <c r="OLR49" s="342"/>
      <c r="OLS49" s="343"/>
      <c r="OLT49" s="344"/>
      <c r="OLU49" s="345"/>
      <c r="OLV49" s="342"/>
      <c r="OLW49" s="343"/>
      <c r="OLX49" s="344"/>
      <c r="OLY49" s="345"/>
      <c r="OLZ49" s="342"/>
      <c r="OMA49" s="343"/>
      <c r="OMB49" s="344"/>
      <c r="OMC49" s="345"/>
      <c r="OMD49" s="342"/>
      <c r="OME49" s="343"/>
      <c r="OMF49" s="344"/>
      <c r="OMG49" s="345"/>
      <c r="OMH49" s="342"/>
      <c r="OMI49" s="343"/>
      <c r="OMJ49" s="344"/>
      <c r="OMK49" s="345"/>
      <c r="OML49" s="342"/>
      <c r="OMM49" s="343"/>
      <c r="OMN49" s="344"/>
      <c r="OMO49" s="345"/>
      <c r="OMP49" s="342"/>
      <c r="OMQ49" s="343"/>
      <c r="OMR49" s="344"/>
      <c r="OMS49" s="345"/>
      <c r="OMT49" s="342"/>
      <c r="OMU49" s="343"/>
      <c r="OMV49" s="344"/>
      <c r="OMW49" s="345"/>
      <c r="OMX49" s="342"/>
      <c r="OMY49" s="343"/>
      <c r="OMZ49" s="344"/>
      <c r="ONA49" s="345"/>
      <c r="ONB49" s="342"/>
      <c r="ONC49" s="343"/>
      <c r="OND49" s="344"/>
      <c r="ONE49" s="345"/>
      <c r="ONF49" s="342"/>
      <c r="ONG49" s="343"/>
      <c r="ONH49" s="344"/>
      <c r="ONI49" s="345"/>
      <c r="ONJ49" s="342"/>
      <c r="ONK49" s="343"/>
      <c r="ONL49" s="344"/>
      <c r="ONM49" s="345"/>
      <c r="ONN49" s="342"/>
      <c r="ONO49" s="343"/>
      <c r="ONP49" s="344"/>
      <c r="ONQ49" s="345"/>
      <c r="ONR49" s="342"/>
      <c r="ONS49" s="343"/>
      <c r="ONT49" s="344"/>
      <c r="ONU49" s="345"/>
      <c r="ONV49" s="342"/>
      <c r="ONW49" s="343"/>
      <c r="ONX49" s="344"/>
      <c r="ONY49" s="345"/>
      <c r="ONZ49" s="342"/>
      <c r="OOA49" s="343"/>
      <c r="OOB49" s="344"/>
      <c r="OOC49" s="345"/>
      <c r="OOD49" s="342"/>
      <c r="OOE49" s="343"/>
      <c r="OOF49" s="344"/>
      <c r="OOG49" s="345"/>
      <c r="OOH49" s="342"/>
      <c r="OOI49" s="343"/>
      <c r="OOJ49" s="344"/>
      <c r="OOK49" s="345"/>
      <c r="OOL49" s="342"/>
      <c r="OOM49" s="343"/>
      <c r="OON49" s="344"/>
      <c r="OOO49" s="345"/>
      <c r="OOP49" s="342"/>
      <c r="OOQ49" s="343"/>
      <c r="OOR49" s="344"/>
      <c r="OOS49" s="345"/>
      <c r="OOT49" s="342"/>
      <c r="OOU49" s="343"/>
      <c r="OOV49" s="344"/>
      <c r="OOW49" s="345"/>
      <c r="OOX49" s="342"/>
      <c r="OOY49" s="343"/>
      <c r="OOZ49" s="344"/>
      <c r="OPA49" s="345"/>
      <c r="OPB49" s="342"/>
      <c r="OPC49" s="343"/>
      <c r="OPD49" s="344"/>
      <c r="OPE49" s="345"/>
      <c r="OPF49" s="342"/>
      <c r="OPG49" s="343"/>
      <c r="OPH49" s="344"/>
      <c r="OPI49" s="345"/>
      <c r="OPJ49" s="342"/>
      <c r="OPK49" s="343"/>
      <c r="OPL49" s="344"/>
      <c r="OPM49" s="345"/>
      <c r="OPN49" s="342"/>
      <c r="OPO49" s="343"/>
      <c r="OPP49" s="344"/>
      <c r="OPQ49" s="345"/>
      <c r="OPR49" s="342"/>
      <c r="OPS49" s="343"/>
      <c r="OPT49" s="344"/>
      <c r="OPU49" s="345"/>
      <c r="OPV49" s="342"/>
      <c r="OPW49" s="343"/>
      <c r="OPX49" s="344"/>
      <c r="OPY49" s="345"/>
      <c r="OPZ49" s="342"/>
      <c r="OQA49" s="343"/>
      <c r="OQB49" s="344"/>
      <c r="OQC49" s="345"/>
      <c r="OQD49" s="342"/>
      <c r="OQE49" s="343"/>
      <c r="OQF49" s="344"/>
      <c r="OQG49" s="345"/>
      <c r="OQH49" s="342"/>
      <c r="OQI49" s="343"/>
      <c r="OQJ49" s="344"/>
      <c r="OQK49" s="345"/>
      <c r="OQL49" s="342"/>
      <c r="OQM49" s="343"/>
      <c r="OQN49" s="344"/>
      <c r="OQO49" s="345"/>
      <c r="OQP49" s="342"/>
      <c r="OQQ49" s="343"/>
      <c r="OQR49" s="344"/>
      <c r="OQS49" s="345"/>
      <c r="OQT49" s="342"/>
      <c r="OQU49" s="343"/>
      <c r="OQV49" s="344"/>
      <c r="OQW49" s="345"/>
      <c r="OQX49" s="342"/>
      <c r="OQY49" s="343"/>
      <c r="OQZ49" s="344"/>
      <c r="ORA49" s="345"/>
      <c r="ORB49" s="342"/>
      <c r="ORC49" s="343"/>
      <c r="ORD49" s="344"/>
      <c r="ORE49" s="345"/>
      <c r="ORF49" s="342"/>
      <c r="ORG49" s="343"/>
      <c r="ORH49" s="344"/>
      <c r="ORI49" s="345"/>
      <c r="ORJ49" s="342"/>
      <c r="ORK49" s="343"/>
      <c r="ORL49" s="344"/>
      <c r="ORM49" s="345"/>
      <c r="ORN49" s="342"/>
      <c r="ORO49" s="343"/>
      <c r="ORP49" s="344"/>
      <c r="ORQ49" s="345"/>
      <c r="ORR49" s="342"/>
      <c r="ORS49" s="343"/>
      <c r="ORT49" s="344"/>
      <c r="ORU49" s="345"/>
      <c r="ORV49" s="342"/>
      <c r="ORW49" s="343"/>
      <c r="ORX49" s="344"/>
      <c r="ORY49" s="345"/>
      <c r="ORZ49" s="342"/>
      <c r="OSA49" s="343"/>
      <c r="OSB49" s="344"/>
      <c r="OSC49" s="345"/>
      <c r="OSD49" s="342"/>
      <c r="OSE49" s="343"/>
      <c r="OSF49" s="344"/>
      <c r="OSG49" s="345"/>
      <c r="OSH49" s="342"/>
      <c r="OSI49" s="343"/>
      <c r="OSJ49" s="344"/>
      <c r="OSK49" s="345"/>
      <c r="OSL49" s="342"/>
      <c r="OSM49" s="343"/>
      <c r="OSN49" s="344"/>
      <c r="OSO49" s="345"/>
      <c r="OSP49" s="342"/>
      <c r="OSQ49" s="343"/>
      <c r="OSR49" s="344"/>
      <c r="OSS49" s="345"/>
      <c r="OST49" s="342"/>
      <c r="OSU49" s="343"/>
      <c r="OSV49" s="344"/>
      <c r="OSW49" s="345"/>
      <c r="OSX49" s="342"/>
      <c r="OSY49" s="343"/>
      <c r="OSZ49" s="344"/>
      <c r="OTA49" s="345"/>
      <c r="OTB49" s="342"/>
      <c r="OTC49" s="343"/>
      <c r="OTD49" s="344"/>
      <c r="OTE49" s="345"/>
      <c r="OTF49" s="342"/>
      <c r="OTG49" s="343"/>
      <c r="OTH49" s="344"/>
      <c r="OTI49" s="345"/>
      <c r="OTJ49" s="342"/>
      <c r="OTK49" s="343"/>
      <c r="OTL49" s="344"/>
      <c r="OTM49" s="345"/>
      <c r="OTN49" s="342"/>
      <c r="OTO49" s="343"/>
      <c r="OTP49" s="344"/>
      <c r="OTQ49" s="345"/>
      <c r="OTR49" s="342"/>
      <c r="OTS49" s="343"/>
      <c r="OTT49" s="344"/>
      <c r="OTU49" s="345"/>
      <c r="OTV49" s="342"/>
      <c r="OTW49" s="343"/>
      <c r="OTX49" s="344"/>
      <c r="OTY49" s="345"/>
      <c r="OTZ49" s="342"/>
      <c r="OUA49" s="343"/>
      <c r="OUB49" s="344"/>
      <c r="OUC49" s="345"/>
      <c r="OUD49" s="342"/>
      <c r="OUE49" s="343"/>
      <c r="OUF49" s="344"/>
      <c r="OUG49" s="345"/>
      <c r="OUH49" s="342"/>
      <c r="OUI49" s="343"/>
      <c r="OUJ49" s="344"/>
      <c r="OUK49" s="345"/>
      <c r="OUL49" s="342"/>
      <c r="OUM49" s="343"/>
      <c r="OUN49" s="344"/>
      <c r="OUO49" s="345"/>
      <c r="OUP49" s="342"/>
      <c r="OUQ49" s="343"/>
      <c r="OUR49" s="344"/>
      <c r="OUS49" s="345"/>
      <c r="OUT49" s="342"/>
      <c r="OUU49" s="343"/>
      <c r="OUV49" s="344"/>
      <c r="OUW49" s="345"/>
      <c r="OUX49" s="342"/>
      <c r="OUY49" s="343"/>
      <c r="OUZ49" s="344"/>
      <c r="OVA49" s="345"/>
      <c r="OVB49" s="342"/>
      <c r="OVC49" s="343"/>
      <c r="OVD49" s="344"/>
      <c r="OVE49" s="345"/>
      <c r="OVF49" s="342"/>
      <c r="OVG49" s="343"/>
      <c r="OVH49" s="344"/>
      <c r="OVI49" s="345"/>
      <c r="OVJ49" s="342"/>
      <c r="OVK49" s="343"/>
      <c r="OVL49" s="344"/>
      <c r="OVM49" s="345"/>
      <c r="OVN49" s="342"/>
      <c r="OVO49" s="343"/>
      <c r="OVP49" s="344"/>
      <c r="OVQ49" s="345"/>
      <c r="OVR49" s="342"/>
      <c r="OVS49" s="343"/>
      <c r="OVT49" s="344"/>
      <c r="OVU49" s="345"/>
      <c r="OVV49" s="342"/>
      <c r="OVW49" s="343"/>
      <c r="OVX49" s="344"/>
      <c r="OVY49" s="345"/>
      <c r="OVZ49" s="342"/>
      <c r="OWA49" s="343"/>
      <c r="OWB49" s="344"/>
      <c r="OWC49" s="345"/>
      <c r="OWD49" s="342"/>
      <c r="OWE49" s="343"/>
      <c r="OWF49" s="344"/>
      <c r="OWG49" s="345"/>
      <c r="OWH49" s="342"/>
      <c r="OWI49" s="343"/>
      <c r="OWJ49" s="344"/>
      <c r="OWK49" s="345"/>
      <c r="OWL49" s="342"/>
      <c r="OWM49" s="343"/>
      <c r="OWN49" s="344"/>
      <c r="OWO49" s="345"/>
      <c r="OWP49" s="342"/>
      <c r="OWQ49" s="343"/>
      <c r="OWR49" s="344"/>
      <c r="OWS49" s="345"/>
      <c r="OWT49" s="342"/>
      <c r="OWU49" s="343"/>
      <c r="OWV49" s="344"/>
      <c r="OWW49" s="345"/>
      <c r="OWX49" s="342"/>
      <c r="OWY49" s="343"/>
      <c r="OWZ49" s="344"/>
      <c r="OXA49" s="345"/>
      <c r="OXB49" s="342"/>
      <c r="OXC49" s="343"/>
      <c r="OXD49" s="344"/>
      <c r="OXE49" s="345"/>
      <c r="OXF49" s="342"/>
      <c r="OXG49" s="343"/>
      <c r="OXH49" s="344"/>
      <c r="OXI49" s="345"/>
      <c r="OXJ49" s="342"/>
      <c r="OXK49" s="343"/>
      <c r="OXL49" s="344"/>
      <c r="OXM49" s="345"/>
      <c r="OXN49" s="342"/>
      <c r="OXO49" s="343"/>
      <c r="OXP49" s="344"/>
      <c r="OXQ49" s="345"/>
      <c r="OXR49" s="342"/>
      <c r="OXS49" s="343"/>
      <c r="OXT49" s="344"/>
      <c r="OXU49" s="345"/>
      <c r="OXV49" s="342"/>
      <c r="OXW49" s="343"/>
      <c r="OXX49" s="344"/>
      <c r="OXY49" s="345"/>
      <c r="OXZ49" s="342"/>
      <c r="OYA49" s="343"/>
      <c r="OYB49" s="344"/>
      <c r="OYC49" s="345"/>
      <c r="OYD49" s="342"/>
      <c r="OYE49" s="343"/>
      <c r="OYF49" s="344"/>
      <c r="OYG49" s="345"/>
      <c r="OYH49" s="342"/>
      <c r="OYI49" s="343"/>
      <c r="OYJ49" s="344"/>
      <c r="OYK49" s="345"/>
      <c r="OYL49" s="342"/>
      <c r="OYM49" s="343"/>
      <c r="OYN49" s="344"/>
      <c r="OYO49" s="345"/>
      <c r="OYP49" s="342"/>
      <c r="OYQ49" s="343"/>
      <c r="OYR49" s="344"/>
      <c r="OYS49" s="345"/>
      <c r="OYT49" s="342"/>
      <c r="OYU49" s="343"/>
      <c r="OYV49" s="344"/>
      <c r="OYW49" s="345"/>
      <c r="OYX49" s="342"/>
      <c r="OYY49" s="343"/>
      <c r="OYZ49" s="344"/>
      <c r="OZA49" s="345"/>
      <c r="OZB49" s="342"/>
      <c r="OZC49" s="343"/>
      <c r="OZD49" s="344"/>
      <c r="OZE49" s="345"/>
      <c r="OZF49" s="342"/>
      <c r="OZG49" s="343"/>
      <c r="OZH49" s="344"/>
      <c r="OZI49" s="345"/>
      <c r="OZJ49" s="342"/>
      <c r="OZK49" s="343"/>
      <c r="OZL49" s="344"/>
      <c r="OZM49" s="345"/>
      <c r="OZN49" s="342"/>
      <c r="OZO49" s="343"/>
      <c r="OZP49" s="344"/>
      <c r="OZQ49" s="345"/>
      <c r="OZR49" s="342"/>
      <c r="OZS49" s="343"/>
      <c r="OZT49" s="344"/>
      <c r="OZU49" s="345"/>
      <c r="OZV49" s="342"/>
      <c r="OZW49" s="343"/>
      <c r="OZX49" s="344"/>
      <c r="OZY49" s="345"/>
      <c r="OZZ49" s="342"/>
      <c r="PAA49" s="343"/>
      <c r="PAB49" s="344"/>
      <c r="PAC49" s="345"/>
      <c r="PAD49" s="342"/>
      <c r="PAE49" s="343"/>
      <c r="PAF49" s="344"/>
      <c r="PAG49" s="345"/>
      <c r="PAH49" s="342"/>
      <c r="PAI49" s="343"/>
      <c r="PAJ49" s="344"/>
      <c r="PAK49" s="345"/>
      <c r="PAL49" s="342"/>
      <c r="PAM49" s="343"/>
      <c r="PAN49" s="344"/>
      <c r="PAO49" s="345"/>
      <c r="PAP49" s="342"/>
      <c r="PAQ49" s="343"/>
      <c r="PAR49" s="344"/>
      <c r="PAS49" s="345"/>
      <c r="PAT49" s="342"/>
      <c r="PAU49" s="343"/>
      <c r="PAV49" s="344"/>
      <c r="PAW49" s="345"/>
      <c r="PAX49" s="342"/>
      <c r="PAY49" s="343"/>
      <c r="PAZ49" s="344"/>
      <c r="PBA49" s="345"/>
      <c r="PBB49" s="342"/>
      <c r="PBC49" s="343"/>
      <c r="PBD49" s="344"/>
      <c r="PBE49" s="345"/>
      <c r="PBF49" s="342"/>
      <c r="PBG49" s="343"/>
      <c r="PBH49" s="344"/>
      <c r="PBI49" s="345"/>
      <c r="PBJ49" s="342"/>
      <c r="PBK49" s="343"/>
      <c r="PBL49" s="344"/>
      <c r="PBM49" s="345"/>
      <c r="PBN49" s="342"/>
      <c r="PBO49" s="343"/>
      <c r="PBP49" s="344"/>
      <c r="PBQ49" s="345"/>
      <c r="PBR49" s="342"/>
      <c r="PBS49" s="343"/>
      <c r="PBT49" s="344"/>
      <c r="PBU49" s="345"/>
      <c r="PBV49" s="342"/>
      <c r="PBW49" s="343"/>
      <c r="PBX49" s="344"/>
      <c r="PBY49" s="345"/>
      <c r="PBZ49" s="342"/>
      <c r="PCA49" s="343"/>
      <c r="PCB49" s="344"/>
      <c r="PCC49" s="345"/>
      <c r="PCD49" s="342"/>
      <c r="PCE49" s="343"/>
      <c r="PCF49" s="344"/>
      <c r="PCG49" s="345"/>
      <c r="PCH49" s="342"/>
      <c r="PCI49" s="343"/>
      <c r="PCJ49" s="344"/>
      <c r="PCK49" s="345"/>
      <c r="PCL49" s="342"/>
      <c r="PCM49" s="343"/>
      <c r="PCN49" s="344"/>
      <c r="PCO49" s="345"/>
      <c r="PCP49" s="342"/>
      <c r="PCQ49" s="343"/>
      <c r="PCR49" s="344"/>
      <c r="PCS49" s="345"/>
      <c r="PCT49" s="342"/>
      <c r="PCU49" s="343"/>
      <c r="PCV49" s="344"/>
      <c r="PCW49" s="345"/>
      <c r="PCX49" s="342"/>
      <c r="PCY49" s="343"/>
      <c r="PCZ49" s="344"/>
      <c r="PDA49" s="345"/>
      <c r="PDB49" s="342"/>
      <c r="PDC49" s="343"/>
      <c r="PDD49" s="344"/>
      <c r="PDE49" s="345"/>
      <c r="PDF49" s="342"/>
      <c r="PDG49" s="343"/>
      <c r="PDH49" s="344"/>
      <c r="PDI49" s="345"/>
      <c r="PDJ49" s="342"/>
      <c r="PDK49" s="343"/>
      <c r="PDL49" s="344"/>
      <c r="PDM49" s="345"/>
      <c r="PDN49" s="342"/>
      <c r="PDO49" s="343"/>
      <c r="PDP49" s="344"/>
      <c r="PDQ49" s="345"/>
      <c r="PDR49" s="342"/>
      <c r="PDS49" s="343"/>
      <c r="PDT49" s="344"/>
      <c r="PDU49" s="345"/>
      <c r="PDV49" s="342"/>
      <c r="PDW49" s="343"/>
      <c r="PDX49" s="344"/>
      <c r="PDY49" s="345"/>
      <c r="PDZ49" s="342"/>
      <c r="PEA49" s="343"/>
      <c r="PEB49" s="344"/>
      <c r="PEC49" s="345"/>
      <c r="PED49" s="342"/>
      <c r="PEE49" s="343"/>
      <c r="PEF49" s="344"/>
      <c r="PEG49" s="345"/>
      <c r="PEH49" s="342"/>
      <c r="PEI49" s="343"/>
      <c r="PEJ49" s="344"/>
      <c r="PEK49" s="345"/>
      <c r="PEL49" s="342"/>
      <c r="PEM49" s="343"/>
      <c r="PEN49" s="344"/>
      <c r="PEO49" s="345"/>
      <c r="PEP49" s="342"/>
      <c r="PEQ49" s="343"/>
      <c r="PER49" s="344"/>
      <c r="PES49" s="345"/>
      <c r="PET49" s="342"/>
      <c r="PEU49" s="343"/>
      <c r="PEV49" s="344"/>
      <c r="PEW49" s="345"/>
      <c r="PEX49" s="342"/>
      <c r="PEY49" s="343"/>
      <c r="PEZ49" s="344"/>
      <c r="PFA49" s="345"/>
      <c r="PFB49" s="342"/>
      <c r="PFC49" s="343"/>
      <c r="PFD49" s="344"/>
      <c r="PFE49" s="345"/>
      <c r="PFF49" s="342"/>
      <c r="PFG49" s="343"/>
      <c r="PFH49" s="344"/>
      <c r="PFI49" s="345"/>
      <c r="PFJ49" s="342"/>
      <c r="PFK49" s="343"/>
      <c r="PFL49" s="344"/>
      <c r="PFM49" s="345"/>
      <c r="PFN49" s="342"/>
      <c r="PFO49" s="343"/>
      <c r="PFP49" s="344"/>
      <c r="PFQ49" s="345"/>
      <c r="PFR49" s="342"/>
      <c r="PFS49" s="343"/>
      <c r="PFT49" s="344"/>
      <c r="PFU49" s="345"/>
      <c r="PFV49" s="342"/>
      <c r="PFW49" s="343"/>
      <c r="PFX49" s="344"/>
      <c r="PFY49" s="345"/>
      <c r="PFZ49" s="342"/>
      <c r="PGA49" s="343"/>
      <c r="PGB49" s="344"/>
      <c r="PGC49" s="345"/>
      <c r="PGD49" s="342"/>
      <c r="PGE49" s="343"/>
      <c r="PGF49" s="344"/>
      <c r="PGG49" s="345"/>
      <c r="PGH49" s="342"/>
      <c r="PGI49" s="343"/>
      <c r="PGJ49" s="344"/>
      <c r="PGK49" s="345"/>
      <c r="PGL49" s="342"/>
      <c r="PGM49" s="343"/>
      <c r="PGN49" s="344"/>
      <c r="PGO49" s="345"/>
      <c r="PGP49" s="342"/>
      <c r="PGQ49" s="343"/>
      <c r="PGR49" s="344"/>
      <c r="PGS49" s="345"/>
      <c r="PGT49" s="342"/>
      <c r="PGU49" s="343"/>
      <c r="PGV49" s="344"/>
      <c r="PGW49" s="345"/>
      <c r="PGX49" s="342"/>
      <c r="PGY49" s="343"/>
      <c r="PGZ49" s="344"/>
      <c r="PHA49" s="345"/>
      <c r="PHB49" s="342"/>
      <c r="PHC49" s="343"/>
      <c r="PHD49" s="344"/>
      <c r="PHE49" s="345"/>
      <c r="PHF49" s="342"/>
      <c r="PHG49" s="343"/>
      <c r="PHH49" s="344"/>
      <c r="PHI49" s="345"/>
      <c r="PHJ49" s="342"/>
      <c r="PHK49" s="343"/>
      <c r="PHL49" s="344"/>
      <c r="PHM49" s="345"/>
      <c r="PHN49" s="342"/>
      <c r="PHO49" s="343"/>
      <c r="PHP49" s="344"/>
      <c r="PHQ49" s="345"/>
      <c r="PHR49" s="342"/>
      <c r="PHS49" s="343"/>
      <c r="PHT49" s="344"/>
      <c r="PHU49" s="345"/>
      <c r="PHV49" s="342"/>
      <c r="PHW49" s="343"/>
      <c r="PHX49" s="344"/>
      <c r="PHY49" s="345"/>
      <c r="PHZ49" s="342"/>
      <c r="PIA49" s="343"/>
      <c r="PIB49" s="344"/>
      <c r="PIC49" s="345"/>
      <c r="PID49" s="342"/>
      <c r="PIE49" s="343"/>
      <c r="PIF49" s="344"/>
      <c r="PIG49" s="345"/>
      <c r="PIH49" s="342"/>
      <c r="PII49" s="343"/>
      <c r="PIJ49" s="344"/>
      <c r="PIK49" s="345"/>
      <c r="PIL49" s="342"/>
      <c r="PIM49" s="343"/>
      <c r="PIN49" s="344"/>
      <c r="PIO49" s="345"/>
      <c r="PIP49" s="342"/>
      <c r="PIQ49" s="343"/>
      <c r="PIR49" s="344"/>
      <c r="PIS49" s="345"/>
      <c r="PIT49" s="342"/>
      <c r="PIU49" s="343"/>
      <c r="PIV49" s="344"/>
      <c r="PIW49" s="345"/>
      <c r="PIX49" s="342"/>
      <c r="PIY49" s="343"/>
      <c r="PIZ49" s="344"/>
      <c r="PJA49" s="345"/>
      <c r="PJB49" s="342"/>
      <c r="PJC49" s="343"/>
      <c r="PJD49" s="344"/>
      <c r="PJE49" s="345"/>
      <c r="PJF49" s="342"/>
      <c r="PJG49" s="343"/>
      <c r="PJH49" s="344"/>
      <c r="PJI49" s="345"/>
      <c r="PJJ49" s="342"/>
      <c r="PJK49" s="343"/>
      <c r="PJL49" s="344"/>
      <c r="PJM49" s="345"/>
      <c r="PJN49" s="342"/>
      <c r="PJO49" s="343"/>
      <c r="PJP49" s="344"/>
      <c r="PJQ49" s="345"/>
      <c r="PJR49" s="342"/>
      <c r="PJS49" s="343"/>
      <c r="PJT49" s="344"/>
      <c r="PJU49" s="345"/>
      <c r="PJV49" s="342"/>
      <c r="PJW49" s="343"/>
      <c r="PJX49" s="344"/>
      <c r="PJY49" s="345"/>
      <c r="PJZ49" s="342"/>
      <c r="PKA49" s="343"/>
      <c r="PKB49" s="344"/>
      <c r="PKC49" s="345"/>
      <c r="PKD49" s="342"/>
      <c r="PKE49" s="343"/>
      <c r="PKF49" s="344"/>
      <c r="PKG49" s="345"/>
      <c r="PKH49" s="342"/>
      <c r="PKI49" s="343"/>
      <c r="PKJ49" s="344"/>
      <c r="PKK49" s="345"/>
      <c r="PKL49" s="342"/>
      <c r="PKM49" s="343"/>
      <c r="PKN49" s="344"/>
      <c r="PKO49" s="345"/>
      <c r="PKP49" s="342"/>
      <c r="PKQ49" s="343"/>
      <c r="PKR49" s="344"/>
      <c r="PKS49" s="345"/>
      <c r="PKT49" s="342"/>
      <c r="PKU49" s="343"/>
      <c r="PKV49" s="344"/>
      <c r="PKW49" s="345"/>
      <c r="PKX49" s="342"/>
      <c r="PKY49" s="343"/>
      <c r="PKZ49" s="344"/>
      <c r="PLA49" s="345"/>
      <c r="PLB49" s="342"/>
      <c r="PLC49" s="343"/>
      <c r="PLD49" s="344"/>
      <c r="PLE49" s="345"/>
      <c r="PLF49" s="342"/>
      <c r="PLG49" s="343"/>
      <c r="PLH49" s="344"/>
      <c r="PLI49" s="345"/>
      <c r="PLJ49" s="342"/>
      <c r="PLK49" s="343"/>
      <c r="PLL49" s="344"/>
      <c r="PLM49" s="345"/>
      <c r="PLN49" s="342"/>
      <c r="PLO49" s="343"/>
      <c r="PLP49" s="344"/>
      <c r="PLQ49" s="345"/>
      <c r="PLR49" s="342"/>
      <c r="PLS49" s="343"/>
      <c r="PLT49" s="344"/>
      <c r="PLU49" s="345"/>
      <c r="PLV49" s="342"/>
      <c r="PLW49" s="343"/>
      <c r="PLX49" s="344"/>
      <c r="PLY49" s="345"/>
      <c r="PLZ49" s="342"/>
      <c r="PMA49" s="343"/>
      <c r="PMB49" s="344"/>
      <c r="PMC49" s="345"/>
      <c r="PMD49" s="342"/>
      <c r="PME49" s="343"/>
      <c r="PMF49" s="344"/>
      <c r="PMG49" s="345"/>
      <c r="PMH49" s="342"/>
      <c r="PMI49" s="343"/>
      <c r="PMJ49" s="344"/>
      <c r="PMK49" s="345"/>
      <c r="PML49" s="342"/>
      <c r="PMM49" s="343"/>
      <c r="PMN49" s="344"/>
      <c r="PMO49" s="345"/>
      <c r="PMP49" s="342"/>
      <c r="PMQ49" s="343"/>
      <c r="PMR49" s="344"/>
      <c r="PMS49" s="345"/>
      <c r="PMT49" s="342"/>
      <c r="PMU49" s="343"/>
      <c r="PMV49" s="344"/>
      <c r="PMW49" s="345"/>
      <c r="PMX49" s="342"/>
      <c r="PMY49" s="343"/>
      <c r="PMZ49" s="344"/>
      <c r="PNA49" s="345"/>
      <c r="PNB49" s="342"/>
      <c r="PNC49" s="343"/>
      <c r="PND49" s="344"/>
      <c r="PNE49" s="345"/>
      <c r="PNF49" s="342"/>
      <c r="PNG49" s="343"/>
      <c r="PNH49" s="344"/>
      <c r="PNI49" s="345"/>
      <c r="PNJ49" s="342"/>
      <c r="PNK49" s="343"/>
      <c r="PNL49" s="344"/>
      <c r="PNM49" s="345"/>
      <c r="PNN49" s="342"/>
      <c r="PNO49" s="343"/>
      <c r="PNP49" s="344"/>
      <c r="PNQ49" s="345"/>
      <c r="PNR49" s="342"/>
      <c r="PNS49" s="343"/>
      <c r="PNT49" s="344"/>
      <c r="PNU49" s="345"/>
      <c r="PNV49" s="342"/>
      <c r="PNW49" s="343"/>
      <c r="PNX49" s="344"/>
      <c r="PNY49" s="345"/>
      <c r="PNZ49" s="342"/>
      <c r="POA49" s="343"/>
      <c r="POB49" s="344"/>
      <c r="POC49" s="345"/>
      <c r="POD49" s="342"/>
      <c r="POE49" s="343"/>
      <c r="POF49" s="344"/>
      <c r="POG49" s="345"/>
      <c r="POH49" s="342"/>
      <c r="POI49" s="343"/>
      <c r="POJ49" s="344"/>
      <c r="POK49" s="345"/>
      <c r="POL49" s="342"/>
      <c r="POM49" s="343"/>
      <c r="PON49" s="344"/>
      <c r="POO49" s="345"/>
      <c r="POP49" s="342"/>
      <c r="POQ49" s="343"/>
      <c r="POR49" s="344"/>
      <c r="POS49" s="345"/>
      <c r="POT49" s="342"/>
      <c r="POU49" s="343"/>
      <c r="POV49" s="344"/>
      <c r="POW49" s="345"/>
      <c r="POX49" s="342"/>
      <c r="POY49" s="343"/>
      <c r="POZ49" s="344"/>
      <c r="PPA49" s="345"/>
      <c r="PPB49" s="342"/>
      <c r="PPC49" s="343"/>
      <c r="PPD49" s="344"/>
      <c r="PPE49" s="345"/>
      <c r="PPF49" s="342"/>
      <c r="PPG49" s="343"/>
      <c r="PPH49" s="344"/>
      <c r="PPI49" s="345"/>
      <c r="PPJ49" s="342"/>
      <c r="PPK49" s="343"/>
      <c r="PPL49" s="344"/>
      <c r="PPM49" s="345"/>
      <c r="PPN49" s="342"/>
      <c r="PPO49" s="343"/>
      <c r="PPP49" s="344"/>
      <c r="PPQ49" s="345"/>
      <c r="PPR49" s="342"/>
      <c r="PPS49" s="343"/>
      <c r="PPT49" s="344"/>
      <c r="PPU49" s="345"/>
      <c r="PPV49" s="342"/>
      <c r="PPW49" s="343"/>
      <c r="PPX49" s="344"/>
      <c r="PPY49" s="345"/>
      <c r="PPZ49" s="342"/>
      <c r="PQA49" s="343"/>
      <c r="PQB49" s="344"/>
      <c r="PQC49" s="345"/>
      <c r="PQD49" s="342"/>
      <c r="PQE49" s="343"/>
      <c r="PQF49" s="344"/>
      <c r="PQG49" s="345"/>
      <c r="PQH49" s="342"/>
      <c r="PQI49" s="343"/>
      <c r="PQJ49" s="344"/>
      <c r="PQK49" s="345"/>
      <c r="PQL49" s="342"/>
      <c r="PQM49" s="343"/>
      <c r="PQN49" s="344"/>
      <c r="PQO49" s="345"/>
      <c r="PQP49" s="342"/>
      <c r="PQQ49" s="343"/>
      <c r="PQR49" s="344"/>
      <c r="PQS49" s="345"/>
      <c r="PQT49" s="342"/>
      <c r="PQU49" s="343"/>
      <c r="PQV49" s="344"/>
      <c r="PQW49" s="345"/>
      <c r="PQX49" s="342"/>
      <c r="PQY49" s="343"/>
      <c r="PQZ49" s="344"/>
      <c r="PRA49" s="345"/>
      <c r="PRB49" s="342"/>
      <c r="PRC49" s="343"/>
      <c r="PRD49" s="344"/>
      <c r="PRE49" s="345"/>
      <c r="PRF49" s="342"/>
      <c r="PRG49" s="343"/>
      <c r="PRH49" s="344"/>
      <c r="PRI49" s="345"/>
      <c r="PRJ49" s="342"/>
      <c r="PRK49" s="343"/>
      <c r="PRL49" s="344"/>
      <c r="PRM49" s="345"/>
      <c r="PRN49" s="342"/>
      <c r="PRO49" s="343"/>
      <c r="PRP49" s="344"/>
      <c r="PRQ49" s="345"/>
      <c r="PRR49" s="342"/>
      <c r="PRS49" s="343"/>
      <c r="PRT49" s="344"/>
      <c r="PRU49" s="345"/>
      <c r="PRV49" s="342"/>
      <c r="PRW49" s="343"/>
      <c r="PRX49" s="344"/>
      <c r="PRY49" s="345"/>
      <c r="PRZ49" s="342"/>
      <c r="PSA49" s="343"/>
      <c r="PSB49" s="344"/>
      <c r="PSC49" s="345"/>
      <c r="PSD49" s="342"/>
      <c r="PSE49" s="343"/>
      <c r="PSF49" s="344"/>
      <c r="PSG49" s="345"/>
      <c r="PSH49" s="342"/>
      <c r="PSI49" s="343"/>
      <c r="PSJ49" s="344"/>
      <c r="PSK49" s="345"/>
      <c r="PSL49" s="342"/>
      <c r="PSM49" s="343"/>
      <c r="PSN49" s="344"/>
      <c r="PSO49" s="345"/>
      <c r="PSP49" s="342"/>
      <c r="PSQ49" s="343"/>
      <c r="PSR49" s="344"/>
      <c r="PSS49" s="345"/>
      <c r="PST49" s="342"/>
      <c r="PSU49" s="343"/>
      <c r="PSV49" s="344"/>
      <c r="PSW49" s="345"/>
      <c r="PSX49" s="342"/>
      <c r="PSY49" s="343"/>
      <c r="PSZ49" s="344"/>
      <c r="PTA49" s="345"/>
      <c r="PTB49" s="342"/>
      <c r="PTC49" s="343"/>
      <c r="PTD49" s="344"/>
      <c r="PTE49" s="345"/>
      <c r="PTF49" s="342"/>
      <c r="PTG49" s="343"/>
      <c r="PTH49" s="344"/>
      <c r="PTI49" s="345"/>
      <c r="PTJ49" s="342"/>
      <c r="PTK49" s="343"/>
      <c r="PTL49" s="344"/>
      <c r="PTM49" s="345"/>
      <c r="PTN49" s="342"/>
      <c r="PTO49" s="343"/>
      <c r="PTP49" s="344"/>
      <c r="PTQ49" s="345"/>
      <c r="PTR49" s="342"/>
      <c r="PTS49" s="343"/>
      <c r="PTT49" s="344"/>
      <c r="PTU49" s="345"/>
      <c r="PTV49" s="342"/>
      <c r="PTW49" s="343"/>
      <c r="PTX49" s="344"/>
      <c r="PTY49" s="345"/>
      <c r="PTZ49" s="342"/>
      <c r="PUA49" s="343"/>
      <c r="PUB49" s="344"/>
      <c r="PUC49" s="345"/>
      <c r="PUD49" s="342"/>
      <c r="PUE49" s="343"/>
      <c r="PUF49" s="344"/>
      <c r="PUG49" s="345"/>
      <c r="PUH49" s="342"/>
      <c r="PUI49" s="343"/>
      <c r="PUJ49" s="344"/>
      <c r="PUK49" s="345"/>
      <c r="PUL49" s="342"/>
      <c r="PUM49" s="343"/>
      <c r="PUN49" s="344"/>
      <c r="PUO49" s="345"/>
      <c r="PUP49" s="342"/>
      <c r="PUQ49" s="343"/>
      <c r="PUR49" s="344"/>
      <c r="PUS49" s="345"/>
      <c r="PUT49" s="342"/>
      <c r="PUU49" s="343"/>
      <c r="PUV49" s="344"/>
      <c r="PUW49" s="345"/>
      <c r="PUX49" s="342"/>
      <c r="PUY49" s="343"/>
      <c r="PUZ49" s="344"/>
      <c r="PVA49" s="345"/>
      <c r="PVB49" s="342"/>
      <c r="PVC49" s="343"/>
      <c r="PVD49" s="344"/>
      <c r="PVE49" s="345"/>
      <c r="PVF49" s="342"/>
      <c r="PVG49" s="343"/>
      <c r="PVH49" s="344"/>
      <c r="PVI49" s="345"/>
      <c r="PVJ49" s="342"/>
      <c r="PVK49" s="343"/>
      <c r="PVL49" s="344"/>
      <c r="PVM49" s="345"/>
      <c r="PVN49" s="342"/>
      <c r="PVO49" s="343"/>
      <c r="PVP49" s="344"/>
      <c r="PVQ49" s="345"/>
      <c r="PVR49" s="342"/>
      <c r="PVS49" s="343"/>
      <c r="PVT49" s="344"/>
      <c r="PVU49" s="345"/>
      <c r="PVV49" s="342"/>
      <c r="PVW49" s="343"/>
      <c r="PVX49" s="344"/>
      <c r="PVY49" s="345"/>
      <c r="PVZ49" s="342"/>
      <c r="PWA49" s="343"/>
      <c r="PWB49" s="344"/>
      <c r="PWC49" s="345"/>
      <c r="PWD49" s="342"/>
      <c r="PWE49" s="343"/>
      <c r="PWF49" s="344"/>
      <c r="PWG49" s="345"/>
      <c r="PWH49" s="342"/>
      <c r="PWI49" s="343"/>
      <c r="PWJ49" s="344"/>
      <c r="PWK49" s="345"/>
      <c r="PWL49" s="342"/>
      <c r="PWM49" s="343"/>
      <c r="PWN49" s="344"/>
      <c r="PWO49" s="345"/>
      <c r="PWP49" s="342"/>
      <c r="PWQ49" s="343"/>
      <c r="PWR49" s="344"/>
      <c r="PWS49" s="345"/>
      <c r="PWT49" s="342"/>
      <c r="PWU49" s="343"/>
      <c r="PWV49" s="344"/>
      <c r="PWW49" s="345"/>
      <c r="PWX49" s="342"/>
      <c r="PWY49" s="343"/>
      <c r="PWZ49" s="344"/>
      <c r="PXA49" s="345"/>
      <c r="PXB49" s="342"/>
      <c r="PXC49" s="343"/>
      <c r="PXD49" s="344"/>
      <c r="PXE49" s="345"/>
      <c r="PXF49" s="342"/>
      <c r="PXG49" s="343"/>
      <c r="PXH49" s="344"/>
      <c r="PXI49" s="345"/>
      <c r="PXJ49" s="342"/>
      <c r="PXK49" s="343"/>
      <c r="PXL49" s="344"/>
      <c r="PXM49" s="345"/>
      <c r="PXN49" s="342"/>
      <c r="PXO49" s="343"/>
      <c r="PXP49" s="344"/>
      <c r="PXQ49" s="345"/>
      <c r="PXR49" s="342"/>
      <c r="PXS49" s="343"/>
      <c r="PXT49" s="344"/>
      <c r="PXU49" s="345"/>
      <c r="PXV49" s="342"/>
      <c r="PXW49" s="343"/>
      <c r="PXX49" s="344"/>
      <c r="PXY49" s="345"/>
      <c r="PXZ49" s="342"/>
      <c r="PYA49" s="343"/>
      <c r="PYB49" s="344"/>
      <c r="PYC49" s="345"/>
      <c r="PYD49" s="342"/>
      <c r="PYE49" s="343"/>
      <c r="PYF49" s="344"/>
      <c r="PYG49" s="345"/>
      <c r="PYH49" s="342"/>
      <c r="PYI49" s="343"/>
      <c r="PYJ49" s="344"/>
      <c r="PYK49" s="345"/>
      <c r="PYL49" s="342"/>
      <c r="PYM49" s="343"/>
      <c r="PYN49" s="344"/>
      <c r="PYO49" s="345"/>
      <c r="PYP49" s="342"/>
      <c r="PYQ49" s="343"/>
      <c r="PYR49" s="344"/>
      <c r="PYS49" s="345"/>
      <c r="PYT49" s="342"/>
      <c r="PYU49" s="343"/>
      <c r="PYV49" s="344"/>
      <c r="PYW49" s="345"/>
      <c r="PYX49" s="342"/>
      <c r="PYY49" s="343"/>
      <c r="PYZ49" s="344"/>
      <c r="PZA49" s="345"/>
      <c r="PZB49" s="342"/>
      <c r="PZC49" s="343"/>
      <c r="PZD49" s="344"/>
      <c r="PZE49" s="345"/>
      <c r="PZF49" s="342"/>
      <c r="PZG49" s="343"/>
      <c r="PZH49" s="344"/>
      <c r="PZI49" s="345"/>
      <c r="PZJ49" s="342"/>
      <c r="PZK49" s="343"/>
      <c r="PZL49" s="344"/>
      <c r="PZM49" s="345"/>
      <c r="PZN49" s="342"/>
      <c r="PZO49" s="343"/>
      <c r="PZP49" s="344"/>
      <c r="PZQ49" s="345"/>
      <c r="PZR49" s="342"/>
      <c r="PZS49" s="343"/>
      <c r="PZT49" s="344"/>
      <c r="PZU49" s="345"/>
      <c r="PZV49" s="342"/>
      <c r="PZW49" s="343"/>
      <c r="PZX49" s="344"/>
      <c r="PZY49" s="345"/>
      <c r="PZZ49" s="342"/>
      <c r="QAA49" s="343"/>
      <c r="QAB49" s="344"/>
      <c r="QAC49" s="345"/>
      <c r="QAD49" s="342"/>
      <c r="QAE49" s="343"/>
      <c r="QAF49" s="344"/>
      <c r="QAG49" s="345"/>
      <c r="QAH49" s="342"/>
      <c r="QAI49" s="343"/>
      <c r="QAJ49" s="344"/>
      <c r="QAK49" s="345"/>
      <c r="QAL49" s="342"/>
      <c r="QAM49" s="343"/>
      <c r="QAN49" s="344"/>
      <c r="QAO49" s="345"/>
      <c r="QAP49" s="342"/>
      <c r="QAQ49" s="343"/>
      <c r="QAR49" s="344"/>
      <c r="QAS49" s="345"/>
      <c r="QAT49" s="342"/>
      <c r="QAU49" s="343"/>
      <c r="QAV49" s="344"/>
      <c r="QAW49" s="345"/>
      <c r="QAX49" s="342"/>
      <c r="QAY49" s="343"/>
      <c r="QAZ49" s="344"/>
      <c r="QBA49" s="345"/>
      <c r="QBB49" s="342"/>
      <c r="QBC49" s="343"/>
      <c r="QBD49" s="344"/>
      <c r="QBE49" s="345"/>
      <c r="QBF49" s="342"/>
      <c r="QBG49" s="343"/>
      <c r="QBH49" s="344"/>
      <c r="QBI49" s="345"/>
      <c r="QBJ49" s="342"/>
      <c r="QBK49" s="343"/>
      <c r="QBL49" s="344"/>
      <c r="QBM49" s="345"/>
      <c r="QBN49" s="342"/>
      <c r="QBO49" s="343"/>
      <c r="QBP49" s="344"/>
      <c r="QBQ49" s="345"/>
      <c r="QBR49" s="342"/>
      <c r="QBS49" s="343"/>
      <c r="QBT49" s="344"/>
      <c r="QBU49" s="345"/>
      <c r="QBV49" s="342"/>
      <c r="QBW49" s="343"/>
      <c r="QBX49" s="344"/>
      <c r="QBY49" s="345"/>
      <c r="QBZ49" s="342"/>
      <c r="QCA49" s="343"/>
      <c r="QCB49" s="344"/>
      <c r="QCC49" s="345"/>
      <c r="QCD49" s="342"/>
      <c r="QCE49" s="343"/>
      <c r="QCF49" s="344"/>
      <c r="QCG49" s="345"/>
      <c r="QCH49" s="342"/>
      <c r="QCI49" s="343"/>
      <c r="QCJ49" s="344"/>
      <c r="QCK49" s="345"/>
      <c r="QCL49" s="342"/>
      <c r="QCM49" s="343"/>
      <c r="QCN49" s="344"/>
      <c r="QCO49" s="345"/>
      <c r="QCP49" s="342"/>
      <c r="QCQ49" s="343"/>
      <c r="QCR49" s="344"/>
      <c r="QCS49" s="345"/>
      <c r="QCT49" s="342"/>
      <c r="QCU49" s="343"/>
      <c r="QCV49" s="344"/>
      <c r="QCW49" s="345"/>
      <c r="QCX49" s="342"/>
      <c r="QCY49" s="343"/>
      <c r="QCZ49" s="344"/>
      <c r="QDA49" s="345"/>
      <c r="QDB49" s="342"/>
      <c r="QDC49" s="343"/>
      <c r="QDD49" s="344"/>
      <c r="QDE49" s="345"/>
      <c r="QDF49" s="342"/>
      <c r="QDG49" s="343"/>
      <c r="QDH49" s="344"/>
      <c r="QDI49" s="345"/>
      <c r="QDJ49" s="342"/>
      <c r="QDK49" s="343"/>
      <c r="QDL49" s="344"/>
      <c r="QDM49" s="345"/>
      <c r="QDN49" s="342"/>
      <c r="QDO49" s="343"/>
      <c r="QDP49" s="344"/>
      <c r="QDQ49" s="345"/>
      <c r="QDR49" s="342"/>
      <c r="QDS49" s="343"/>
      <c r="QDT49" s="344"/>
      <c r="QDU49" s="345"/>
      <c r="QDV49" s="342"/>
      <c r="QDW49" s="343"/>
      <c r="QDX49" s="344"/>
      <c r="QDY49" s="345"/>
      <c r="QDZ49" s="342"/>
      <c r="QEA49" s="343"/>
      <c r="QEB49" s="344"/>
      <c r="QEC49" s="345"/>
      <c r="QED49" s="342"/>
      <c r="QEE49" s="343"/>
      <c r="QEF49" s="344"/>
      <c r="QEG49" s="345"/>
      <c r="QEH49" s="342"/>
      <c r="QEI49" s="343"/>
      <c r="QEJ49" s="344"/>
      <c r="QEK49" s="345"/>
      <c r="QEL49" s="342"/>
      <c r="QEM49" s="343"/>
      <c r="QEN49" s="344"/>
      <c r="QEO49" s="345"/>
      <c r="QEP49" s="342"/>
      <c r="QEQ49" s="343"/>
      <c r="QER49" s="344"/>
      <c r="QES49" s="345"/>
      <c r="QET49" s="342"/>
      <c r="QEU49" s="343"/>
      <c r="QEV49" s="344"/>
      <c r="QEW49" s="345"/>
      <c r="QEX49" s="342"/>
      <c r="QEY49" s="343"/>
      <c r="QEZ49" s="344"/>
      <c r="QFA49" s="345"/>
      <c r="QFB49" s="342"/>
      <c r="QFC49" s="343"/>
      <c r="QFD49" s="344"/>
      <c r="QFE49" s="345"/>
      <c r="QFF49" s="342"/>
      <c r="QFG49" s="343"/>
      <c r="QFH49" s="344"/>
      <c r="QFI49" s="345"/>
      <c r="QFJ49" s="342"/>
      <c r="QFK49" s="343"/>
      <c r="QFL49" s="344"/>
      <c r="QFM49" s="345"/>
      <c r="QFN49" s="342"/>
      <c r="QFO49" s="343"/>
      <c r="QFP49" s="344"/>
      <c r="QFQ49" s="345"/>
      <c r="QFR49" s="342"/>
      <c r="QFS49" s="343"/>
      <c r="QFT49" s="344"/>
      <c r="QFU49" s="345"/>
      <c r="QFV49" s="342"/>
      <c r="QFW49" s="343"/>
      <c r="QFX49" s="344"/>
      <c r="QFY49" s="345"/>
      <c r="QFZ49" s="342"/>
      <c r="QGA49" s="343"/>
      <c r="QGB49" s="344"/>
      <c r="QGC49" s="345"/>
      <c r="QGD49" s="342"/>
      <c r="QGE49" s="343"/>
      <c r="QGF49" s="344"/>
      <c r="QGG49" s="345"/>
      <c r="QGH49" s="342"/>
      <c r="QGI49" s="343"/>
      <c r="QGJ49" s="344"/>
      <c r="QGK49" s="345"/>
      <c r="QGL49" s="342"/>
      <c r="QGM49" s="343"/>
      <c r="QGN49" s="344"/>
      <c r="QGO49" s="345"/>
      <c r="QGP49" s="342"/>
      <c r="QGQ49" s="343"/>
      <c r="QGR49" s="344"/>
      <c r="QGS49" s="345"/>
      <c r="QGT49" s="342"/>
      <c r="QGU49" s="343"/>
      <c r="QGV49" s="344"/>
      <c r="QGW49" s="345"/>
      <c r="QGX49" s="342"/>
      <c r="QGY49" s="343"/>
      <c r="QGZ49" s="344"/>
      <c r="QHA49" s="345"/>
      <c r="QHB49" s="342"/>
      <c r="QHC49" s="343"/>
      <c r="QHD49" s="344"/>
      <c r="QHE49" s="345"/>
      <c r="QHF49" s="342"/>
      <c r="QHG49" s="343"/>
      <c r="QHH49" s="344"/>
      <c r="QHI49" s="345"/>
      <c r="QHJ49" s="342"/>
      <c r="QHK49" s="343"/>
      <c r="QHL49" s="344"/>
      <c r="QHM49" s="345"/>
      <c r="QHN49" s="342"/>
      <c r="QHO49" s="343"/>
      <c r="QHP49" s="344"/>
      <c r="QHQ49" s="345"/>
      <c r="QHR49" s="342"/>
      <c r="QHS49" s="343"/>
      <c r="QHT49" s="344"/>
      <c r="QHU49" s="345"/>
      <c r="QHV49" s="342"/>
      <c r="QHW49" s="343"/>
      <c r="QHX49" s="344"/>
      <c r="QHY49" s="345"/>
      <c r="QHZ49" s="342"/>
      <c r="QIA49" s="343"/>
      <c r="QIB49" s="344"/>
      <c r="QIC49" s="345"/>
      <c r="QID49" s="342"/>
      <c r="QIE49" s="343"/>
      <c r="QIF49" s="344"/>
      <c r="QIG49" s="345"/>
      <c r="QIH49" s="342"/>
      <c r="QII49" s="343"/>
      <c r="QIJ49" s="344"/>
      <c r="QIK49" s="345"/>
      <c r="QIL49" s="342"/>
      <c r="QIM49" s="343"/>
      <c r="QIN49" s="344"/>
      <c r="QIO49" s="345"/>
      <c r="QIP49" s="342"/>
      <c r="QIQ49" s="343"/>
      <c r="QIR49" s="344"/>
      <c r="QIS49" s="345"/>
      <c r="QIT49" s="342"/>
      <c r="QIU49" s="343"/>
      <c r="QIV49" s="344"/>
      <c r="QIW49" s="345"/>
      <c r="QIX49" s="342"/>
      <c r="QIY49" s="343"/>
      <c r="QIZ49" s="344"/>
      <c r="QJA49" s="345"/>
      <c r="QJB49" s="342"/>
      <c r="QJC49" s="343"/>
      <c r="QJD49" s="344"/>
      <c r="QJE49" s="345"/>
      <c r="QJF49" s="342"/>
      <c r="QJG49" s="343"/>
      <c r="QJH49" s="344"/>
      <c r="QJI49" s="345"/>
      <c r="QJJ49" s="342"/>
      <c r="QJK49" s="343"/>
      <c r="QJL49" s="344"/>
      <c r="QJM49" s="345"/>
      <c r="QJN49" s="342"/>
      <c r="QJO49" s="343"/>
      <c r="QJP49" s="344"/>
      <c r="QJQ49" s="345"/>
      <c r="QJR49" s="342"/>
      <c r="QJS49" s="343"/>
      <c r="QJT49" s="344"/>
      <c r="QJU49" s="345"/>
      <c r="QJV49" s="342"/>
      <c r="QJW49" s="343"/>
      <c r="QJX49" s="344"/>
      <c r="QJY49" s="345"/>
      <c r="QJZ49" s="342"/>
      <c r="QKA49" s="343"/>
      <c r="QKB49" s="344"/>
      <c r="QKC49" s="345"/>
      <c r="QKD49" s="342"/>
      <c r="QKE49" s="343"/>
      <c r="QKF49" s="344"/>
      <c r="QKG49" s="345"/>
      <c r="QKH49" s="342"/>
      <c r="QKI49" s="343"/>
      <c r="QKJ49" s="344"/>
      <c r="QKK49" s="345"/>
      <c r="QKL49" s="342"/>
      <c r="QKM49" s="343"/>
      <c r="QKN49" s="344"/>
      <c r="QKO49" s="345"/>
      <c r="QKP49" s="342"/>
      <c r="QKQ49" s="343"/>
      <c r="QKR49" s="344"/>
      <c r="QKS49" s="345"/>
      <c r="QKT49" s="342"/>
      <c r="QKU49" s="343"/>
      <c r="QKV49" s="344"/>
      <c r="QKW49" s="345"/>
      <c r="QKX49" s="342"/>
      <c r="QKY49" s="343"/>
      <c r="QKZ49" s="344"/>
      <c r="QLA49" s="345"/>
      <c r="QLB49" s="342"/>
      <c r="QLC49" s="343"/>
      <c r="QLD49" s="344"/>
      <c r="QLE49" s="345"/>
      <c r="QLF49" s="342"/>
      <c r="QLG49" s="343"/>
      <c r="QLH49" s="344"/>
      <c r="QLI49" s="345"/>
      <c r="QLJ49" s="342"/>
      <c r="QLK49" s="343"/>
      <c r="QLL49" s="344"/>
      <c r="QLM49" s="345"/>
      <c r="QLN49" s="342"/>
      <c r="QLO49" s="343"/>
      <c r="QLP49" s="344"/>
      <c r="QLQ49" s="345"/>
      <c r="QLR49" s="342"/>
      <c r="QLS49" s="343"/>
      <c r="QLT49" s="344"/>
      <c r="QLU49" s="345"/>
      <c r="QLV49" s="342"/>
      <c r="QLW49" s="343"/>
      <c r="QLX49" s="344"/>
      <c r="QLY49" s="345"/>
      <c r="QLZ49" s="342"/>
      <c r="QMA49" s="343"/>
      <c r="QMB49" s="344"/>
      <c r="QMC49" s="345"/>
      <c r="QMD49" s="342"/>
      <c r="QME49" s="343"/>
      <c r="QMF49" s="344"/>
      <c r="QMG49" s="345"/>
      <c r="QMH49" s="342"/>
      <c r="QMI49" s="343"/>
      <c r="QMJ49" s="344"/>
      <c r="QMK49" s="345"/>
      <c r="QML49" s="342"/>
      <c r="QMM49" s="343"/>
      <c r="QMN49" s="344"/>
      <c r="QMO49" s="345"/>
      <c r="QMP49" s="342"/>
      <c r="QMQ49" s="343"/>
      <c r="QMR49" s="344"/>
      <c r="QMS49" s="345"/>
      <c r="QMT49" s="342"/>
      <c r="QMU49" s="343"/>
      <c r="QMV49" s="344"/>
      <c r="QMW49" s="345"/>
      <c r="QMX49" s="342"/>
      <c r="QMY49" s="343"/>
      <c r="QMZ49" s="344"/>
      <c r="QNA49" s="345"/>
      <c r="QNB49" s="342"/>
      <c r="QNC49" s="343"/>
      <c r="QND49" s="344"/>
      <c r="QNE49" s="345"/>
      <c r="QNF49" s="342"/>
      <c r="QNG49" s="343"/>
      <c r="QNH49" s="344"/>
      <c r="QNI49" s="345"/>
      <c r="QNJ49" s="342"/>
      <c r="QNK49" s="343"/>
      <c r="QNL49" s="344"/>
      <c r="QNM49" s="345"/>
      <c r="QNN49" s="342"/>
      <c r="QNO49" s="343"/>
      <c r="QNP49" s="344"/>
      <c r="QNQ49" s="345"/>
      <c r="QNR49" s="342"/>
      <c r="QNS49" s="343"/>
      <c r="QNT49" s="344"/>
      <c r="QNU49" s="345"/>
      <c r="QNV49" s="342"/>
      <c r="QNW49" s="343"/>
      <c r="QNX49" s="344"/>
      <c r="QNY49" s="345"/>
      <c r="QNZ49" s="342"/>
      <c r="QOA49" s="343"/>
      <c r="QOB49" s="344"/>
      <c r="QOC49" s="345"/>
      <c r="QOD49" s="342"/>
      <c r="QOE49" s="343"/>
      <c r="QOF49" s="344"/>
      <c r="QOG49" s="345"/>
      <c r="QOH49" s="342"/>
      <c r="QOI49" s="343"/>
      <c r="QOJ49" s="344"/>
      <c r="QOK49" s="345"/>
      <c r="QOL49" s="342"/>
      <c r="QOM49" s="343"/>
      <c r="QON49" s="344"/>
      <c r="QOO49" s="345"/>
      <c r="QOP49" s="342"/>
      <c r="QOQ49" s="343"/>
      <c r="QOR49" s="344"/>
      <c r="QOS49" s="345"/>
      <c r="QOT49" s="342"/>
      <c r="QOU49" s="343"/>
      <c r="QOV49" s="344"/>
      <c r="QOW49" s="345"/>
      <c r="QOX49" s="342"/>
      <c r="QOY49" s="343"/>
      <c r="QOZ49" s="344"/>
      <c r="QPA49" s="345"/>
      <c r="QPB49" s="342"/>
      <c r="QPC49" s="343"/>
      <c r="QPD49" s="344"/>
      <c r="QPE49" s="345"/>
      <c r="QPF49" s="342"/>
      <c r="QPG49" s="343"/>
      <c r="QPH49" s="344"/>
      <c r="QPI49" s="345"/>
      <c r="QPJ49" s="342"/>
      <c r="QPK49" s="343"/>
      <c r="QPL49" s="344"/>
      <c r="QPM49" s="345"/>
      <c r="QPN49" s="342"/>
      <c r="QPO49" s="343"/>
      <c r="QPP49" s="344"/>
      <c r="QPQ49" s="345"/>
      <c r="QPR49" s="342"/>
      <c r="QPS49" s="343"/>
      <c r="QPT49" s="344"/>
      <c r="QPU49" s="345"/>
      <c r="QPV49" s="342"/>
      <c r="QPW49" s="343"/>
      <c r="QPX49" s="344"/>
      <c r="QPY49" s="345"/>
      <c r="QPZ49" s="342"/>
      <c r="QQA49" s="343"/>
      <c r="QQB49" s="344"/>
      <c r="QQC49" s="345"/>
      <c r="QQD49" s="342"/>
      <c r="QQE49" s="343"/>
      <c r="QQF49" s="344"/>
      <c r="QQG49" s="345"/>
      <c r="QQH49" s="342"/>
      <c r="QQI49" s="343"/>
      <c r="QQJ49" s="344"/>
      <c r="QQK49" s="345"/>
      <c r="QQL49" s="342"/>
      <c r="QQM49" s="343"/>
      <c r="QQN49" s="344"/>
      <c r="QQO49" s="345"/>
      <c r="QQP49" s="342"/>
      <c r="QQQ49" s="343"/>
      <c r="QQR49" s="344"/>
      <c r="QQS49" s="345"/>
      <c r="QQT49" s="342"/>
      <c r="QQU49" s="343"/>
      <c r="QQV49" s="344"/>
      <c r="QQW49" s="345"/>
      <c r="QQX49" s="342"/>
      <c r="QQY49" s="343"/>
      <c r="QQZ49" s="344"/>
      <c r="QRA49" s="345"/>
      <c r="QRB49" s="342"/>
      <c r="QRC49" s="343"/>
      <c r="QRD49" s="344"/>
      <c r="QRE49" s="345"/>
      <c r="QRF49" s="342"/>
      <c r="QRG49" s="343"/>
      <c r="QRH49" s="344"/>
      <c r="QRI49" s="345"/>
      <c r="QRJ49" s="342"/>
      <c r="QRK49" s="343"/>
      <c r="QRL49" s="344"/>
      <c r="QRM49" s="345"/>
      <c r="QRN49" s="342"/>
      <c r="QRO49" s="343"/>
      <c r="QRP49" s="344"/>
      <c r="QRQ49" s="345"/>
      <c r="QRR49" s="342"/>
      <c r="QRS49" s="343"/>
      <c r="QRT49" s="344"/>
      <c r="QRU49" s="345"/>
      <c r="QRV49" s="342"/>
      <c r="QRW49" s="343"/>
      <c r="QRX49" s="344"/>
      <c r="QRY49" s="345"/>
      <c r="QRZ49" s="342"/>
      <c r="QSA49" s="343"/>
      <c r="QSB49" s="344"/>
      <c r="QSC49" s="345"/>
      <c r="QSD49" s="342"/>
      <c r="QSE49" s="343"/>
      <c r="QSF49" s="344"/>
      <c r="QSG49" s="345"/>
      <c r="QSH49" s="342"/>
      <c r="QSI49" s="343"/>
      <c r="QSJ49" s="344"/>
      <c r="QSK49" s="345"/>
      <c r="QSL49" s="342"/>
      <c r="QSM49" s="343"/>
      <c r="QSN49" s="344"/>
      <c r="QSO49" s="345"/>
      <c r="QSP49" s="342"/>
      <c r="QSQ49" s="343"/>
      <c r="QSR49" s="344"/>
      <c r="QSS49" s="345"/>
      <c r="QST49" s="342"/>
      <c r="QSU49" s="343"/>
      <c r="QSV49" s="344"/>
      <c r="QSW49" s="345"/>
      <c r="QSX49" s="342"/>
      <c r="QSY49" s="343"/>
      <c r="QSZ49" s="344"/>
      <c r="QTA49" s="345"/>
      <c r="QTB49" s="342"/>
      <c r="QTC49" s="343"/>
      <c r="QTD49" s="344"/>
      <c r="QTE49" s="345"/>
      <c r="QTF49" s="342"/>
      <c r="QTG49" s="343"/>
      <c r="QTH49" s="344"/>
      <c r="QTI49" s="345"/>
      <c r="QTJ49" s="342"/>
      <c r="QTK49" s="343"/>
      <c r="QTL49" s="344"/>
      <c r="QTM49" s="345"/>
      <c r="QTN49" s="342"/>
      <c r="QTO49" s="343"/>
      <c r="QTP49" s="344"/>
      <c r="QTQ49" s="345"/>
      <c r="QTR49" s="342"/>
      <c r="QTS49" s="343"/>
      <c r="QTT49" s="344"/>
      <c r="QTU49" s="345"/>
      <c r="QTV49" s="342"/>
      <c r="QTW49" s="343"/>
      <c r="QTX49" s="344"/>
      <c r="QTY49" s="345"/>
      <c r="QTZ49" s="342"/>
      <c r="QUA49" s="343"/>
      <c r="QUB49" s="344"/>
      <c r="QUC49" s="345"/>
      <c r="QUD49" s="342"/>
      <c r="QUE49" s="343"/>
      <c r="QUF49" s="344"/>
      <c r="QUG49" s="345"/>
      <c r="QUH49" s="342"/>
      <c r="QUI49" s="343"/>
      <c r="QUJ49" s="344"/>
      <c r="QUK49" s="345"/>
      <c r="QUL49" s="342"/>
      <c r="QUM49" s="343"/>
      <c r="QUN49" s="344"/>
      <c r="QUO49" s="345"/>
      <c r="QUP49" s="342"/>
      <c r="QUQ49" s="343"/>
      <c r="QUR49" s="344"/>
      <c r="QUS49" s="345"/>
      <c r="QUT49" s="342"/>
      <c r="QUU49" s="343"/>
      <c r="QUV49" s="344"/>
      <c r="QUW49" s="345"/>
      <c r="QUX49" s="342"/>
      <c r="QUY49" s="343"/>
      <c r="QUZ49" s="344"/>
      <c r="QVA49" s="345"/>
      <c r="QVB49" s="342"/>
      <c r="QVC49" s="343"/>
      <c r="QVD49" s="344"/>
      <c r="QVE49" s="345"/>
      <c r="QVF49" s="342"/>
      <c r="QVG49" s="343"/>
      <c r="QVH49" s="344"/>
      <c r="QVI49" s="345"/>
      <c r="QVJ49" s="342"/>
      <c r="QVK49" s="343"/>
      <c r="QVL49" s="344"/>
      <c r="QVM49" s="345"/>
      <c r="QVN49" s="342"/>
      <c r="QVO49" s="343"/>
      <c r="QVP49" s="344"/>
      <c r="QVQ49" s="345"/>
      <c r="QVR49" s="342"/>
      <c r="QVS49" s="343"/>
      <c r="QVT49" s="344"/>
      <c r="QVU49" s="345"/>
      <c r="QVV49" s="342"/>
      <c r="QVW49" s="343"/>
      <c r="QVX49" s="344"/>
      <c r="QVY49" s="345"/>
      <c r="QVZ49" s="342"/>
      <c r="QWA49" s="343"/>
      <c r="QWB49" s="344"/>
      <c r="QWC49" s="345"/>
      <c r="QWD49" s="342"/>
      <c r="QWE49" s="343"/>
      <c r="QWF49" s="344"/>
      <c r="QWG49" s="345"/>
      <c r="QWH49" s="342"/>
      <c r="QWI49" s="343"/>
      <c r="QWJ49" s="344"/>
      <c r="QWK49" s="345"/>
      <c r="QWL49" s="342"/>
      <c r="QWM49" s="343"/>
      <c r="QWN49" s="344"/>
      <c r="QWO49" s="345"/>
      <c r="QWP49" s="342"/>
      <c r="QWQ49" s="343"/>
      <c r="QWR49" s="344"/>
      <c r="QWS49" s="345"/>
      <c r="QWT49" s="342"/>
      <c r="QWU49" s="343"/>
      <c r="QWV49" s="344"/>
      <c r="QWW49" s="345"/>
      <c r="QWX49" s="342"/>
      <c r="QWY49" s="343"/>
      <c r="QWZ49" s="344"/>
      <c r="QXA49" s="345"/>
      <c r="QXB49" s="342"/>
      <c r="QXC49" s="343"/>
      <c r="QXD49" s="344"/>
      <c r="QXE49" s="345"/>
      <c r="QXF49" s="342"/>
      <c r="QXG49" s="343"/>
      <c r="QXH49" s="344"/>
      <c r="QXI49" s="345"/>
      <c r="QXJ49" s="342"/>
      <c r="QXK49" s="343"/>
      <c r="QXL49" s="344"/>
      <c r="QXM49" s="345"/>
      <c r="QXN49" s="342"/>
      <c r="QXO49" s="343"/>
      <c r="QXP49" s="344"/>
      <c r="QXQ49" s="345"/>
      <c r="QXR49" s="342"/>
      <c r="QXS49" s="343"/>
      <c r="QXT49" s="344"/>
      <c r="QXU49" s="345"/>
      <c r="QXV49" s="342"/>
      <c r="QXW49" s="343"/>
      <c r="QXX49" s="344"/>
      <c r="QXY49" s="345"/>
      <c r="QXZ49" s="342"/>
      <c r="QYA49" s="343"/>
      <c r="QYB49" s="344"/>
      <c r="QYC49" s="345"/>
      <c r="QYD49" s="342"/>
      <c r="QYE49" s="343"/>
      <c r="QYF49" s="344"/>
      <c r="QYG49" s="345"/>
      <c r="QYH49" s="342"/>
      <c r="QYI49" s="343"/>
      <c r="QYJ49" s="344"/>
      <c r="QYK49" s="345"/>
      <c r="QYL49" s="342"/>
      <c r="QYM49" s="343"/>
      <c r="QYN49" s="344"/>
      <c r="QYO49" s="345"/>
      <c r="QYP49" s="342"/>
      <c r="QYQ49" s="343"/>
      <c r="QYR49" s="344"/>
      <c r="QYS49" s="345"/>
      <c r="QYT49" s="342"/>
      <c r="QYU49" s="343"/>
      <c r="QYV49" s="344"/>
      <c r="QYW49" s="345"/>
      <c r="QYX49" s="342"/>
      <c r="QYY49" s="343"/>
      <c r="QYZ49" s="344"/>
      <c r="QZA49" s="345"/>
      <c r="QZB49" s="342"/>
      <c r="QZC49" s="343"/>
      <c r="QZD49" s="344"/>
      <c r="QZE49" s="345"/>
      <c r="QZF49" s="342"/>
      <c r="QZG49" s="343"/>
      <c r="QZH49" s="344"/>
      <c r="QZI49" s="345"/>
      <c r="QZJ49" s="342"/>
      <c r="QZK49" s="343"/>
      <c r="QZL49" s="344"/>
      <c r="QZM49" s="345"/>
      <c r="QZN49" s="342"/>
      <c r="QZO49" s="343"/>
      <c r="QZP49" s="344"/>
      <c r="QZQ49" s="345"/>
      <c r="QZR49" s="342"/>
      <c r="QZS49" s="343"/>
      <c r="QZT49" s="344"/>
      <c r="QZU49" s="345"/>
      <c r="QZV49" s="342"/>
      <c r="QZW49" s="343"/>
      <c r="QZX49" s="344"/>
      <c r="QZY49" s="345"/>
      <c r="QZZ49" s="342"/>
      <c r="RAA49" s="343"/>
      <c r="RAB49" s="344"/>
      <c r="RAC49" s="345"/>
      <c r="RAD49" s="342"/>
      <c r="RAE49" s="343"/>
      <c r="RAF49" s="344"/>
      <c r="RAG49" s="345"/>
      <c r="RAH49" s="342"/>
      <c r="RAI49" s="343"/>
      <c r="RAJ49" s="344"/>
      <c r="RAK49" s="345"/>
      <c r="RAL49" s="342"/>
      <c r="RAM49" s="343"/>
      <c r="RAN49" s="344"/>
      <c r="RAO49" s="345"/>
      <c r="RAP49" s="342"/>
      <c r="RAQ49" s="343"/>
      <c r="RAR49" s="344"/>
      <c r="RAS49" s="345"/>
      <c r="RAT49" s="342"/>
      <c r="RAU49" s="343"/>
      <c r="RAV49" s="344"/>
      <c r="RAW49" s="345"/>
      <c r="RAX49" s="342"/>
      <c r="RAY49" s="343"/>
      <c r="RAZ49" s="344"/>
      <c r="RBA49" s="345"/>
      <c r="RBB49" s="342"/>
      <c r="RBC49" s="343"/>
      <c r="RBD49" s="344"/>
      <c r="RBE49" s="345"/>
      <c r="RBF49" s="342"/>
      <c r="RBG49" s="343"/>
      <c r="RBH49" s="344"/>
      <c r="RBI49" s="345"/>
      <c r="RBJ49" s="342"/>
      <c r="RBK49" s="343"/>
      <c r="RBL49" s="344"/>
      <c r="RBM49" s="345"/>
      <c r="RBN49" s="342"/>
      <c r="RBO49" s="343"/>
      <c r="RBP49" s="344"/>
      <c r="RBQ49" s="345"/>
      <c r="RBR49" s="342"/>
      <c r="RBS49" s="343"/>
      <c r="RBT49" s="344"/>
      <c r="RBU49" s="345"/>
      <c r="RBV49" s="342"/>
      <c r="RBW49" s="343"/>
      <c r="RBX49" s="344"/>
      <c r="RBY49" s="345"/>
      <c r="RBZ49" s="342"/>
      <c r="RCA49" s="343"/>
      <c r="RCB49" s="344"/>
      <c r="RCC49" s="345"/>
      <c r="RCD49" s="342"/>
      <c r="RCE49" s="343"/>
      <c r="RCF49" s="344"/>
      <c r="RCG49" s="345"/>
      <c r="RCH49" s="342"/>
      <c r="RCI49" s="343"/>
      <c r="RCJ49" s="344"/>
      <c r="RCK49" s="345"/>
      <c r="RCL49" s="342"/>
      <c r="RCM49" s="343"/>
      <c r="RCN49" s="344"/>
      <c r="RCO49" s="345"/>
      <c r="RCP49" s="342"/>
      <c r="RCQ49" s="343"/>
      <c r="RCR49" s="344"/>
      <c r="RCS49" s="345"/>
      <c r="RCT49" s="342"/>
      <c r="RCU49" s="343"/>
      <c r="RCV49" s="344"/>
      <c r="RCW49" s="345"/>
      <c r="RCX49" s="342"/>
      <c r="RCY49" s="343"/>
      <c r="RCZ49" s="344"/>
      <c r="RDA49" s="345"/>
      <c r="RDB49" s="342"/>
      <c r="RDC49" s="343"/>
      <c r="RDD49" s="344"/>
      <c r="RDE49" s="345"/>
      <c r="RDF49" s="342"/>
      <c r="RDG49" s="343"/>
      <c r="RDH49" s="344"/>
      <c r="RDI49" s="345"/>
      <c r="RDJ49" s="342"/>
      <c r="RDK49" s="343"/>
      <c r="RDL49" s="344"/>
      <c r="RDM49" s="345"/>
      <c r="RDN49" s="342"/>
      <c r="RDO49" s="343"/>
      <c r="RDP49" s="344"/>
      <c r="RDQ49" s="345"/>
      <c r="RDR49" s="342"/>
      <c r="RDS49" s="343"/>
      <c r="RDT49" s="344"/>
      <c r="RDU49" s="345"/>
      <c r="RDV49" s="342"/>
      <c r="RDW49" s="343"/>
      <c r="RDX49" s="344"/>
      <c r="RDY49" s="345"/>
      <c r="RDZ49" s="342"/>
      <c r="REA49" s="343"/>
      <c r="REB49" s="344"/>
      <c r="REC49" s="345"/>
      <c r="RED49" s="342"/>
      <c r="REE49" s="343"/>
      <c r="REF49" s="344"/>
      <c r="REG49" s="345"/>
      <c r="REH49" s="342"/>
      <c r="REI49" s="343"/>
      <c r="REJ49" s="344"/>
      <c r="REK49" s="345"/>
      <c r="REL49" s="342"/>
      <c r="REM49" s="343"/>
      <c r="REN49" s="344"/>
      <c r="REO49" s="345"/>
      <c r="REP49" s="342"/>
      <c r="REQ49" s="343"/>
      <c r="RER49" s="344"/>
      <c r="RES49" s="345"/>
      <c r="RET49" s="342"/>
      <c r="REU49" s="343"/>
      <c r="REV49" s="344"/>
      <c r="REW49" s="345"/>
      <c r="REX49" s="342"/>
      <c r="REY49" s="343"/>
      <c r="REZ49" s="344"/>
      <c r="RFA49" s="345"/>
      <c r="RFB49" s="342"/>
      <c r="RFC49" s="343"/>
      <c r="RFD49" s="344"/>
      <c r="RFE49" s="345"/>
      <c r="RFF49" s="342"/>
      <c r="RFG49" s="343"/>
      <c r="RFH49" s="344"/>
      <c r="RFI49" s="345"/>
      <c r="RFJ49" s="342"/>
      <c r="RFK49" s="343"/>
      <c r="RFL49" s="344"/>
      <c r="RFM49" s="345"/>
      <c r="RFN49" s="342"/>
      <c r="RFO49" s="343"/>
      <c r="RFP49" s="344"/>
      <c r="RFQ49" s="345"/>
      <c r="RFR49" s="342"/>
      <c r="RFS49" s="343"/>
      <c r="RFT49" s="344"/>
      <c r="RFU49" s="345"/>
      <c r="RFV49" s="342"/>
      <c r="RFW49" s="343"/>
      <c r="RFX49" s="344"/>
      <c r="RFY49" s="345"/>
      <c r="RFZ49" s="342"/>
      <c r="RGA49" s="343"/>
      <c r="RGB49" s="344"/>
      <c r="RGC49" s="345"/>
      <c r="RGD49" s="342"/>
      <c r="RGE49" s="343"/>
      <c r="RGF49" s="344"/>
      <c r="RGG49" s="345"/>
      <c r="RGH49" s="342"/>
      <c r="RGI49" s="343"/>
      <c r="RGJ49" s="344"/>
      <c r="RGK49" s="345"/>
      <c r="RGL49" s="342"/>
      <c r="RGM49" s="343"/>
      <c r="RGN49" s="344"/>
      <c r="RGO49" s="345"/>
      <c r="RGP49" s="342"/>
      <c r="RGQ49" s="343"/>
      <c r="RGR49" s="344"/>
      <c r="RGS49" s="345"/>
      <c r="RGT49" s="342"/>
      <c r="RGU49" s="343"/>
      <c r="RGV49" s="344"/>
      <c r="RGW49" s="345"/>
      <c r="RGX49" s="342"/>
      <c r="RGY49" s="343"/>
      <c r="RGZ49" s="344"/>
      <c r="RHA49" s="345"/>
      <c r="RHB49" s="342"/>
      <c r="RHC49" s="343"/>
      <c r="RHD49" s="344"/>
      <c r="RHE49" s="345"/>
      <c r="RHF49" s="342"/>
      <c r="RHG49" s="343"/>
      <c r="RHH49" s="344"/>
      <c r="RHI49" s="345"/>
      <c r="RHJ49" s="342"/>
      <c r="RHK49" s="343"/>
      <c r="RHL49" s="344"/>
      <c r="RHM49" s="345"/>
      <c r="RHN49" s="342"/>
      <c r="RHO49" s="343"/>
      <c r="RHP49" s="344"/>
      <c r="RHQ49" s="345"/>
      <c r="RHR49" s="342"/>
      <c r="RHS49" s="343"/>
      <c r="RHT49" s="344"/>
      <c r="RHU49" s="345"/>
      <c r="RHV49" s="342"/>
      <c r="RHW49" s="343"/>
      <c r="RHX49" s="344"/>
      <c r="RHY49" s="345"/>
      <c r="RHZ49" s="342"/>
      <c r="RIA49" s="343"/>
      <c r="RIB49" s="344"/>
      <c r="RIC49" s="345"/>
      <c r="RID49" s="342"/>
      <c r="RIE49" s="343"/>
      <c r="RIF49" s="344"/>
      <c r="RIG49" s="345"/>
      <c r="RIH49" s="342"/>
      <c r="RII49" s="343"/>
      <c r="RIJ49" s="344"/>
      <c r="RIK49" s="345"/>
      <c r="RIL49" s="342"/>
      <c r="RIM49" s="343"/>
      <c r="RIN49" s="344"/>
      <c r="RIO49" s="345"/>
      <c r="RIP49" s="342"/>
      <c r="RIQ49" s="343"/>
      <c r="RIR49" s="344"/>
      <c r="RIS49" s="345"/>
      <c r="RIT49" s="342"/>
      <c r="RIU49" s="343"/>
      <c r="RIV49" s="344"/>
      <c r="RIW49" s="345"/>
      <c r="RIX49" s="342"/>
      <c r="RIY49" s="343"/>
      <c r="RIZ49" s="344"/>
      <c r="RJA49" s="345"/>
      <c r="RJB49" s="342"/>
      <c r="RJC49" s="343"/>
      <c r="RJD49" s="344"/>
      <c r="RJE49" s="345"/>
      <c r="RJF49" s="342"/>
      <c r="RJG49" s="343"/>
      <c r="RJH49" s="344"/>
      <c r="RJI49" s="345"/>
      <c r="RJJ49" s="342"/>
      <c r="RJK49" s="343"/>
      <c r="RJL49" s="344"/>
      <c r="RJM49" s="345"/>
      <c r="RJN49" s="342"/>
      <c r="RJO49" s="343"/>
      <c r="RJP49" s="344"/>
      <c r="RJQ49" s="345"/>
      <c r="RJR49" s="342"/>
      <c r="RJS49" s="343"/>
      <c r="RJT49" s="344"/>
      <c r="RJU49" s="345"/>
      <c r="RJV49" s="342"/>
      <c r="RJW49" s="343"/>
      <c r="RJX49" s="344"/>
      <c r="RJY49" s="345"/>
      <c r="RJZ49" s="342"/>
      <c r="RKA49" s="343"/>
      <c r="RKB49" s="344"/>
      <c r="RKC49" s="345"/>
      <c r="RKD49" s="342"/>
      <c r="RKE49" s="343"/>
      <c r="RKF49" s="344"/>
      <c r="RKG49" s="345"/>
      <c r="RKH49" s="342"/>
      <c r="RKI49" s="343"/>
      <c r="RKJ49" s="344"/>
      <c r="RKK49" s="345"/>
      <c r="RKL49" s="342"/>
      <c r="RKM49" s="343"/>
      <c r="RKN49" s="344"/>
      <c r="RKO49" s="345"/>
      <c r="RKP49" s="342"/>
      <c r="RKQ49" s="343"/>
      <c r="RKR49" s="344"/>
      <c r="RKS49" s="345"/>
      <c r="RKT49" s="342"/>
      <c r="RKU49" s="343"/>
      <c r="RKV49" s="344"/>
      <c r="RKW49" s="345"/>
      <c r="RKX49" s="342"/>
      <c r="RKY49" s="343"/>
      <c r="RKZ49" s="344"/>
      <c r="RLA49" s="345"/>
      <c r="RLB49" s="342"/>
      <c r="RLC49" s="343"/>
      <c r="RLD49" s="344"/>
      <c r="RLE49" s="345"/>
      <c r="RLF49" s="342"/>
      <c r="RLG49" s="343"/>
      <c r="RLH49" s="344"/>
      <c r="RLI49" s="345"/>
      <c r="RLJ49" s="342"/>
      <c r="RLK49" s="343"/>
      <c r="RLL49" s="344"/>
      <c r="RLM49" s="345"/>
      <c r="RLN49" s="342"/>
      <c r="RLO49" s="343"/>
      <c r="RLP49" s="344"/>
      <c r="RLQ49" s="345"/>
      <c r="RLR49" s="342"/>
      <c r="RLS49" s="343"/>
      <c r="RLT49" s="344"/>
      <c r="RLU49" s="345"/>
      <c r="RLV49" s="342"/>
      <c r="RLW49" s="343"/>
      <c r="RLX49" s="344"/>
      <c r="RLY49" s="345"/>
      <c r="RLZ49" s="342"/>
      <c r="RMA49" s="343"/>
      <c r="RMB49" s="344"/>
      <c r="RMC49" s="345"/>
      <c r="RMD49" s="342"/>
      <c r="RME49" s="343"/>
      <c r="RMF49" s="344"/>
      <c r="RMG49" s="345"/>
      <c r="RMH49" s="342"/>
      <c r="RMI49" s="343"/>
      <c r="RMJ49" s="344"/>
      <c r="RMK49" s="345"/>
      <c r="RML49" s="342"/>
      <c r="RMM49" s="343"/>
      <c r="RMN49" s="344"/>
      <c r="RMO49" s="345"/>
      <c r="RMP49" s="342"/>
      <c r="RMQ49" s="343"/>
      <c r="RMR49" s="344"/>
      <c r="RMS49" s="345"/>
      <c r="RMT49" s="342"/>
      <c r="RMU49" s="343"/>
      <c r="RMV49" s="344"/>
      <c r="RMW49" s="345"/>
      <c r="RMX49" s="342"/>
      <c r="RMY49" s="343"/>
      <c r="RMZ49" s="344"/>
      <c r="RNA49" s="345"/>
      <c r="RNB49" s="342"/>
      <c r="RNC49" s="343"/>
      <c r="RND49" s="344"/>
      <c r="RNE49" s="345"/>
      <c r="RNF49" s="342"/>
      <c r="RNG49" s="343"/>
      <c r="RNH49" s="344"/>
      <c r="RNI49" s="345"/>
      <c r="RNJ49" s="342"/>
      <c r="RNK49" s="343"/>
      <c r="RNL49" s="344"/>
      <c r="RNM49" s="345"/>
      <c r="RNN49" s="342"/>
      <c r="RNO49" s="343"/>
      <c r="RNP49" s="344"/>
      <c r="RNQ49" s="345"/>
      <c r="RNR49" s="342"/>
      <c r="RNS49" s="343"/>
      <c r="RNT49" s="344"/>
      <c r="RNU49" s="345"/>
      <c r="RNV49" s="342"/>
      <c r="RNW49" s="343"/>
      <c r="RNX49" s="344"/>
      <c r="RNY49" s="345"/>
      <c r="RNZ49" s="342"/>
      <c r="ROA49" s="343"/>
      <c r="ROB49" s="344"/>
      <c r="ROC49" s="345"/>
      <c r="ROD49" s="342"/>
      <c r="ROE49" s="343"/>
      <c r="ROF49" s="344"/>
      <c r="ROG49" s="345"/>
      <c r="ROH49" s="342"/>
      <c r="ROI49" s="343"/>
      <c r="ROJ49" s="344"/>
      <c r="ROK49" s="345"/>
      <c r="ROL49" s="342"/>
      <c r="ROM49" s="343"/>
      <c r="RON49" s="344"/>
      <c r="ROO49" s="345"/>
      <c r="ROP49" s="342"/>
      <c r="ROQ49" s="343"/>
      <c r="ROR49" s="344"/>
      <c r="ROS49" s="345"/>
      <c r="ROT49" s="342"/>
      <c r="ROU49" s="343"/>
      <c r="ROV49" s="344"/>
      <c r="ROW49" s="345"/>
      <c r="ROX49" s="342"/>
      <c r="ROY49" s="343"/>
      <c r="ROZ49" s="344"/>
      <c r="RPA49" s="345"/>
      <c r="RPB49" s="342"/>
      <c r="RPC49" s="343"/>
      <c r="RPD49" s="344"/>
      <c r="RPE49" s="345"/>
      <c r="RPF49" s="342"/>
      <c r="RPG49" s="343"/>
      <c r="RPH49" s="344"/>
      <c r="RPI49" s="345"/>
      <c r="RPJ49" s="342"/>
      <c r="RPK49" s="343"/>
      <c r="RPL49" s="344"/>
      <c r="RPM49" s="345"/>
      <c r="RPN49" s="342"/>
      <c r="RPO49" s="343"/>
      <c r="RPP49" s="344"/>
      <c r="RPQ49" s="345"/>
      <c r="RPR49" s="342"/>
      <c r="RPS49" s="343"/>
      <c r="RPT49" s="344"/>
      <c r="RPU49" s="345"/>
      <c r="RPV49" s="342"/>
      <c r="RPW49" s="343"/>
      <c r="RPX49" s="344"/>
      <c r="RPY49" s="345"/>
      <c r="RPZ49" s="342"/>
      <c r="RQA49" s="343"/>
      <c r="RQB49" s="344"/>
      <c r="RQC49" s="345"/>
      <c r="RQD49" s="342"/>
      <c r="RQE49" s="343"/>
      <c r="RQF49" s="344"/>
      <c r="RQG49" s="345"/>
      <c r="RQH49" s="342"/>
      <c r="RQI49" s="343"/>
      <c r="RQJ49" s="344"/>
      <c r="RQK49" s="345"/>
      <c r="RQL49" s="342"/>
      <c r="RQM49" s="343"/>
      <c r="RQN49" s="344"/>
      <c r="RQO49" s="345"/>
      <c r="RQP49" s="342"/>
      <c r="RQQ49" s="343"/>
      <c r="RQR49" s="344"/>
      <c r="RQS49" s="345"/>
      <c r="RQT49" s="342"/>
      <c r="RQU49" s="343"/>
      <c r="RQV49" s="344"/>
      <c r="RQW49" s="345"/>
      <c r="RQX49" s="342"/>
      <c r="RQY49" s="343"/>
      <c r="RQZ49" s="344"/>
      <c r="RRA49" s="345"/>
      <c r="RRB49" s="342"/>
      <c r="RRC49" s="343"/>
      <c r="RRD49" s="344"/>
      <c r="RRE49" s="345"/>
      <c r="RRF49" s="342"/>
      <c r="RRG49" s="343"/>
      <c r="RRH49" s="344"/>
      <c r="RRI49" s="345"/>
      <c r="RRJ49" s="342"/>
      <c r="RRK49" s="343"/>
      <c r="RRL49" s="344"/>
      <c r="RRM49" s="345"/>
      <c r="RRN49" s="342"/>
      <c r="RRO49" s="343"/>
      <c r="RRP49" s="344"/>
      <c r="RRQ49" s="345"/>
      <c r="RRR49" s="342"/>
      <c r="RRS49" s="343"/>
      <c r="RRT49" s="344"/>
      <c r="RRU49" s="345"/>
      <c r="RRV49" s="342"/>
      <c r="RRW49" s="343"/>
      <c r="RRX49" s="344"/>
      <c r="RRY49" s="345"/>
      <c r="RRZ49" s="342"/>
      <c r="RSA49" s="343"/>
      <c r="RSB49" s="344"/>
      <c r="RSC49" s="345"/>
      <c r="RSD49" s="342"/>
      <c r="RSE49" s="343"/>
      <c r="RSF49" s="344"/>
      <c r="RSG49" s="345"/>
      <c r="RSH49" s="342"/>
      <c r="RSI49" s="343"/>
      <c r="RSJ49" s="344"/>
      <c r="RSK49" s="345"/>
      <c r="RSL49" s="342"/>
      <c r="RSM49" s="343"/>
      <c r="RSN49" s="344"/>
      <c r="RSO49" s="345"/>
      <c r="RSP49" s="342"/>
      <c r="RSQ49" s="343"/>
      <c r="RSR49" s="344"/>
      <c r="RSS49" s="345"/>
      <c r="RST49" s="342"/>
      <c r="RSU49" s="343"/>
      <c r="RSV49" s="344"/>
      <c r="RSW49" s="345"/>
      <c r="RSX49" s="342"/>
      <c r="RSY49" s="343"/>
      <c r="RSZ49" s="344"/>
      <c r="RTA49" s="345"/>
      <c r="RTB49" s="342"/>
      <c r="RTC49" s="343"/>
      <c r="RTD49" s="344"/>
      <c r="RTE49" s="345"/>
      <c r="RTF49" s="342"/>
      <c r="RTG49" s="343"/>
      <c r="RTH49" s="344"/>
      <c r="RTI49" s="345"/>
      <c r="RTJ49" s="342"/>
      <c r="RTK49" s="343"/>
      <c r="RTL49" s="344"/>
      <c r="RTM49" s="345"/>
      <c r="RTN49" s="342"/>
      <c r="RTO49" s="343"/>
      <c r="RTP49" s="344"/>
      <c r="RTQ49" s="345"/>
      <c r="RTR49" s="342"/>
      <c r="RTS49" s="343"/>
      <c r="RTT49" s="344"/>
      <c r="RTU49" s="345"/>
      <c r="RTV49" s="342"/>
      <c r="RTW49" s="343"/>
      <c r="RTX49" s="344"/>
      <c r="RTY49" s="345"/>
      <c r="RTZ49" s="342"/>
      <c r="RUA49" s="343"/>
      <c r="RUB49" s="344"/>
      <c r="RUC49" s="345"/>
      <c r="RUD49" s="342"/>
      <c r="RUE49" s="343"/>
      <c r="RUF49" s="344"/>
      <c r="RUG49" s="345"/>
      <c r="RUH49" s="342"/>
      <c r="RUI49" s="343"/>
      <c r="RUJ49" s="344"/>
      <c r="RUK49" s="345"/>
      <c r="RUL49" s="342"/>
      <c r="RUM49" s="343"/>
      <c r="RUN49" s="344"/>
      <c r="RUO49" s="345"/>
      <c r="RUP49" s="342"/>
      <c r="RUQ49" s="343"/>
      <c r="RUR49" s="344"/>
      <c r="RUS49" s="345"/>
      <c r="RUT49" s="342"/>
      <c r="RUU49" s="343"/>
      <c r="RUV49" s="344"/>
      <c r="RUW49" s="345"/>
      <c r="RUX49" s="342"/>
      <c r="RUY49" s="343"/>
      <c r="RUZ49" s="344"/>
      <c r="RVA49" s="345"/>
      <c r="RVB49" s="342"/>
      <c r="RVC49" s="343"/>
      <c r="RVD49" s="344"/>
      <c r="RVE49" s="345"/>
      <c r="RVF49" s="342"/>
      <c r="RVG49" s="343"/>
      <c r="RVH49" s="344"/>
      <c r="RVI49" s="345"/>
      <c r="RVJ49" s="342"/>
      <c r="RVK49" s="343"/>
      <c r="RVL49" s="344"/>
      <c r="RVM49" s="345"/>
      <c r="RVN49" s="342"/>
      <c r="RVO49" s="343"/>
      <c r="RVP49" s="344"/>
      <c r="RVQ49" s="345"/>
      <c r="RVR49" s="342"/>
      <c r="RVS49" s="343"/>
      <c r="RVT49" s="344"/>
      <c r="RVU49" s="345"/>
      <c r="RVV49" s="342"/>
      <c r="RVW49" s="343"/>
      <c r="RVX49" s="344"/>
      <c r="RVY49" s="345"/>
      <c r="RVZ49" s="342"/>
      <c r="RWA49" s="343"/>
      <c r="RWB49" s="344"/>
      <c r="RWC49" s="345"/>
      <c r="RWD49" s="342"/>
      <c r="RWE49" s="343"/>
      <c r="RWF49" s="344"/>
      <c r="RWG49" s="345"/>
      <c r="RWH49" s="342"/>
      <c r="RWI49" s="343"/>
      <c r="RWJ49" s="344"/>
      <c r="RWK49" s="345"/>
      <c r="RWL49" s="342"/>
      <c r="RWM49" s="343"/>
      <c r="RWN49" s="344"/>
      <c r="RWO49" s="345"/>
      <c r="RWP49" s="342"/>
      <c r="RWQ49" s="343"/>
      <c r="RWR49" s="344"/>
      <c r="RWS49" s="345"/>
      <c r="RWT49" s="342"/>
      <c r="RWU49" s="343"/>
      <c r="RWV49" s="344"/>
      <c r="RWW49" s="345"/>
      <c r="RWX49" s="342"/>
      <c r="RWY49" s="343"/>
      <c r="RWZ49" s="344"/>
      <c r="RXA49" s="345"/>
      <c r="RXB49" s="342"/>
      <c r="RXC49" s="343"/>
      <c r="RXD49" s="344"/>
      <c r="RXE49" s="345"/>
      <c r="RXF49" s="342"/>
      <c r="RXG49" s="343"/>
      <c r="RXH49" s="344"/>
      <c r="RXI49" s="345"/>
      <c r="RXJ49" s="342"/>
      <c r="RXK49" s="343"/>
      <c r="RXL49" s="344"/>
      <c r="RXM49" s="345"/>
      <c r="RXN49" s="342"/>
      <c r="RXO49" s="343"/>
      <c r="RXP49" s="344"/>
      <c r="RXQ49" s="345"/>
      <c r="RXR49" s="342"/>
      <c r="RXS49" s="343"/>
      <c r="RXT49" s="344"/>
      <c r="RXU49" s="345"/>
      <c r="RXV49" s="342"/>
      <c r="RXW49" s="343"/>
      <c r="RXX49" s="344"/>
      <c r="RXY49" s="345"/>
      <c r="RXZ49" s="342"/>
      <c r="RYA49" s="343"/>
      <c r="RYB49" s="344"/>
      <c r="RYC49" s="345"/>
      <c r="RYD49" s="342"/>
      <c r="RYE49" s="343"/>
      <c r="RYF49" s="344"/>
      <c r="RYG49" s="345"/>
      <c r="RYH49" s="342"/>
      <c r="RYI49" s="343"/>
      <c r="RYJ49" s="344"/>
      <c r="RYK49" s="345"/>
      <c r="RYL49" s="342"/>
      <c r="RYM49" s="343"/>
      <c r="RYN49" s="344"/>
      <c r="RYO49" s="345"/>
      <c r="RYP49" s="342"/>
      <c r="RYQ49" s="343"/>
      <c r="RYR49" s="344"/>
      <c r="RYS49" s="345"/>
      <c r="RYT49" s="342"/>
      <c r="RYU49" s="343"/>
      <c r="RYV49" s="344"/>
      <c r="RYW49" s="345"/>
      <c r="RYX49" s="342"/>
      <c r="RYY49" s="343"/>
      <c r="RYZ49" s="344"/>
      <c r="RZA49" s="345"/>
      <c r="RZB49" s="342"/>
      <c r="RZC49" s="343"/>
      <c r="RZD49" s="344"/>
      <c r="RZE49" s="345"/>
      <c r="RZF49" s="342"/>
      <c r="RZG49" s="343"/>
      <c r="RZH49" s="344"/>
      <c r="RZI49" s="345"/>
      <c r="RZJ49" s="342"/>
      <c r="RZK49" s="343"/>
      <c r="RZL49" s="344"/>
      <c r="RZM49" s="345"/>
      <c r="RZN49" s="342"/>
      <c r="RZO49" s="343"/>
      <c r="RZP49" s="344"/>
      <c r="RZQ49" s="345"/>
      <c r="RZR49" s="342"/>
      <c r="RZS49" s="343"/>
      <c r="RZT49" s="344"/>
      <c r="RZU49" s="345"/>
      <c r="RZV49" s="342"/>
      <c r="RZW49" s="343"/>
      <c r="RZX49" s="344"/>
      <c r="RZY49" s="345"/>
      <c r="RZZ49" s="342"/>
      <c r="SAA49" s="343"/>
      <c r="SAB49" s="344"/>
      <c r="SAC49" s="345"/>
      <c r="SAD49" s="342"/>
      <c r="SAE49" s="343"/>
      <c r="SAF49" s="344"/>
      <c r="SAG49" s="345"/>
      <c r="SAH49" s="342"/>
      <c r="SAI49" s="343"/>
      <c r="SAJ49" s="344"/>
      <c r="SAK49" s="345"/>
      <c r="SAL49" s="342"/>
      <c r="SAM49" s="343"/>
      <c r="SAN49" s="344"/>
      <c r="SAO49" s="345"/>
      <c r="SAP49" s="342"/>
      <c r="SAQ49" s="343"/>
      <c r="SAR49" s="344"/>
      <c r="SAS49" s="345"/>
      <c r="SAT49" s="342"/>
      <c r="SAU49" s="343"/>
      <c r="SAV49" s="344"/>
      <c r="SAW49" s="345"/>
      <c r="SAX49" s="342"/>
      <c r="SAY49" s="343"/>
      <c r="SAZ49" s="344"/>
      <c r="SBA49" s="345"/>
      <c r="SBB49" s="342"/>
      <c r="SBC49" s="343"/>
      <c r="SBD49" s="344"/>
      <c r="SBE49" s="345"/>
      <c r="SBF49" s="342"/>
      <c r="SBG49" s="343"/>
      <c r="SBH49" s="344"/>
      <c r="SBI49" s="345"/>
      <c r="SBJ49" s="342"/>
      <c r="SBK49" s="343"/>
      <c r="SBL49" s="344"/>
      <c r="SBM49" s="345"/>
      <c r="SBN49" s="342"/>
      <c r="SBO49" s="343"/>
      <c r="SBP49" s="344"/>
      <c r="SBQ49" s="345"/>
      <c r="SBR49" s="342"/>
      <c r="SBS49" s="343"/>
      <c r="SBT49" s="344"/>
      <c r="SBU49" s="345"/>
      <c r="SBV49" s="342"/>
      <c r="SBW49" s="343"/>
      <c r="SBX49" s="344"/>
      <c r="SBY49" s="345"/>
      <c r="SBZ49" s="342"/>
      <c r="SCA49" s="343"/>
      <c r="SCB49" s="344"/>
      <c r="SCC49" s="345"/>
      <c r="SCD49" s="342"/>
      <c r="SCE49" s="343"/>
      <c r="SCF49" s="344"/>
      <c r="SCG49" s="345"/>
      <c r="SCH49" s="342"/>
      <c r="SCI49" s="343"/>
      <c r="SCJ49" s="344"/>
      <c r="SCK49" s="345"/>
      <c r="SCL49" s="342"/>
      <c r="SCM49" s="343"/>
      <c r="SCN49" s="344"/>
      <c r="SCO49" s="345"/>
      <c r="SCP49" s="342"/>
      <c r="SCQ49" s="343"/>
      <c r="SCR49" s="344"/>
      <c r="SCS49" s="345"/>
      <c r="SCT49" s="342"/>
      <c r="SCU49" s="343"/>
      <c r="SCV49" s="344"/>
      <c r="SCW49" s="345"/>
      <c r="SCX49" s="342"/>
      <c r="SCY49" s="343"/>
      <c r="SCZ49" s="344"/>
      <c r="SDA49" s="345"/>
      <c r="SDB49" s="342"/>
      <c r="SDC49" s="343"/>
      <c r="SDD49" s="344"/>
      <c r="SDE49" s="345"/>
      <c r="SDF49" s="342"/>
      <c r="SDG49" s="343"/>
      <c r="SDH49" s="344"/>
      <c r="SDI49" s="345"/>
      <c r="SDJ49" s="342"/>
      <c r="SDK49" s="343"/>
      <c r="SDL49" s="344"/>
      <c r="SDM49" s="345"/>
      <c r="SDN49" s="342"/>
      <c r="SDO49" s="343"/>
      <c r="SDP49" s="344"/>
      <c r="SDQ49" s="345"/>
      <c r="SDR49" s="342"/>
      <c r="SDS49" s="343"/>
      <c r="SDT49" s="344"/>
      <c r="SDU49" s="345"/>
      <c r="SDV49" s="342"/>
      <c r="SDW49" s="343"/>
      <c r="SDX49" s="344"/>
      <c r="SDY49" s="345"/>
      <c r="SDZ49" s="342"/>
      <c r="SEA49" s="343"/>
      <c r="SEB49" s="344"/>
      <c r="SEC49" s="345"/>
      <c r="SED49" s="342"/>
      <c r="SEE49" s="343"/>
      <c r="SEF49" s="344"/>
      <c r="SEG49" s="345"/>
      <c r="SEH49" s="342"/>
      <c r="SEI49" s="343"/>
      <c r="SEJ49" s="344"/>
      <c r="SEK49" s="345"/>
      <c r="SEL49" s="342"/>
      <c r="SEM49" s="343"/>
      <c r="SEN49" s="344"/>
      <c r="SEO49" s="345"/>
      <c r="SEP49" s="342"/>
      <c r="SEQ49" s="343"/>
      <c r="SER49" s="344"/>
      <c r="SES49" s="345"/>
      <c r="SET49" s="342"/>
      <c r="SEU49" s="343"/>
      <c r="SEV49" s="344"/>
      <c r="SEW49" s="345"/>
      <c r="SEX49" s="342"/>
      <c r="SEY49" s="343"/>
      <c r="SEZ49" s="344"/>
      <c r="SFA49" s="345"/>
      <c r="SFB49" s="342"/>
      <c r="SFC49" s="343"/>
      <c r="SFD49" s="344"/>
      <c r="SFE49" s="345"/>
      <c r="SFF49" s="342"/>
      <c r="SFG49" s="343"/>
      <c r="SFH49" s="344"/>
      <c r="SFI49" s="345"/>
      <c r="SFJ49" s="342"/>
      <c r="SFK49" s="343"/>
      <c r="SFL49" s="344"/>
      <c r="SFM49" s="345"/>
      <c r="SFN49" s="342"/>
      <c r="SFO49" s="343"/>
      <c r="SFP49" s="344"/>
      <c r="SFQ49" s="345"/>
      <c r="SFR49" s="342"/>
      <c r="SFS49" s="343"/>
      <c r="SFT49" s="344"/>
      <c r="SFU49" s="345"/>
      <c r="SFV49" s="342"/>
      <c r="SFW49" s="343"/>
      <c r="SFX49" s="344"/>
      <c r="SFY49" s="345"/>
      <c r="SFZ49" s="342"/>
      <c r="SGA49" s="343"/>
      <c r="SGB49" s="344"/>
      <c r="SGC49" s="345"/>
      <c r="SGD49" s="342"/>
      <c r="SGE49" s="343"/>
      <c r="SGF49" s="344"/>
      <c r="SGG49" s="345"/>
      <c r="SGH49" s="342"/>
      <c r="SGI49" s="343"/>
      <c r="SGJ49" s="344"/>
      <c r="SGK49" s="345"/>
      <c r="SGL49" s="342"/>
      <c r="SGM49" s="343"/>
      <c r="SGN49" s="344"/>
      <c r="SGO49" s="345"/>
      <c r="SGP49" s="342"/>
      <c r="SGQ49" s="343"/>
      <c r="SGR49" s="344"/>
      <c r="SGS49" s="345"/>
      <c r="SGT49" s="342"/>
      <c r="SGU49" s="343"/>
      <c r="SGV49" s="344"/>
      <c r="SGW49" s="345"/>
      <c r="SGX49" s="342"/>
      <c r="SGY49" s="343"/>
      <c r="SGZ49" s="344"/>
      <c r="SHA49" s="345"/>
      <c r="SHB49" s="342"/>
      <c r="SHC49" s="343"/>
      <c r="SHD49" s="344"/>
      <c r="SHE49" s="345"/>
      <c r="SHF49" s="342"/>
      <c r="SHG49" s="343"/>
      <c r="SHH49" s="344"/>
      <c r="SHI49" s="345"/>
      <c r="SHJ49" s="342"/>
      <c r="SHK49" s="343"/>
      <c r="SHL49" s="344"/>
      <c r="SHM49" s="345"/>
      <c r="SHN49" s="342"/>
      <c r="SHO49" s="343"/>
      <c r="SHP49" s="344"/>
      <c r="SHQ49" s="345"/>
      <c r="SHR49" s="342"/>
      <c r="SHS49" s="343"/>
      <c r="SHT49" s="344"/>
      <c r="SHU49" s="345"/>
      <c r="SHV49" s="342"/>
      <c r="SHW49" s="343"/>
      <c r="SHX49" s="344"/>
      <c r="SHY49" s="345"/>
      <c r="SHZ49" s="342"/>
      <c r="SIA49" s="343"/>
      <c r="SIB49" s="344"/>
      <c r="SIC49" s="345"/>
      <c r="SID49" s="342"/>
      <c r="SIE49" s="343"/>
      <c r="SIF49" s="344"/>
      <c r="SIG49" s="345"/>
      <c r="SIH49" s="342"/>
      <c r="SII49" s="343"/>
      <c r="SIJ49" s="344"/>
      <c r="SIK49" s="345"/>
      <c r="SIL49" s="342"/>
      <c r="SIM49" s="343"/>
      <c r="SIN49" s="344"/>
      <c r="SIO49" s="345"/>
      <c r="SIP49" s="342"/>
      <c r="SIQ49" s="343"/>
      <c r="SIR49" s="344"/>
      <c r="SIS49" s="345"/>
      <c r="SIT49" s="342"/>
      <c r="SIU49" s="343"/>
      <c r="SIV49" s="344"/>
      <c r="SIW49" s="345"/>
      <c r="SIX49" s="342"/>
      <c r="SIY49" s="343"/>
      <c r="SIZ49" s="344"/>
      <c r="SJA49" s="345"/>
      <c r="SJB49" s="342"/>
      <c r="SJC49" s="343"/>
      <c r="SJD49" s="344"/>
      <c r="SJE49" s="345"/>
      <c r="SJF49" s="342"/>
      <c r="SJG49" s="343"/>
      <c r="SJH49" s="344"/>
      <c r="SJI49" s="345"/>
      <c r="SJJ49" s="342"/>
      <c r="SJK49" s="343"/>
      <c r="SJL49" s="344"/>
      <c r="SJM49" s="345"/>
      <c r="SJN49" s="342"/>
      <c r="SJO49" s="343"/>
      <c r="SJP49" s="344"/>
      <c r="SJQ49" s="345"/>
      <c r="SJR49" s="342"/>
      <c r="SJS49" s="343"/>
      <c r="SJT49" s="344"/>
      <c r="SJU49" s="345"/>
      <c r="SJV49" s="342"/>
      <c r="SJW49" s="343"/>
      <c r="SJX49" s="344"/>
      <c r="SJY49" s="345"/>
      <c r="SJZ49" s="342"/>
      <c r="SKA49" s="343"/>
      <c r="SKB49" s="344"/>
      <c r="SKC49" s="345"/>
      <c r="SKD49" s="342"/>
      <c r="SKE49" s="343"/>
      <c r="SKF49" s="344"/>
      <c r="SKG49" s="345"/>
      <c r="SKH49" s="342"/>
      <c r="SKI49" s="343"/>
      <c r="SKJ49" s="344"/>
      <c r="SKK49" s="345"/>
      <c r="SKL49" s="342"/>
      <c r="SKM49" s="343"/>
      <c r="SKN49" s="344"/>
      <c r="SKO49" s="345"/>
      <c r="SKP49" s="342"/>
      <c r="SKQ49" s="343"/>
      <c r="SKR49" s="344"/>
      <c r="SKS49" s="345"/>
      <c r="SKT49" s="342"/>
      <c r="SKU49" s="343"/>
      <c r="SKV49" s="344"/>
      <c r="SKW49" s="345"/>
      <c r="SKX49" s="342"/>
      <c r="SKY49" s="343"/>
      <c r="SKZ49" s="344"/>
      <c r="SLA49" s="345"/>
      <c r="SLB49" s="342"/>
      <c r="SLC49" s="343"/>
      <c r="SLD49" s="344"/>
      <c r="SLE49" s="345"/>
      <c r="SLF49" s="342"/>
      <c r="SLG49" s="343"/>
      <c r="SLH49" s="344"/>
      <c r="SLI49" s="345"/>
      <c r="SLJ49" s="342"/>
      <c r="SLK49" s="343"/>
      <c r="SLL49" s="344"/>
      <c r="SLM49" s="345"/>
      <c r="SLN49" s="342"/>
      <c r="SLO49" s="343"/>
      <c r="SLP49" s="344"/>
      <c r="SLQ49" s="345"/>
      <c r="SLR49" s="342"/>
      <c r="SLS49" s="343"/>
      <c r="SLT49" s="344"/>
      <c r="SLU49" s="345"/>
      <c r="SLV49" s="342"/>
      <c r="SLW49" s="343"/>
      <c r="SLX49" s="344"/>
      <c r="SLY49" s="345"/>
      <c r="SLZ49" s="342"/>
      <c r="SMA49" s="343"/>
      <c r="SMB49" s="344"/>
      <c r="SMC49" s="345"/>
      <c r="SMD49" s="342"/>
      <c r="SME49" s="343"/>
      <c r="SMF49" s="344"/>
      <c r="SMG49" s="345"/>
      <c r="SMH49" s="342"/>
      <c r="SMI49" s="343"/>
      <c r="SMJ49" s="344"/>
      <c r="SMK49" s="345"/>
      <c r="SML49" s="342"/>
      <c r="SMM49" s="343"/>
      <c r="SMN49" s="344"/>
      <c r="SMO49" s="345"/>
      <c r="SMP49" s="342"/>
      <c r="SMQ49" s="343"/>
      <c r="SMR49" s="344"/>
      <c r="SMS49" s="345"/>
      <c r="SMT49" s="342"/>
      <c r="SMU49" s="343"/>
      <c r="SMV49" s="344"/>
      <c r="SMW49" s="345"/>
      <c r="SMX49" s="342"/>
      <c r="SMY49" s="343"/>
      <c r="SMZ49" s="344"/>
      <c r="SNA49" s="345"/>
      <c r="SNB49" s="342"/>
      <c r="SNC49" s="343"/>
      <c r="SND49" s="344"/>
      <c r="SNE49" s="345"/>
      <c r="SNF49" s="342"/>
      <c r="SNG49" s="343"/>
      <c r="SNH49" s="344"/>
      <c r="SNI49" s="345"/>
      <c r="SNJ49" s="342"/>
      <c r="SNK49" s="343"/>
      <c r="SNL49" s="344"/>
      <c r="SNM49" s="345"/>
      <c r="SNN49" s="342"/>
      <c r="SNO49" s="343"/>
      <c r="SNP49" s="344"/>
      <c r="SNQ49" s="345"/>
      <c r="SNR49" s="342"/>
      <c r="SNS49" s="343"/>
      <c r="SNT49" s="344"/>
      <c r="SNU49" s="345"/>
      <c r="SNV49" s="342"/>
      <c r="SNW49" s="343"/>
      <c r="SNX49" s="344"/>
      <c r="SNY49" s="345"/>
      <c r="SNZ49" s="342"/>
      <c r="SOA49" s="343"/>
      <c r="SOB49" s="344"/>
      <c r="SOC49" s="345"/>
      <c r="SOD49" s="342"/>
      <c r="SOE49" s="343"/>
      <c r="SOF49" s="344"/>
      <c r="SOG49" s="345"/>
      <c r="SOH49" s="342"/>
      <c r="SOI49" s="343"/>
      <c r="SOJ49" s="344"/>
      <c r="SOK49" s="345"/>
      <c r="SOL49" s="342"/>
      <c r="SOM49" s="343"/>
      <c r="SON49" s="344"/>
      <c r="SOO49" s="345"/>
      <c r="SOP49" s="342"/>
      <c r="SOQ49" s="343"/>
      <c r="SOR49" s="344"/>
      <c r="SOS49" s="345"/>
      <c r="SOT49" s="342"/>
      <c r="SOU49" s="343"/>
      <c r="SOV49" s="344"/>
      <c r="SOW49" s="345"/>
      <c r="SOX49" s="342"/>
      <c r="SOY49" s="343"/>
      <c r="SOZ49" s="344"/>
      <c r="SPA49" s="345"/>
      <c r="SPB49" s="342"/>
      <c r="SPC49" s="343"/>
      <c r="SPD49" s="344"/>
      <c r="SPE49" s="345"/>
      <c r="SPF49" s="342"/>
      <c r="SPG49" s="343"/>
      <c r="SPH49" s="344"/>
      <c r="SPI49" s="345"/>
      <c r="SPJ49" s="342"/>
      <c r="SPK49" s="343"/>
      <c r="SPL49" s="344"/>
      <c r="SPM49" s="345"/>
      <c r="SPN49" s="342"/>
      <c r="SPO49" s="343"/>
      <c r="SPP49" s="344"/>
      <c r="SPQ49" s="345"/>
      <c r="SPR49" s="342"/>
      <c r="SPS49" s="343"/>
      <c r="SPT49" s="344"/>
      <c r="SPU49" s="345"/>
      <c r="SPV49" s="342"/>
      <c r="SPW49" s="343"/>
      <c r="SPX49" s="344"/>
      <c r="SPY49" s="345"/>
      <c r="SPZ49" s="342"/>
      <c r="SQA49" s="343"/>
      <c r="SQB49" s="344"/>
      <c r="SQC49" s="345"/>
      <c r="SQD49" s="342"/>
      <c r="SQE49" s="343"/>
      <c r="SQF49" s="344"/>
      <c r="SQG49" s="345"/>
      <c r="SQH49" s="342"/>
      <c r="SQI49" s="343"/>
      <c r="SQJ49" s="344"/>
      <c r="SQK49" s="345"/>
      <c r="SQL49" s="342"/>
      <c r="SQM49" s="343"/>
      <c r="SQN49" s="344"/>
      <c r="SQO49" s="345"/>
      <c r="SQP49" s="342"/>
      <c r="SQQ49" s="343"/>
      <c r="SQR49" s="344"/>
      <c r="SQS49" s="345"/>
      <c r="SQT49" s="342"/>
      <c r="SQU49" s="343"/>
      <c r="SQV49" s="344"/>
      <c r="SQW49" s="345"/>
      <c r="SQX49" s="342"/>
      <c r="SQY49" s="343"/>
      <c r="SQZ49" s="344"/>
      <c r="SRA49" s="345"/>
      <c r="SRB49" s="342"/>
      <c r="SRC49" s="343"/>
      <c r="SRD49" s="344"/>
      <c r="SRE49" s="345"/>
      <c r="SRF49" s="342"/>
      <c r="SRG49" s="343"/>
      <c r="SRH49" s="344"/>
      <c r="SRI49" s="345"/>
      <c r="SRJ49" s="342"/>
      <c r="SRK49" s="343"/>
      <c r="SRL49" s="344"/>
      <c r="SRM49" s="345"/>
      <c r="SRN49" s="342"/>
      <c r="SRO49" s="343"/>
      <c r="SRP49" s="344"/>
      <c r="SRQ49" s="345"/>
      <c r="SRR49" s="342"/>
      <c r="SRS49" s="343"/>
      <c r="SRT49" s="344"/>
      <c r="SRU49" s="345"/>
      <c r="SRV49" s="342"/>
      <c r="SRW49" s="343"/>
      <c r="SRX49" s="344"/>
      <c r="SRY49" s="345"/>
      <c r="SRZ49" s="342"/>
      <c r="SSA49" s="343"/>
      <c r="SSB49" s="344"/>
      <c r="SSC49" s="345"/>
      <c r="SSD49" s="342"/>
      <c r="SSE49" s="343"/>
      <c r="SSF49" s="344"/>
      <c r="SSG49" s="345"/>
      <c r="SSH49" s="342"/>
      <c r="SSI49" s="343"/>
      <c r="SSJ49" s="344"/>
      <c r="SSK49" s="345"/>
      <c r="SSL49" s="342"/>
      <c r="SSM49" s="343"/>
      <c r="SSN49" s="344"/>
      <c r="SSO49" s="345"/>
      <c r="SSP49" s="342"/>
      <c r="SSQ49" s="343"/>
      <c r="SSR49" s="344"/>
      <c r="SSS49" s="345"/>
      <c r="SST49" s="342"/>
      <c r="SSU49" s="343"/>
      <c r="SSV49" s="344"/>
      <c r="SSW49" s="345"/>
      <c r="SSX49" s="342"/>
      <c r="SSY49" s="343"/>
      <c r="SSZ49" s="344"/>
      <c r="STA49" s="345"/>
      <c r="STB49" s="342"/>
      <c r="STC49" s="343"/>
      <c r="STD49" s="344"/>
      <c r="STE49" s="345"/>
      <c r="STF49" s="342"/>
      <c r="STG49" s="343"/>
      <c r="STH49" s="344"/>
      <c r="STI49" s="345"/>
      <c r="STJ49" s="342"/>
      <c r="STK49" s="343"/>
      <c r="STL49" s="344"/>
      <c r="STM49" s="345"/>
      <c r="STN49" s="342"/>
      <c r="STO49" s="343"/>
      <c r="STP49" s="344"/>
      <c r="STQ49" s="345"/>
      <c r="STR49" s="342"/>
      <c r="STS49" s="343"/>
      <c r="STT49" s="344"/>
      <c r="STU49" s="345"/>
      <c r="STV49" s="342"/>
      <c r="STW49" s="343"/>
      <c r="STX49" s="344"/>
      <c r="STY49" s="345"/>
      <c r="STZ49" s="342"/>
      <c r="SUA49" s="343"/>
      <c r="SUB49" s="344"/>
      <c r="SUC49" s="345"/>
      <c r="SUD49" s="342"/>
      <c r="SUE49" s="343"/>
      <c r="SUF49" s="344"/>
      <c r="SUG49" s="345"/>
      <c r="SUH49" s="342"/>
      <c r="SUI49" s="343"/>
      <c r="SUJ49" s="344"/>
      <c r="SUK49" s="345"/>
      <c r="SUL49" s="342"/>
      <c r="SUM49" s="343"/>
      <c r="SUN49" s="344"/>
      <c r="SUO49" s="345"/>
      <c r="SUP49" s="342"/>
      <c r="SUQ49" s="343"/>
      <c r="SUR49" s="344"/>
      <c r="SUS49" s="345"/>
      <c r="SUT49" s="342"/>
      <c r="SUU49" s="343"/>
      <c r="SUV49" s="344"/>
      <c r="SUW49" s="345"/>
      <c r="SUX49" s="342"/>
      <c r="SUY49" s="343"/>
      <c r="SUZ49" s="344"/>
      <c r="SVA49" s="345"/>
      <c r="SVB49" s="342"/>
      <c r="SVC49" s="343"/>
      <c r="SVD49" s="344"/>
      <c r="SVE49" s="345"/>
      <c r="SVF49" s="342"/>
      <c r="SVG49" s="343"/>
      <c r="SVH49" s="344"/>
      <c r="SVI49" s="345"/>
      <c r="SVJ49" s="342"/>
      <c r="SVK49" s="343"/>
      <c r="SVL49" s="344"/>
      <c r="SVM49" s="345"/>
      <c r="SVN49" s="342"/>
      <c r="SVO49" s="343"/>
      <c r="SVP49" s="344"/>
      <c r="SVQ49" s="345"/>
      <c r="SVR49" s="342"/>
      <c r="SVS49" s="343"/>
      <c r="SVT49" s="344"/>
      <c r="SVU49" s="345"/>
      <c r="SVV49" s="342"/>
      <c r="SVW49" s="343"/>
      <c r="SVX49" s="344"/>
      <c r="SVY49" s="345"/>
      <c r="SVZ49" s="342"/>
      <c r="SWA49" s="343"/>
      <c r="SWB49" s="344"/>
      <c r="SWC49" s="345"/>
      <c r="SWD49" s="342"/>
      <c r="SWE49" s="343"/>
      <c r="SWF49" s="344"/>
      <c r="SWG49" s="345"/>
      <c r="SWH49" s="342"/>
      <c r="SWI49" s="343"/>
      <c r="SWJ49" s="344"/>
      <c r="SWK49" s="345"/>
      <c r="SWL49" s="342"/>
      <c r="SWM49" s="343"/>
      <c r="SWN49" s="344"/>
      <c r="SWO49" s="345"/>
      <c r="SWP49" s="342"/>
      <c r="SWQ49" s="343"/>
      <c r="SWR49" s="344"/>
      <c r="SWS49" s="345"/>
      <c r="SWT49" s="342"/>
      <c r="SWU49" s="343"/>
      <c r="SWV49" s="344"/>
      <c r="SWW49" s="345"/>
      <c r="SWX49" s="342"/>
      <c r="SWY49" s="343"/>
      <c r="SWZ49" s="344"/>
      <c r="SXA49" s="345"/>
      <c r="SXB49" s="342"/>
      <c r="SXC49" s="343"/>
      <c r="SXD49" s="344"/>
      <c r="SXE49" s="345"/>
      <c r="SXF49" s="342"/>
      <c r="SXG49" s="343"/>
      <c r="SXH49" s="344"/>
      <c r="SXI49" s="345"/>
      <c r="SXJ49" s="342"/>
      <c r="SXK49" s="343"/>
      <c r="SXL49" s="344"/>
      <c r="SXM49" s="345"/>
      <c r="SXN49" s="342"/>
      <c r="SXO49" s="343"/>
      <c r="SXP49" s="344"/>
      <c r="SXQ49" s="345"/>
      <c r="SXR49" s="342"/>
      <c r="SXS49" s="343"/>
      <c r="SXT49" s="344"/>
      <c r="SXU49" s="345"/>
      <c r="SXV49" s="342"/>
      <c r="SXW49" s="343"/>
      <c r="SXX49" s="344"/>
      <c r="SXY49" s="345"/>
      <c r="SXZ49" s="342"/>
      <c r="SYA49" s="343"/>
      <c r="SYB49" s="344"/>
      <c r="SYC49" s="345"/>
      <c r="SYD49" s="342"/>
      <c r="SYE49" s="343"/>
      <c r="SYF49" s="344"/>
      <c r="SYG49" s="345"/>
      <c r="SYH49" s="342"/>
      <c r="SYI49" s="343"/>
      <c r="SYJ49" s="344"/>
      <c r="SYK49" s="345"/>
      <c r="SYL49" s="342"/>
      <c r="SYM49" s="343"/>
      <c r="SYN49" s="344"/>
      <c r="SYO49" s="345"/>
      <c r="SYP49" s="342"/>
      <c r="SYQ49" s="343"/>
      <c r="SYR49" s="344"/>
      <c r="SYS49" s="345"/>
      <c r="SYT49" s="342"/>
      <c r="SYU49" s="343"/>
      <c r="SYV49" s="344"/>
      <c r="SYW49" s="345"/>
      <c r="SYX49" s="342"/>
      <c r="SYY49" s="343"/>
      <c r="SYZ49" s="344"/>
      <c r="SZA49" s="345"/>
      <c r="SZB49" s="342"/>
      <c r="SZC49" s="343"/>
      <c r="SZD49" s="344"/>
      <c r="SZE49" s="345"/>
      <c r="SZF49" s="342"/>
      <c r="SZG49" s="343"/>
      <c r="SZH49" s="344"/>
      <c r="SZI49" s="345"/>
      <c r="SZJ49" s="342"/>
      <c r="SZK49" s="343"/>
      <c r="SZL49" s="344"/>
      <c r="SZM49" s="345"/>
      <c r="SZN49" s="342"/>
      <c r="SZO49" s="343"/>
      <c r="SZP49" s="344"/>
      <c r="SZQ49" s="345"/>
      <c r="SZR49" s="342"/>
      <c r="SZS49" s="343"/>
      <c r="SZT49" s="344"/>
      <c r="SZU49" s="345"/>
      <c r="SZV49" s="342"/>
      <c r="SZW49" s="343"/>
      <c r="SZX49" s="344"/>
      <c r="SZY49" s="345"/>
      <c r="SZZ49" s="342"/>
      <c r="TAA49" s="343"/>
      <c r="TAB49" s="344"/>
      <c r="TAC49" s="345"/>
      <c r="TAD49" s="342"/>
      <c r="TAE49" s="343"/>
      <c r="TAF49" s="344"/>
      <c r="TAG49" s="345"/>
      <c r="TAH49" s="342"/>
      <c r="TAI49" s="343"/>
      <c r="TAJ49" s="344"/>
      <c r="TAK49" s="345"/>
      <c r="TAL49" s="342"/>
      <c r="TAM49" s="343"/>
      <c r="TAN49" s="344"/>
      <c r="TAO49" s="345"/>
      <c r="TAP49" s="342"/>
      <c r="TAQ49" s="343"/>
      <c r="TAR49" s="344"/>
      <c r="TAS49" s="345"/>
      <c r="TAT49" s="342"/>
      <c r="TAU49" s="343"/>
      <c r="TAV49" s="344"/>
      <c r="TAW49" s="345"/>
      <c r="TAX49" s="342"/>
      <c r="TAY49" s="343"/>
      <c r="TAZ49" s="344"/>
      <c r="TBA49" s="345"/>
      <c r="TBB49" s="342"/>
      <c r="TBC49" s="343"/>
      <c r="TBD49" s="344"/>
      <c r="TBE49" s="345"/>
      <c r="TBF49" s="342"/>
      <c r="TBG49" s="343"/>
      <c r="TBH49" s="344"/>
      <c r="TBI49" s="345"/>
      <c r="TBJ49" s="342"/>
      <c r="TBK49" s="343"/>
      <c r="TBL49" s="344"/>
      <c r="TBM49" s="345"/>
      <c r="TBN49" s="342"/>
      <c r="TBO49" s="343"/>
      <c r="TBP49" s="344"/>
      <c r="TBQ49" s="345"/>
      <c r="TBR49" s="342"/>
      <c r="TBS49" s="343"/>
      <c r="TBT49" s="344"/>
      <c r="TBU49" s="345"/>
      <c r="TBV49" s="342"/>
      <c r="TBW49" s="343"/>
      <c r="TBX49" s="344"/>
      <c r="TBY49" s="345"/>
      <c r="TBZ49" s="342"/>
      <c r="TCA49" s="343"/>
      <c r="TCB49" s="344"/>
      <c r="TCC49" s="345"/>
      <c r="TCD49" s="342"/>
      <c r="TCE49" s="343"/>
      <c r="TCF49" s="344"/>
      <c r="TCG49" s="345"/>
      <c r="TCH49" s="342"/>
      <c r="TCI49" s="343"/>
      <c r="TCJ49" s="344"/>
      <c r="TCK49" s="345"/>
      <c r="TCL49" s="342"/>
      <c r="TCM49" s="343"/>
      <c r="TCN49" s="344"/>
      <c r="TCO49" s="345"/>
      <c r="TCP49" s="342"/>
      <c r="TCQ49" s="343"/>
      <c r="TCR49" s="344"/>
      <c r="TCS49" s="345"/>
      <c r="TCT49" s="342"/>
      <c r="TCU49" s="343"/>
      <c r="TCV49" s="344"/>
      <c r="TCW49" s="345"/>
      <c r="TCX49" s="342"/>
      <c r="TCY49" s="343"/>
      <c r="TCZ49" s="344"/>
      <c r="TDA49" s="345"/>
      <c r="TDB49" s="342"/>
      <c r="TDC49" s="343"/>
      <c r="TDD49" s="344"/>
      <c r="TDE49" s="345"/>
      <c r="TDF49" s="342"/>
      <c r="TDG49" s="343"/>
      <c r="TDH49" s="344"/>
      <c r="TDI49" s="345"/>
      <c r="TDJ49" s="342"/>
      <c r="TDK49" s="343"/>
      <c r="TDL49" s="344"/>
      <c r="TDM49" s="345"/>
      <c r="TDN49" s="342"/>
      <c r="TDO49" s="343"/>
      <c r="TDP49" s="344"/>
      <c r="TDQ49" s="345"/>
      <c r="TDR49" s="342"/>
      <c r="TDS49" s="343"/>
      <c r="TDT49" s="344"/>
      <c r="TDU49" s="345"/>
      <c r="TDV49" s="342"/>
      <c r="TDW49" s="343"/>
      <c r="TDX49" s="344"/>
      <c r="TDY49" s="345"/>
      <c r="TDZ49" s="342"/>
      <c r="TEA49" s="343"/>
      <c r="TEB49" s="344"/>
      <c r="TEC49" s="345"/>
      <c r="TED49" s="342"/>
      <c r="TEE49" s="343"/>
      <c r="TEF49" s="344"/>
      <c r="TEG49" s="345"/>
      <c r="TEH49" s="342"/>
      <c r="TEI49" s="343"/>
      <c r="TEJ49" s="344"/>
      <c r="TEK49" s="345"/>
      <c r="TEL49" s="342"/>
      <c r="TEM49" s="343"/>
      <c r="TEN49" s="344"/>
      <c r="TEO49" s="345"/>
      <c r="TEP49" s="342"/>
      <c r="TEQ49" s="343"/>
      <c r="TER49" s="344"/>
      <c r="TES49" s="345"/>
      <c r="TET49" s="342"/>
      <c r="TEU49" s="343"/>
      <c r="TEV49" s="344"/>
      <c r="TEW49" s="345"/>
      <c r="TEX49" s="342"/>
      <c r="TEY49" s="343"/>
      <c r="TEZ49" s="344"/>
      <c r="TFA49" s="345"/>
      <c r="TFB49" s="342"/>
      <c r="TFC49" s="343"/>
      <c r="TFD49" s="344"/>
      <c r="TFE49" s="345"/>
      <c r="TFF49" s="342"/>
      <c r="TFG49" s="343"/>
      <c r="TFH49" s="344"/>
      <c r="TFI49" s="345"/>
      <c r="TFJ49" s="342"/>
      <c r="TFK49" s="343"/>
      <c r="TFL49" s="344"/>
      <c r="TFM49" s="345"/>
      <c r="TFN49" s="342"/>
      <c r="TFO49" s="343"/>
      <c r="TFP49" s="344"/>
      <c r="TFQ49" s="345"/>
      <c r="TFR49" s="342"/>
      <c r="TFS49" s="343"/>
      <c r="TFT49" s="344"/>
      <c r="TFU49" s="345"/>
      <c r="TFV49" s="342"/>
      <c r="TFW49" s="343"/>
      <c r="TFX49" s="344"/>
      <c r="TFY49" s="345"/>
      <c r="TFZ49" s="342"/>
      <c r="TGA49" s="343"/>
      <c r="TGB49" s="344"/>
      <c r="TGC49" s="345"/>
      <c r="TGD49" s="342"/>
      <c r="TGE49" s="343"/>
      <c r="TGF49" s="344"/>
      <c r="TGG49" s="345"/>
      <c r="TGH49" s="342"/>
      <c r="TGI49" s="343"/>
      <c r="TGJ49" s="344"/>
      <c r="TGK49" s="345"/>
      <c r="TGL49" s="342"/>
      <c r="TGM49" s="343"/>
      <c r="TGN49" s="344"/>
      <c r="TGO49" s="345"/>
      <c r="TGP49" s="342"/>
      <c r="TGQ49" s="343"/>
      <c r="TGR49" s="344"/>
      <c r="TGS49" s="345"/>
      <c r="TGT49" s="342"/>
      <c r="TGU49" s="343"/>
      <c r="TGV49" s="344"/>
      <c r="TGW49" s="345"/>
      <c r="TGX49" s="342"/>
      <c r="TGY49" s="343"/>
      <c r="TGZ49" s="344"/>
      <c r="THA49" s="345"/>
      <c r="THB49" s="342"/>
      <c r="THC49" s="343"/>
      <c r="THD49" s="344"/>
      <c r="THE49" s="345"/>
      <c r="THF49" s="342"/>
      <c r="THG49" s="343"/>
      <c r="THH49" s="344"/>
      <c r="THI49" s="345"/>
      <c r="THJ49" s="342"/>
      <c r="THK49" s="343"/>
      <c r="THL49" s="344"/>
      <c r="THM49" s="345"/>
      <c r="THN49" s="342"/>
      <c r="THO49" s="343"/>
      <c r="THP49" s="344"/>
      <c r="THQ49" s="345"/>
      <c r="THR49" s="342"/>
      <c r="THS49" s="343"/>
      <c r="THT49" s="344"/>
      <c r="THU49" s="345"/>
      <c r="THV49" s="342"/>
      <c r="THW49" s="343"/>
      <c r="THX49" s="344"/>
      <c r="THY49" s="345"/>
      <c r="THZ49" s="342"/>
      <c r="TIA49" s="343"/>
      <c r="TIB49" s="344"/>
      <c r="TIC49" s="345"/>
      <c r="TID49" s="342"/>
      <c r="TIE49" s="343"/>
      <c r="TIF49" s="344"/>
      <c r="TIG49" s="345"/>
      <c r="TIH49" s="342"/>
      <c r="TII49" s="343"/>
      <c r="TIJ49" s="344"/>
      <c r="TIK49" s="345"/>
      <c r="TIL49" s="342"/>
      <c r="TIM49" s="343"/>
      <c r="TIN49" s="344"/>
      <c r="TIO49" s="345"/>
      <c r="TIP49" s="342"/>
      <c r="TIQ49" s="343"/>
      <c r="TIR49" s="344"/>
      <c r="TIS49" s="345"/>
      <c r="TIT49" s="342"/>
      <c r="TIU49" s="343"/>
      <c r="TIV49" s="344"/>
      <c r="TIW49" s="345"/>
      <c r="TIX49" s="342"/>
      <c r="TIY49" s="343"/>
      <c r="TIZ49" s="344"/>
      <c r="TJA49" s="345"/>
      <c r="TJB49" s="342"/>
      <c r="TJC49" s="343"/>
      <c r="TJD49" s="344"/>
      <c r="TJE49" s="345"/>
      <c r="TJF49" s="342"/>
      <c r="TJG49" s="343"/>
      <c r="TJH49" s="344"/>
      <c r="TJI49" s="345"/>
      <c r="TJJ49" s="342"/>
      <c r="TJK49" s="343"/>
      <c r="TJL49" s="344"/>
      <c r="TJM49" s="345"/>
      <c r="TJN49" s="342"/>
      <c r="TJO49" s="343"/>
      <c r="TJP49" s="344"/>
      <c r="TJQ49" s="345"/>
      <c r="TJR49" s="342"/>
      <c r="TJS49" s="343"/>
      <c r="TJT49" s="344"/>
      <c r="TJU49" s="345"/>
      <c r="TJV49" s="342"/>
      <c r="TJW49" s="343"/>
      <c r="TJX49" s="344"/>
      <c r="TJY49" s="345"/>
      <c r="TJZ49" s="342"/>
      <c r="TKA49" s="343"/>
      <c r="TKB49" s="344"/>
      <c r="TKC49" s="345"/>
      <c r="TKD49" s="342"/>
      <c r="TKE49" s="343"/>
      <c r="TKF49" s="344"/>
      <c r="TKG49" s="345"/>
      <c r="TKH49" s="342"/>
      <c r="TKI49" s="343"/>
      <c r="TKJ49" s="344"/>
      <c r="TKK49" s="345"/>
      <c r="TKL49" s="342"/>
      <c r="TKM49" s="343"/>
      <c r="TKN49" s="344"/>
      <c r="TKO49" s="345"/>
      <c r="TKP49" s="342"/>
      <c r="TKQ49" s="343"/>
      <c r="TKR49" s="344"/>
      <c r="TKS49" s="345"/>
      <c r="TKT49" s="342"/>
      <c r="TKU49" s="343"/>
      <c r="TKV49" s="344"/>
      <c r="TKW49" s="345"/>
      <c r="TKX49" s="342"/>
      <c r="TKY49" s="343"/>
      <c r="TKZ49" s="344"/>
      <c r="TLA49" s="345"/>
      <c r="TLB49" s="342"/>
      <c r="TLC49" s="343"/>
      <c r="TLD49" s="344"/>
      <c r="TLE49" s="345"/>
      <c r="TLF49" s="342"/>
      <c r="TLG49" s="343"/>
      <c r="TLH49" s="344"/>
      <c r="TLI49" s="345"/>
      <c r="TLJ49" s="342"/>
      <c r="TLK49" s="343"/>
      <c r="TLL49" s="344"/>
      <c r="TLM49" s="345"/>
      <c r="TLN49" s="342"/>
      <c r="TLO49" s="343"/>
      <c r="TLP49" s="344"/>
      <c r="TLQ49" s="345"/>
      <c r="TLR49" s="342"/>
      <c r="TLS49" s="343"/>
      <c r="TLT49" s="344"/>
      <c r="TLU49" s="345"/>
      <c r="TLV49" s="342"/>
      <c r="TLW49" s="343"/>
      <c r="TLX49" s="344"/>
      <c r="TLY49" s="345"/>
      <c r="TLZ49" s="342"/>
      <c r="TMA49" s="343"/>
      <c r="TMB49" s="344"/>
      <c r="TMC49" s="345"/>
      <c r="TMD49" s="342"/>
      <c r="TME49" s="343"/>
      <c r="TMF49" s="344"/>
      <c r="TMG49" s="345"/>
      <c r="TMH49" s="342"/>
      <c r="TMI49" s="343"/>
      <c r="TMJ49" s="344"/>
      <c r="TMK49" s="345"/>
      <c r="TML49" s="342"/>
      <c r="TMM49" s="343"/>
      <c r="TMN49" s="344"/>
      <c r="TMO49" s="345"/>
      <c r="TMP49" s="342"/>
      <c r="TMQ49" s="343"/>
      <c r="TMR49" s="344"/>
      <c r="TMS49" s="345"/>
      <c r="TMT49" s="342"/>
      <c r="TMU49" s="343"/>
      <c r="TMV49" s="344"/>
      <c r="TMW49" s="345"/>
      <c r="TMX49" s="342"/>
      <c r="TMY49" s="343"/>
      <c r="TMZ49" s="344"/>
      <c r="TNA49" s="345"/>
      <c r="TNB49" s="342"/>
      <c r="TNC49" s="343"/>
      <c r="TND49" s="344"/>
      <c r="TNE49" s="345"/>
      <c r="TNF49" s="342"/>
      <c r="TNG49" s="343"/>
      <c r="TNH49" s="344"/>
      <c r="TNI49" s="345"/>
      <c r="TNJ49" s="342"/>
      <c r="TNK49" s="343"/>
      <c r="TNL49" s="344"/>
      <c r="TNM49" s="345"/>
      <c r="TNN49" s="342"/>
      <c r="TNO49" s="343"/>
      <c r="TNP49" s="344"/>
      <c r="TNQ49" s="345"/>
      <c r="TNR49" s="342"/>
      <c r="TNS49" s="343"/>
      <c r="TNT49" s="344"/>
      <c r="TNU49" s="345"/>
      <c r="TNV49" s="342"/>
      <c r="TNW49" s="343"/>
      <c r="TNX49" s="344"/>
      <c r="TNY49" s="345"/>
      <c r="TNZ49" s="342"/>
      <c r="TOA49" s="343"/>
      <c r="TOB49" s="344"/>
      <c r="TOC49" s="345"/>
      <c r="TOD49" s="342"/>
      <c r="TOE49" s="343"/>
      <c r="TOF49" s="344"/>
      <c r="TOG49" s="345"/>
      <c r="TOH49" s="342"/>
      <c r="TOI49" s="343"/>
      <c r="TOJ49" s="344"/>
      <c r="TOK49" s="345"/>
      <c r="TOL49" s="342"/>
      <c r="TOM49" s="343"/>
      <c r="TON49" s="344"/>
      <c r="TOO49" s="345"/>
      <c r="TOP49" s="342"/>
      <c r="TOQ49" s="343"/>
      <c r="TOR49" s="344"/>
      <c r="TOS49" s="345"/>
      <c r="TOT49" s="342"/>
      <c r="TOU49" s="343"/>
      <c r="TOV49" s="344"/>
      <c r="TOW49" s="345"/>
      <c r="TOX49" s="342"/>
      <c r="TOY49" s="343"/>
      <c r="TOZ49" s="344"/>
      <c r="TPA49" s="345"/>
      <c r="TPB49" s="342"/>
      <c r="TPC49" s="343"/>
      <c r="TPD49" s="344"/>
      <c r="TPE49" s="345"/>
      <c r="TPF49" s="342"/>
      <c r="TPG49" s="343"/>
      <c r="TPH49" s="344"/>
      <c r="TPI49" s="345"/>
      <c r="TPJ49" s="342"/>
      <c r="TPK49" s="343"/>
      <c r="TPL49" s="344"/>
      <c r="TPM49" s="345"/>
      <c r="TPN49" s="342"/>
      <c r="TPO49" s="343"/>
      <c r="TPP49" s="344"/>
      <c r="TPQ49" s="345"/>
      <c r="TPR49" s="342"/>
      <c r="TPS49" s="343"/>
      <c r="TPT49" s="344"/>
      <c r="TPU49" s="345"/>
      <c r="TPV49" s="342"/>
      <c r="TPW49" s="343"/>
      <c r="TPX49" s="344"/>
      <c r="TPY49" s="345"/>
      <c r="TPZ49" s="342"/>
      <c r="TQA49" s="343"/>
      <c r="TQB49" s="344"/>
      <c r="TQC49" s="345"/>
      <c r="TQD49" s="342"/>
      <c r="TQE49" s="343"/>
      <c r="TQF49" s="344"/>
      <c r="TQG49" s="345"/>
      <c r="TQH49" s="342"/>
      <c r="TQI49" s="343"/>
      <c r="TQJ49" s="344"/>
      <c r="TQK49" s="345"/>
      <c r="TQL49" s="342"/>
      <c r="TQM49" s="343"/>
      <c r="TQN49" s="344"/>
      <c r="TQO49" s="345"/>
      <c r="TQP49" s="342"/>
      <c r="TQQ49" s="343"/>
      <c r="TQR49" s="344"/>
      <c r="TQS49" s="345"/>
      <c r="TQT49" s="342"/>
      <c r="TQU49" s="343"/>
      <c r="TQV49" s="344"/>
      <c r="TQW49" s="345"/>
      <c r="TQX49" s="342"/>
      <c r="TQY49" s="343"/>
      <c r="TQZ49" s="344"/>
      <c r="TRA49" s="345"/>
      <c r="TRB49" s="342"/>
      <c r="TRC49" s="343"/>
      <c r="TRD49" s="344"/>
      <c r="TRE49" s="345"/>
      <c r="TRF49" s="342"/>
      <c r="TRG49" s="343"/>
      <c r="TRH49" s="344"/>
      <c r="TRI49" s="345"/>
      <c r="TRJ49" s="342"/>
      <c r="TRK49" s="343"/>
      <c r="TRL49" s="344"/>
      <c r="TRM49" s="345"/>
      <c r="TRN49" s="342"/>
      <c r="TRO49" s="343"/>
      <c r="TRP49" s="344"/>
      <c r="TRQ49" s="345"/>
      <c r="TRR49" s="342"/>
      <c r="TRS49" s="343"/>
      <c r="TRT49" s="344"/>
      <c r="TRU49" s="345"/>
      <c r="TRV49" s="342"/>
      <c r="TRW49" s="343"/>
      <c r="TRX49" s="344"/>
      <c r="TRY49" s="345"/>
      <c r="TRZ49" s="342"/>
      <c r="TSA49" s="343"/>
      <c r="TSB49" s="344"/>
      <c r="TSC49" s="345"/>
      <c r="TSD49" s="342"/>
      <c r="TSE49" s="343"/>
      <c r="TSF49" s="344"/>
      <c r="TSG49" s="345"/>
      <c r="TSH49" s="342"/>
      <c r="TSI49" s="343"/>
      <c r="TSJ49" s="344"/>
      <c r="TSK49" s="345"/>
      <c r="TSL49" s="342"/>
      <c r="TSM49" s="343"/>
      <c r="TSN49" s="344"/>
      <c r="TSO49" s="345"/>
      <c r="TSP49" s="342"/>
      <c r="TSQ49" s="343"/>
      <c r="TSR49" s="344"/>
      <c r="TSS49" s="345"/>
      <c r="TST49" s="342"/>
      <c r="TSU49" s="343"/>
      <c r="TSV49" s="344"/>
      <c r="TSW49" s="345"/>
      <c r="TSX49" s="342"/>
      <c r="TSY49" s="343"/>
      <c r="TSZ49" s="344"/>
      <c r="TTA49" s="345"/>
      <c r="TTB49" s="342"/>
      <c r="TTC49" s="343"/>
      <c r="TTD49" s="344"/>
      <c r="TTE49" s="345"/>
      <c r="TTF49" s="342"/>
      <c r="TTG49" s="343"/>
      <c r="TTH49" s="344"/>
      <c r="TTI49" s="345"/>
      <c r="TTJ49" s="342"/>
      <c r="TTK49" s="343"/>
      <c r="TTL49" s="344"/>
      <c r="TTM49" s="345"/>
      <c r="TTN49" s="342"/>
      <c r="TTO49" s="343"/>
      <c r="TTP49" s="344"/>
      <c r="TTQ49" s="345"/>
      <c r="TTR49" s="342"/>
      <c r="TTS49" s="343"/>
      <c r="TTT49" s="344"/>
      <c r="TTU49" s="345"/>
      <c r="TTV49" s="342"/>
      <c r="TTW49" s="343"/>
      <c r="TTX49" s="344"/>
      <c r="TTY49" s="345"/>
      <c r="TTZ49" s="342"/>
      <c r="TUA49" s="343"/>
      <c r="TUB49" s="344"/>
      <c r="TUC49" s="345"/>
      <c r="TUD49" s="342"/>
      <c r="TUE49" s="343"/>
      <c r="TUF49" s="344"/>
      <c r="TUG49" s="345"/>
      <c r="TUH49" s="342"/>
      <c r="TUI49" s="343"/>
      <c r="TUJ49" s="344"/>
      <c r="TUK49" s="345"/>
      <c r="TUL49" s="342"/>
      <c r="TUM49" s="343"/>
      <c r="TUN49" s="344"/>
      <c r="TUO49" s="345"/>
      <c r="TUP49" s="342"/>
      <c r="TUQ49" s="343"/>
      <c r="TUR49" s="344"/>
      <c r="TUS49" s="345"/>
      <c r="TUT49" s="342"/>
      <c r="TUU49" s="343"/>
      <c r="TUV49" s="344"/>
      <c r="TUW49" s="345"/>
      <c r="TUX49" s="342"/>
      <c r="TUY49" s="343"/>
      <c r="TUZ49" s="344"/>
      <c r="TVA49" s="345"/>
      <c r="TVB49" s="342"/>
      <c r="TVC49" s="343"/>
      <c r="TVD49" s="344"/>
      <c r="TVE49" s="345"/>
      <c r="TVF49" s="342"/>
      <c r="TVG49" s="343"/>
      <c r="TVH49" s="344"/>
      <c r="TVI49" s="345"/>
      <c r="TVJ49" s="342"/>
      <c r="TVK49" s="343"/>
      <c r="TVL49" s="344"/>
      <c r="TVM49" s="345"/>
      <c r="TVN49" s="342"/>
      <c r="TVO49" s="343"/>
      <c r="TVP49" s="344"/>
      <c r="TVQ49" s="345"/>
      <c r="TVR49" s="342"/>
      <c r="TVS49" s="343"/>
      <c r="TVT49" s="344"/>
      <c r="TVU49" s="345"/>
      <c r="TVV49" s="342"/>
      <c r="TVW49" s="343"/>
      <c r="TVX49" s="344"/>
      <c r="TVY49" s="345"/>
      <c r="TVZ49" s="342"/>
      <c r="TWA49" s="343"/>
      <c r="TWB49" s="344"/>
      <c r="TWC49" s="345"/>
      <c r="TWD49" s="342"/>
      <c r="TWE49" s="343"/>
      <c r="TWF49" s="344"/>
      <c r="TWG49" s="345"/>
      <c r="TWH49" s="342"/>
      <c r="TWI49" s="343"/>
      <c r="TWJ49" s="344"/>
      <c r="TWK49" s="345"/>
      <c r="TWL49" s="342"/>
      <c r="TWM49" s="343"/>
      <c r="TWN49" s="344"/>
      <c r="TWO49" s="345"/>
      <c r="TWP49" s="342"/>
      <c r="TWQ49" s="343"/>
      <c r="TWR49" s="344"/>
      <c r="TWS49" s="345"/>
      <c r="TWT49" s="342"/>
      <c r="TWU49" s="343"/>
      <c r="TWV49" s="344"/>
      <c r="TWW49" s="345"/>
      <c r="TWX49" s="342"/>
      <c r="TWY49" s="343"/>
      <c r="TWZ49" s="344"/>
      <c r="TXA49" s="345"/>
      <c r="TXB49" s="342"/>
      <c r="TXC49" s="343"/>
      <c r="TXD49" s="344"/>
      <c r="TXE49" s="345"/>
      <c r="TXF49" s="342"/>
      <c r="TXG49" s="343"/>
      <c r="TXH49" s="344"/>
      <c r="TXI49" s="345"/>
      <c r="TXJ49" s="342"/>
      <c r="TXK49" s="343"/>
      <c r="TXL49" s="344"/>
      <c r="TXM49" s="345"/>
      <c r="TXN49" s="342"/>
      <c r="TXO49" s="343"/>
      <c r="TXP49" s="344"/>
      <c r="TXQ49" s="345"/>
      <c r="TXR49" s="342"/>
      <c r="TXS49" s="343"/>
      <c r="TXT49" s="344"/>
      <c r="TXU49" s="345"/>
      <c r="TXV49" s="342"/>
      <c r="TXW49" s="343"/>
      <c r="TXX49" s="344"/>
      <c r="TXY49" s="345"/>
      <c r="TXZ49" s="342"/>
      <c r="TYA49" s="343"/>
      <c r="TYB49" s="344"/>
      <c r="TYC49" s="345"/>
      <c r="TYD49" s="342"/>
      <c r="TYE49" s="343"/>
      <c r="TYF49" s="344"/>
      <c r="TYG49" s="345"/>
      <c r="TYH49" s="342"/>
      <c r="TYI49" s="343"/>
      <c r="TYJ49" s="344"/>
      <c r="TYK49" s="345"/>
      <c r="TYL49" s="342"/>
      <c r="TYM49" s="343"/>
      <c r="TYN49" s="344"/>
      <c r="TYO49" s="345"/>
      <c r="TYP49" s="342"/>
      <c r="TYQ49" s="343"/>
      <c r="TYR49" s="344"/>
      <c r="TYS49" s="345"/>
      <c r="TYT49" s="342"/>
      <c r="TYU49" s="343"/>
      <c r="TYV49" s="344"/>
      <c r="TYW49" s="345"/>
      <c r="TYX49" s="342"/>
      <c r="TYY49" s="343"/>
      <c r="TYZ49" s="344"/>
      <c r="TZA49" s="345"/>
      <c r="TZB49" s="342"/>
      <c r="TZC49" s="343"/>
      <c r="TZD49" s="344"/>
      <c r="TZE49" s="345"/>
      <c r="TZF49" s="342"/>
      <c r="TZG49" s="343"/>
      <c r="TZH49" s="344"/>
      <c r="TZI49" s="345"/>
      <c r="TZJ49" s="342"/>
      <c r="TZK49" s="343"/>
      <c r="TZL49" s="344"/>
      <c r="TZM49" s="345"/>
      <c r="TZN49" s="342"/>
      <c r="TZO49" s="343"/>
      <c r="TZP49" s="344"/>
      <c r="TZQ49" s="345"/>
      <c r="TZR49" s="342"/>
      <c r="TZS49" s="343"/>
      <c r="TZT49" s="344"/>
      <c r="TZU49" s="345"/>
      <c r="TZV49" s="342"/>
      <c r="TZW49" s="343"/>
      <c r="TZX49" s="344"/>
      <c r="TZY49" s="345"/>
      <c r="TZZ49" s="342"/>
      <c r="UAA49" s="343"/>
      <c r="UAB49" s="344"/>
      <c r="UAC49" s="345"/>
      <c r="UAD49" s="342"/>
      <c r="UAE49" s="343"/>
      <c r="UAF49" s="344"/>
      <c r="UAG49" s="345"/>
      <c r="UAH49" s="342"/>
      <c r="UAI49" s="343"/>
      <c r="UAJ49" s="344"/>
      <c r="UAK49" s="345"/>
      <c r="UAL49" s="342"/>
      <c r="UAM49" s="343"/>
      <c r="UAN49" s="344"/>
      <c r="UAO49" s="345"/>
      <c r="UAP49" s="342"/>
      <c r="UAQ49" s="343"/>
      <c r="UAR49" s="344"/>
      <c r="UAS49" s="345"/>
      <c r="UAT49" s="342"/>
      <c r="UAU49" s="343"/>
      <c r="UAV49" s="344"/>
      <c r="UAW49" s="345"/>
      <c r="UAX49" s="342"/>
      <c r="UAY49" s="343"/>
      <c r="UAZ49" s="344"/>
      <c r="UBA49" s="345"/>
      <c r="UBB49" s="342"/>
      <c r="UBC49" s="343"/>
      <c r="UBD49" s="344"/>
      <c r="UBE49" s="345"/>
      <c r="UBF49" s="342"/>
      <c r="UBG49" s="343"/>
      <c r="UBH49" s="344"/>
      <c r="UBI49" s="345"/>
      <c r="UBJ49" s="342"/>
      <c r="UBK49" s="343"/>
      <c r="UBL49" s="344"/>
      <c r="UBM49" s="345"/>
      <c r="UBN49" s="342"/>
      <c r="UBO49" s="343"/>
      <c r="UBP49" s="344"/>
      <c r="UBQ49" s="345"/>
      <c r="UBR49" s="342"/>
      <c r="UBS49" s="343"/>
      <c r="UBT49" s="344"/>
      <c r="UBU49" s="345"/>
      <c r="UBV49" s="342"/>
      <c r="UBW49" s="343"/>
      <c r="UBX49" s="344"/>
      <c r="UBY49" s="345"/>
      <c r="UBZ49" s="342"/>
      <c r="UCA49" s="343"/>
      <c r="UCB49" s="344"/>
      <c r="UCC49" s="345"/>
      <c r="UCD49" s="342"/>
      <c r="UCE49" s="343"/>
      <c r="UCF49" s="344"/>
      <c r="UCG49" s="345"/>
      <c r="UCH49" s="342"/>
      <c r="UCI49" s="343"/>
      <c r="UCJ49" s="344"/>
      <c r="UCK49" s="345"/>
      <c r="UCL49" s="342"/>
      <c r="UCM49" s="343"/>
      <c r="UCN49" s="344"/>
      <c r="UCO49" s="345"/>
      <c r="UCP49" s="342"/>
      <c r="UCQ49" s="343"/>
      <c r="UCR49" s="344"/>
      <c r="UCS49" s="345"/>
      <c r="UCT49" s="342"/>
      <c r="UCU49" s="343"/>
      <c r="UCV49" s="344"/>
      <c r="UCW49" s="345"/>
      <c r="UCX49" s="342"/>
      <c r="UCY49" s="343"/>
      <c r="UCZ49" s="344"/>
      <c r="UDA49" s="345"/>
      <c r="UDB49" s="342"/>
      <c r="UDC49" s="343"/>
      <c r="UDD49" s="344"/>
      <c r="UDE49" s="345"/>
      <c r="UDF49" s="342"/>
      <c r="UDG49" s="343"/>
      <c r="UDH49" s="344"/>
      <c r="UDI49" s="345"/>
      <c r="UDJ49" s="342"/>
      <c r="UDK49" s="343"/>
      <c r="UDL49" s="344"/>
      <c r="UDM49" s="345"/>
      <c r="UDN49" s="342"/>
      <c r="UDO49" s="343"/>
      <c r="UDP49" s="344"/>
      <c r="UDQ49" s="345"/>
      <c r="UDR49" s="342"/>
      <c r="UDS49" s="343"/>
      <c r="UDT49" s="344"/>
      <c r="UDU49" s="345"/>
      <c r="UDV49" s="342"/>
      <c r="UDW49" s="343"/>
      <c r="UDX49" s="344"/>
      <c r="UDY49" s="345"/>
      <c r="UDZ49" s="342"/>
      <c r="UEA49" s="343"/>
      <c r="UEB49" s="344"/>
      <c r="UEC49" s="345"/>
      <c r="UED49" s="342"/>
      <c r="UEE49" s="343"/>
      <c r="UEF49" s="344"/>
      <c r="UEG49" s="345"/>
      <c r="UEH49" s="342"/>
      <c r="UEI49" s="343"/>
      <c r="UEJ49" s="344"/>
      <c r="UEK49" s="345"/>
      <c r="UEL49" s="342"/>
      <c r="UEM49" s="343"/>
      <c r="UEN49" s="344"/>
      <c r="UEO49" s="345"/>
      <c r="UEP49" s="342"/>
      <c r="UEQ49" s="343"/>
      <c r="UER49" s="344"/>
      <c r="UES49" s="345"/>
      <c r="UET49" s="342"/>
      <c r="UEU49" s="343"/>
      <c r="UEV49" s="344"/>
      <c r="UEW49" s="345"/>
      <c r="UEX49" s="342"/>
      <c r="UEY49" s="343"/>
      <c r="UEZ49" s="344"/>
      <c r="UFA49" s="345"/>
      <c r="UFB49" s="342"/>
      <c r="UFC49" s="343"/>
      <c r="UFD49" s="344"/>
      <c r="UFE49" s="345"/>
      <c r="UFF49" s="342"/>
      <c r="UFG49" s="343"/>
      <c r="UFH49" s="344"/>
      <c r="UFI49" s="345"/>
      <c r="UFJ49" s="342"/>
      <c r="UFK49" s="343"/>
      <c r="UFL49" s="344"/>
      <c r="UFM49" s="345"/>
      <c r="UFN49" s="342"/>
      <c r="UFO49" s="343"/>
      <c r="UFP49" s="344"/>
      <c r="UFQ49" s="345"/>
      <c r="UFR49" s="342"/>
      <c r="UFS49" s="343"/>
      <c r="UFT49" s="344"/>
      <c r="UFU49" s="345"/>
      <c r="UFV49" s="342"/>
      <c r="UFW49" s="343"/>
      <c r="UFX49" s="344"/>
      <c r="UFY49" s="345"/>
      <c r="UFZ49" s="342"/>
      <c r="UGA49" s="343"/>
      <c r="UGB49" s="344"/>
      <c r="UGC49" s="345"/>
      <c r="UGD49" s="342"/>
      <c r="UGE49" s="343"/>
      <c r="UGF49" s="344"/>
      <c r="UGG49" s="345"/>
      <c r="UGH49" s="342"/>
      <c r="UGI49" s="343"/>
      <c r="UGJ49" s="344"/>
      <c r="UGK49" s="345"/>
      <c r="UGL49" s="342"/>
      <c r="UGM49" s="343"/>
      <c r="UGN49" s="344"/>
      <c r="UGO49" s="345"/>
      <c r="UGP49" s="342"/>
      <c r="UGQ49" s="343"/>
      <c r="UGR49" s="344"/>
      <c r="UGS49" s="345"/>
      <c r="UGT49" s="342"/>
      <c r="UGU49" s="343"/>
      <c r="UGV49" s="344"/>
      <c r="UGW49" s="345"/>
      <c r="UGX49" s="342"/>
      <c r="UGY49" s="343"/>
      <c r="UGZ49" s="344"/>
      <c r="UHA49" s="345"/>
      <c r="UHB49" s="342"/>
      <c r="UHC49" s="343"/>
      <c r="UHD49" s="344"/>
      <c r="UHE49" s="345"/>
      <c r="UHF49" s="342"/>
      <c r="UHG49" s="343"/>
      <c r="UHH49" s="344"/>
      <c r="UHI49" s="345"/>
      <c r="UHJ49" s="342"/>
      <c r="UHK49" s="343"/>
      <c r="UHL49" s="344"/>
      <c r="UHM49" s="345"/>
      <c r="UHN49" s="342"/>
      <c r="UHO49" s="343"/>
      <c r="UHP49" s="344"/>
      <c r="UHQ49" s="345"/>
      <c r="UHR49" s="342"/>
      <c r="UHS49" s="343"/>
      <c r="UHT49" s="344"/>
      <c r="UHU49" s="345"/>
      <c r="UHV49" s="342"/>
      <c r="UHW49" s="343"/>
      <c r="UHX49" s="344"/>
      <c r="UHY49" s="345"/>
      <c r="UHZ49" s="342"/>
      <c r="UIA49" s="343"/>
      <c r="UIB49" s="344"/>
      <c r="UIC49" s="345"/>
      <c r="UID49" s="342"/>
      <c r="UIE49" s="343"/>
      <c r="UIF49" s="344"/>
      <c r="UIG49" s="345"/>
      <c r="UIH49" s="342"/>
      <c r="UII49" s="343"/>
      <c r="UIJ49" s="344"/>
      <c r="UIK49" s="345"/>
      <c r="UIL49" s="342"/>
      <c r="UIM49" s="343"/>
      <c r="UIN49" s="344"/>
      <c r="UIO49" s="345"/>
      <c r="UIP49" s="342"/>
      <c r="UIQ49" s="343"/>
      <c r="UIR49" s="344"/>
      <c r="UIS49" s="345"/>
      <c r="UIT49" s="342"/>
      <c r="UIU49" s="343"/>
      <c r="UIV49" s="344"/>
      <c r="UIW49" s="345"/>
      <c r="UIX49" s="342"/>
      <c r="UIY49" s="343"/>
      <c r="UIZ49" s="344"/>
      <c r="UJA49" s="345"/>
      <c r="UJB49" s="342"/>
      <c r="UJC49" s="343"/>
      <c r="UJD49" s="344"/>
      <c r="UJE49" s="345"/>
      <c r="UJF49" s="342"/>
      <c r="UJG49" s="343"/>
      <c r="UJH49" s="344"/>
      <c r="UJI49" s="345"/>
      <c r="UJJ49" s="342"/>
      <c r="UJK49" s="343"/>
      <c r="UJL49" s="344"/>
      <c r="UJM49" s="345"/>
      <c r="UJN49" s="342"/>
      <c r="UJO49" s="343"/>
      <c r="UJP49" s="344"/>
      <c r="UJQ49" s="345"/>
      <c r="UJR49" s="342"/>
      <c r="UJS49" s="343"/>
      <c r="UJT49" s="344"/>
      <c r="UJU49" s="345"/>
      <c r="UJV49" s="342"/>
      <c r="UJW49" s="343"/>
      <c r="UJX49" s="344"/>
      <c r="UJY49" s="345"/>
      <c r="UJZ49" s="342"/>
      <c r="UKA49" s="343"/>
      <c r="UKB49" s="344"/>
      <c r="UKC49" s="345"/>
      <c r="UKD49" s="342"/>
      <c r="UKE49" s="343"/>
      <c r="UKF49" s="344"/>
      <c r="UKG49" s="345"/>
      <c r="UKH49" s="342"/>
      <c r="UKI49" s="343"/>
      <c r="UKJ49" s="344"/>
      <c r="UKK49" s="345"/>
      <c r="UKL49" s="342"/>
      <c r="UKM49" s="343"/>
      <c r="UKN49" s="344"/>
      <c r="UKO49" s="345"/>
      <c r="UKP49" s="342"/>
      <c r="UKQ49" s="343"/>
      <c r="UKR49" s="344"/>
      <c r="UKS49" s="345"/>
      <c r="UKT49" s="342"/>
      <c r="UKU49" s="343"/>
      <c r="UKV49" s="344"/>
      <c r="UKW49" s="345"/>
      <c r="UKX49" s="342"/>
      <c r="UKY49" s="343"/>
      <c r="UKZ49" s="344"/>
      <c r="ULA49" s="345"/>
      <c r="ULB49" s="342"/>
      <c r="ULC49" s="343"/>
      <c r="ULD49" s="344"/>
      <c r="ULE49" s="345"/>
      <c r="ULF49" s="342"/>
      <c r="ULG49" s="343"/>
      <c r="ULH49" s="344"/>
      <c r="ULI49" s="345"/>
      <c r="ULJ49" s="342"/>
      <c r="ULK49" s="343"/>
      <c r="ULL49" s="344"/>
      <c r="ULM49" s="345"/>
      <c r="ULN49" s="342"/>
      <c r="ULO49" s="343"/>
      <c r="ULP49" s="344"/>
      <c r="ULQ49" s="345"/>
      <c r="ULR49" s="342"/>
      <c r="ULS49" s="343"/>
      <c r="ULT49" s="344"/>
      <c r="ULU49" s="345"/>
      <c r="ULV49" s="342"/>
      <c r="ULW49" s="343"/>
      <c r="ULX49" s="344"/>
      <c r="ULY49" s="345"/>
      <c r="ULZ49" s="342"/>
      <c r="UMA49" s="343"/>
      <c r="UMB49" s="344"/>
      <c r="UMC49" s="345"/>
      <c r="UMD49" s="342"/>
      <c r="UME49" s="343"/>
      <c r="UMF49" s="344"/>
      <c r="UMG49" s="345"/>
      <c r="UMH49" s="342"/>
      <c r="UMI49" s="343"/>
      <c r="UMJ49" s="344"/>
      <c r="UMK49" s="345"/>
      <c r="UML49" s="342"/>
      <c r="UMM49" s="343"/>
      <c r="UMN49" s="344"/>
      <c r="UMO49" s="345"/>
      <c r="UMP49" s="342"/>
      <c r="UMQ49" s="343"/>
      <c r="UMR49" s="344"/>
      <c r="UMS49" s="345"/>
      <c r="UMT49" s="342"/>
      <c r="UMU49" s="343"/>
      <c r="UMV49" s="344"/>
      <c r="UMW49" s="345"/>
      <c r="UMX49" s="342"/>
      <c r="UMY49" s="343"/>
      <c r="UMZ49" s="344"/>
      <c r="UNA49" s="345"/>
      <c r="UNB49" s="342"/>
      <c r="UNC49" s="343"/>
      <c r="UND49" s="344"/>
      <c r="UNE49" s="345"/>
      <c r="UNF49" s="342"/>
      <c r="UNG49" s="343"/>
      <c r="UNH49" s="344"/>
      <c r="UNI49" s="345"/>
      <c r="UNJ49" s="342"/>
      <c r="UNK49" s="343"/>
      <c r="UNL49" s="344"/>
      <c r="UNM49" s="345"/>
      <c r="UNN49" s="342"/>
      <c r="UNO49" s="343"/>
      <c r="UNP49" s="344"/>
      <c r="UNQ49" s="345"/>
      <c r="UNR49" s="342"/>
      <c r="UNS49" s="343"/>
      <c r="UNT49" s="344"/>
      <c r="UNU49" s="345"/>
      <c r="UNV49" s="342"/>
      <c r="UNW49" s="343"/>
      <c r="UNX49" s="344"/>
      <c r="UNY49" s="345"/>
      <c r="UNZ49" s="342"/>
      <c r="UOA49" s="343"/>
      <c r="UOB49" s="344"/>
      <c r="UOC49" s="345"/>
      <c r="UOD49" s="342"/>
      <c r="UOE49" s="343"/>
      <c r="UOF49" s="344"/>
      <c r="UOG49" s="345"/>
      <c r="UOH49" s="342"/>
      <c r="UOI49" s="343"/>
      <c r="UOJ49" s="344"/>
      <c r="UOK49" s="345"/>
      <c r="UOL49" s="342"/>
      <c r="UOM49" s="343"/>
      <c r="UON49" s="344"/>
      <c r="UOO49" s="345"/>
      <c r="UOP49" s="342"/>
      <c r="UOQ49" s="343"/>
      <c r="UOR49" s="344"/>
      <c r="UOS49" s="345"/>
      <c r="UOT49" s="342"/>
      <c r="UOU49" s="343"/>
      <c r="UOV49" s="344"/>
      <c r="UOW49" s="345"/>
      <c r="UOX49" s="342"/>
      <c r="UOY49" s="343"/>
      <c r="UOZ49" s="344"/>
      <c r="UPA49" s="345"/>
      <c r="UPB49" s="342"/>
      <c r="UPC49" s="343"/>
      <c r="UPD49" s="344"/>
      <c r="UPE49" s="345"/>
      <c r="UPF49" s="342"/>
      <c r="UPG49" s="343"/>
      <c r="UPH49" s="344"/>
      <c r="UPI49" s="345"/>
      <c r="UPJ49" s="342"/>
      <c r="UPK49" s="343"/>
      <c r="UPL49" s="344"/>
      <c r="UPM49" s="345"/>
      <c r="UPN49" s="342"/>
      <c r="UPO49" s="343"/>
      <c r="UPP49" s="344"/>
      <c r="UPQ49" s="345"/>
      <c r="UPR49" s="342"/>
      <c r="UPS49" s="343"/>
      <c r="UPT49" s="344"/>
      <c r="UPU49" s="345"/>
      <c r="UPV49" s="342"/>
      <c r="UPW49" s="343"/>
      <c r="UPX49" s="344"/>
      <c r="UPY49" s="345"/>
      <c r="UPZ49" s="342"/>
      <c r="UQA49" s="343"/>
      <c r="UQB49" s="344"/>
      <c r="UQC49" s="345"/>
      <c r="UQD49" s="342"/>
      <c r="UQE49" s="343"/>
      <c r="UQF49" s="344"/>
      <c r="UQG49" s="345"/>
      <c r="UQH49" s="342"/>
      <c r="UQI49" s="343"/>
      <c r="UQJ49" s="344"/>
      <c r="UQK49" s="345"/>
      <c r="UQL49" s="342"/>
      <c r="UQM49" s="343"/>
      <c r="UQN49" s="344"/>
      <c r="UQO49" s="345"/>
      <c r="UQP49" s="342"/>
      <c r="UQQ49" s="343"/>
      <c r="UQR49" s="344"/>
      <c r="UQS49" s="345"/>
      <c r="UQT49" s="342"/>
      <c r="UQU49" s="343"/>
      <c r="UQV49" s="344"/>
      <c r="UQW49" s="345"/>
      <c r="UQX49" s="342"/>
      <c r="UQY49" s="343"/>
      <c r="UQZ49" s="344"/>
      <c r="URA49" s="345"/>
      <c r="URB49" s="342"/>
      <c r="URC49" s="343"/>
      <c r="URD49" s="344"/>
      <c r="URE49" s="345"/>
      <c r="URF49" s="342"/>
      <c r="URG49" s="343"/>
      <c r="URH49" s="344"/>
      <c r="URI49" s="345"/>
      <c r="URJ49" s="342"/>
      <c r="URK49" s="343"/>
      <c r="URL49" s="344"/>
      <c r="URM49" s="345"/>
      <c r="URN49" s="342"/>
      <c r="URO49" s="343"/>
      <c r="URP49" s="344"/>
      <c r="URQ49" s="345"/>
      <c r="URR49" s="342"/>
      <c r="URS49" s="343"/>
      <c r="URT49" s="344"/>
      <c r="URU49" s="345"/>
      <c r="URV49" s="342"/>
      <c r="URW49" s="343"/>
      <c r="URX49" s="344"/>
      <c r="URY49" s="345"/>
      <c r="URZ49" s="342"/>
      <c r="USA49" s="343"/>
      <c r="USB49" s="344"/>
      <c r="USC49" s="345"/>
      <c r="USD49" s="342"/>
      <c r="USE49" s="343"/>
      <c r="USF49" s="344"/>
      <c r="USG49" s="345"/>
      <c r="USH49" s="342"/>
      <c r="USI49" s="343"/>
      <c r="USJ49" s="344"/>
      <c r="USK49" s="345"/>
      <c r="USL49" s="342"/>
      <c r="USM49" s="343"/>
      <c r="USN49" s="344"/>
      <c r="USO49" s="345"/>
      <c r="USP49" s="342"/>
      <c r="USQ49" s="343"/>
      <c r="USR49" s="344"/>
      <c r="USS49" s="345"/>
      <c r="UST49" s="342"/>
      <c r="USU49" s="343"/>
      <c r="USV49" s="344"/>
      <c r="USW49" s="345"/>
      <c r="USX49" s="342"/>
      <c r="USY49" s="343"/>
      <c r="USZ49" s="344"/>
      <c r="UTA49" s="345"/>
      <c r="UTB49" s="342"/>
      <c r="UTC49" s="343"/>
      <c r="UTD49" s="344"/>
      <c r="UTE49" s="345"/>
      <c r="UTF49" s="342"/>
      <c r="UTG49" s="343"/>
      <c r="UTH49" s="344"/>
      <c r="UTI49" s="345"/>
      <c r="UTJ49" s="342"/>
      <c r="UTK49" s="343"/>
      <c r="UTL49" s="344"/>
      <c r="UTM49" s="345"/>
      <c r="UTN49" s="342"/>
      <c r="UTO49" s="343"/>
      <c r="UTP49" s="344"/>
      <c r="UTQ49" s="345"/>
      <c r="UTR49" s="342"/>
      <c r="UTS49" s="343"/>
      <c r="UTT49" s="344"/>
      <c r="UTU49" s="345"/>
      <c r="UTV49" s="342"/>
      <c r="UTW49" s="343"/>
      <c r="UTX49" s="344"/>
      <c r="UTY49" s="345"/>
      <c r="UTZ49" s="342"/>
      <c r="UUA49" s="343"/>
      <c r="UUB49" s="344"/>
      <c r="UUC49" s="345"/>
      <c r="UUD49" s="342"/>
      <c r="UUE49" s="343"/>
      <c r="UUF49" s="344"/>
      <c r="UUG49" s="345"/>
      <c r="UUH49" s="342"/>
      <c r="UUI49" s="343"/>
      <c r="UUJ49" s="344"/>
      <c r="UUK49" s="345"/>
      <c r="UUL49" s="342"/>
      <c r="UUM49" s="343"/>
      <c r="UUN49" s="344"/>
      <c r="UUO49" s="345"/>
      <c r="UUP49" s="342"/>
      <c r="UUQ49" s="343"/>
      <c r="UUR49" s="344"/>
      <c r="UUS49" s="345"/>
      <c r="UUT49" s="342"/>
      <c r="UUU49" s="343"/>
      <c r="UUV49" s="344"/>
      <c r="UUW49" s="345"/>
      <c r="UUX49" s="342"/>
      <c r="UUY49" s="343"/>
      <c r="UUZ49" s="344"/>
      <c r="UVA49" s="345"/>
      <c r="UVB49" s="342"/>
      <c r="UVC49" s="343"/>
      <c r="UVD49" s="344"/>
      <c r="UVE49" s="345"/>
      <c r="UVF49" s="342"/>
      <c r="UVG49" s="343"/>
      <c r="UVH49" s="344"/>
      <c r="UVI49" s="345"/>
      <c r="UVJ49" s="342"/>
      <c r="UVK49" s="343"/>
      <c r="UVL49" s="344"/>
      <c r="UVM49" s="345"/>
      <c r="UVN49" s="342"/>
      <c r="UVO49" s="343"/>
      <c r="UVP49" s="344"/>
      <c r="UVQ49" s="345"/>
      <c r="UVR49" s="342"/>
      <c r="UVS49" s="343"/>
      <c r="UVT49" s="344"/>
      <c r="UVU49" s="345"/>
      <c r="UVV49" s="342"/>
      <c r="UVW49" s="343"/>
      <c r="UVX49" s="344"/>
      <c r="UVY49" s="345"/>
      <c r="UVZ49" s="342"/>
      <c r="UWA49" s="343"/>
      <c r="UWB49" s="344"/>
      <c r="UWC49" s="345"/>
      <c r="UWD49" s="342"/>
      <c r="UWE49" s="343"/>
      <c r="UWF49" s="344"/>
      <c r="UWG49" s="345"/>
      <c r="UWH49" s="342"/>
      <c r="UWI49" s="343"/>
      <c r="UWJ49" s="344"/>
      <c r="UWK49" s="345"/>
      <c r="UWL49" s="342"/>
      <c r="UWM49" s="343"/>
      <c r="UWN49" s="344"/>
      <c r="UWO49" s="345"/>
      <c r="UWP49" s="342"/>
      <c r="UWQ49" s="343"/>
      <c r="UWR49" s="344"/>
      <c r="UWS49" s="345"/>
      <c r="UWT49" s="342"/>
      <c r="UWU49" s="343"/>
      <c r="UWV49" s="344"/>
      <c r="UWW49" s="345"/>
      <c r="UWX49" s="342"/>
      <c r="UWY49" s="343"/>
      <c r="UWZ49" s="344"/>
      <c r="UXA49" s="345"/>
      <c r="UXB49" s="342"/>
      <c r="UXC49" s="343"/>
      <c r="UXD49" s="344"/>
      <c r="UXE49" s="345"/>
      <c r="UXF49" s="342"/>
      <c r="UXG49" s="343"/>
      <c r="UXH49" s="344"/>
      <c r="UXI49" s="345"/>
      <c r="UXJ49" s="342"/>
      <c r="UXK49" s="343"/>
      <c r="UXL49" s="344"/>
      <c r="UXM49" s="345"/>
      <c r="UXN49" s="342"/>
      <c r="UXO49" s="343"/>
      <c r="UXP49" s="344"/>
      <c r="UXQ49" s="345"/>
      <c r="UXR49" s="342"/>
      <c r="UXS49" s="343"/>
      <c r="UXT49" s="344"/>
      <c r="UXU49" s="345"/>
      <c r="UXV49" s="342"/>
      <c r="UXW49" s="343"/>
      <c r="UXX49" s="344"/>
      <c r="UXY49" s="345"/>
      <c r="UXZ49" s="342"/>
      <c r="UYA49" s="343"/>
      <c r="UYB49" s="344"/>
      <c r="UYC49" s="345"/>
      <c r="UYD49" s="342"/>
      <c r="UYE49" s="343"/>
      <c r="UYF49" s="344"/>
      <c r="UYG49" s="345"/>
      <c r="UYH49" s="342"/>
      <c r="UYI49" s="343"/>
      <c r="UYJ49" s="344"/>
      <c r="UYK49" s="345"/>
      <c r="UYL49" s="342"/>
      <c r="UYM49" s="343"/>
      <c r="UYN49" s="344"/>
      <c r="UYO49" s="345"/>
      <c r="UYP49" s="342"/>
      <c r="UYQ49" s="343"/>
      <c r="UYR49" s="344"/>
      <c r="UYS49" s="345"/>
      <c r="UYT49" s="342"/>
      <c r="UYU49" s="343"/>
      <c r="UYV49" s="344"/>
      <c r="UYW49" s="345"/>
      <c r="UYX49" s="342"/>
      <c r="UYY49" s="343"/>
      <c r="UYZ49" s="344"/>
      <c r="UZA49" s="345"/>
      <c r="UZB49" s="342"/>
      <c r="UZC49" s="343"/>
      <c r="UZD49" s="344"/>
      <c r="UZE49" s="345"/>
      <c r="UZF49" s="342"/>
      <c r="UZG49" s="343"/>
      <c r="UZH49" s="344"/>
      <c r="UZI49" s="345"/>
      <c r="UZJ49" s="342"/>
      <c r="UZK49" s="343"/>
      <c r="UZL49" s="344"/>
      <c r="UZM49" s="345"/>
      <c r="UZN49" s="342"/>
      <c r="UZO49" s="343"/>
      <c r="UZP49" s="344"/>
      <c r="UZQ49" s="345"/>
      <c r="UZR49" s="342"/>
      <c r="UZS49" s="343"/>
      <c r="UZT49" s="344"/>
      <c r="UZU49" s="345"/>
      <c r="UZV49" s="342"/>
      <c r="UZW49" s="343"/>
      <c r="UZX49" s="344"/>
      <c r="UZY49" s="345"/>
      <c r="UZZ49" s="342"/>
      <c r="VAA49" s="343"/>
      <c r="VAB49" s="344"/>
      <c r="VAC49" s="345"/>
      <c r="VAD49" s="342"/>
      <c r="VAE49" s="343"/>
      <c r="VAF49" s="344"/>
      <c r="VAG49" s="345"/>
      <c r="VAH49" s="342"/>
      <c r="VAI49" s="343"/>
      <c r="VAJ49" s="344"/>
      <c r="VAK49" s="345"/>
      <c r="VAL49" s="342"/>
      <c r="VAM49" s="343"/>
      <c r="VAN49" s="344"/>
      <c r="VAO49" s="345"/>
      <c r="VAP49" s="342"/>
      <c r="VAQ49" s="343"/>
      <c r="VAR49" s="344"/>
      <c r="VAS49" s="345"/>
      <c r="VAT49" s="342"/>
      <c r="VAU49" s="343"/>
      <c r="VAV49" s="344"/>
      <c r="VAW49" s="345"/>
      <c r="VAX49" s="342"/>
      <c r="VAY49" s="343"/>
      <c r="VAZ49" s="344"/>
      <c r="VBA49" s="345"/>
      <c r="VBB49" s="342"/>
      <c r="VBC49" s="343"/>
      <c r="VBD49" s="344"/>
      <c r="VBE49" s="345"/>
      <c r="VBF49" s="342"/>
      <c r="VBG49" s="343"/>
      <c r="VBH49" s="344"/>
      <c r="VBI49" s="345"/>
      <c r="VBJ49" s="342"/>
      <c r="VBK49" s="343"/>
      <c r="VBL49" s="344"/>
      <c r="VBM49" s="345"/>
      <c r="VBN49" s="342"/>
      <c r="VBO49" s="343"/>
      <c r="VBP49" s="344"/>
      <c r="VBQ49" s="345"/>
      <c r="VBR49" s="342"/>
      <c r="VBS49" s="343"/>
      <c r="VBT49" s="344"/>
      <c r="VBU49" s="345"/>
      <c r="VBV49" s="342"/>
      <c r="VBW49" s="343"/>
      <c r="VBX49" s="344"/>
      <c r="VBY49" s="345"/>
      <c r="VBZ49" s="342"/>
      <c r="VCA49" s="343"/>
      <c r="VCB49" s="344"/>
      <c r="VCC49" s="345"/>
      <c r="VCD49" s="342"/>
      <c r="VCE49" s="343"/>
      <c r="VCF49" s="344"/>
      <c r="VCG49" s="345"/>
      <c r="VCH49" s="342"/>
      <c r="VCI49" s="343"/>
      <c r="VCJ49" s="344"/>
      <c r="VCK49" s="345"/>
      <c r="VCL49" s="342"/>
      <c r="VCM49" s="343"/>
      <c r="VCN49" s="344"/>
      <c r="VCO49" s="345"/>
      <c r="VCP49" s="342"/>
      <c r="VCQ49" s="343"/>
      <c r="VCR49" s="344"/>
      <c r="VCS49" s="345"/>
      <c r="VCT49" s="342"/>
      <c r="VCU49" s="343"/>
      <c r="VCV49" s="344"/>
      <c r="VCW49" s="345"/>
      <c r="VCX49" s="342"/>
      <c r="VCY49" s="343"/>
      <c r="VCZ49" s="344"/>
      <c r="VDA49" s="345"/>
      <c r="VDB49" s="342"/>
      <c r="VDC49" s="343"/>
      <c r="VDD49" s="344"/>
      <c r="VDE49" s="345"/>
      <c r="VDF49" s="342"/>
      <c r="VDG49" s="343"/>
      <c r="VDH49" s="344"/>
      <c r="VDI49" s="345"/>
      <c r="VDJ49" s="342"/>
      <c r="VDK49" s="343"/>
      <c r="VDL49" s="344"/>
      <c r="VDM49" s="345"/>
      <c r="VDN49" s="342"/>
      <c r="VDO49" s="343"/>
      <c r="VDP49" s="344"/>
      <c r="VDQ49" s="345"/>
      <c r="VDR49" s="342"/>
      <c r="VDS49" s="343"/>
      <c r="VDT49" s="344"/>
      <c r="VDU49" s="345"/>
      <c r="VDV49" s="342"/>
      <c r="VDW49" s="343"/>
      <c r="VDX49" s="344"/>
      <c r="VDY49" s="345"/>
      <c r="VDZ49" s="342"/>
      <c r="VEA49" s="343"/>
      <c r="VEB49" s="344"/>
      <c r="VEC49" s="345"/>
      <c r="VED49" s="342"/>
      <c r="VEE49" s="343"/>
      <c r="VEF49" s="344"/>
      <c r="VEG49" s="345"/>
      <c r="VEH49" s="342"/>
      <c r="VEI49" s="343"/>
      <c r="VEJ49" s="344"/>
      <c r="VEK49" s="345"/>
      <c r="VEL49" s="342"/>
      <c r="VEM49" s="343"/>
      <c r="VEN49" s="344"/>
      <c r="VEO49" s="345"/>
      <c r="VEP49" s="342"/>
      <c r="VEQ49" s="343"/>
      <c r="VER49" s="344"/>
      <c r="VES49" s="345"/>
      <c r="VET49" s="342"/>
      <c r="VEU49" s="343"/>
      <c r="VEV49" s="344"/>
      <c r="VEW49" s="345"/>
      <c r="VEX49" s="342"/>
      <c r="VEY49" s="343"/>
      <c r="VEZ49" s="344"/>
      <c r="VFA49" s="345"/>
      <c r="VFB49" s="342"/>
      <c r="VFC49" s="343"/>
      <c r="VFD49" s="344"/>
      <c r="VFE49" s="345"/>
      <c r="VFF49" s="342"/>
      <c r="VFG49" s="343"/>
      <c r="VFH49" s="344"/>
      <c r="VFI49" s="345"/>
      <c r="VFJ49" s="342"/>
      <c r="VFK49" s="343"/>
      <c r="VFL49" s="344"/>
      <c r="VFM49" s="345"/>
      <c r="VFN49" s="342"/>
      <c r="VFO49" s="343"/>
      <c r="VFP49" s="344"/>
      <c r="VFQ49" s="345"/>
      <c r="VFR49" s="342"/>
      <c r="VFS49" s="343"/>
      <c r="VFT49" s="344"/>
      <c r="VFU49" s="345"/>
      <c r="VFV49" s="342"/>
      <c r="VFW49" s="343"/>
      <c r="VFX49" s="344"/>
      <c r="VFY49" s="345"/>
      <c r="VFZ49" s="342"/>
      <c r="VGA49" s="343"/>
      <c r="VGB49" s="344"/>
      <c r="VGC49" s="345"/>
      <c r="VGD49" s="342"/>
      <c r="VGE49" s="343"/>
      <c r="VGF49" s="344"/>
      <c r="VGG49" s="345"/>
      <c r="VGH49" s="342"/>
      <c r="VGI49" s="343"/>
      <c r="VGJ49" s="344"/>
      <c r="VGK49" s="345"/>
      <c r="VGL49" s="342"/>
      <c r="VGM49" s="343"/>
      <c r="VGN49" s="344"/>
      <c r="VGO49" s="345"/>
      <c r="VGP49" s="342"/>
      <c r="VGQ49" s="343"/>
      <c r="VGR49" s="344"/>
      <c r="VGS49" s="345"/>
      <c r="VGT49" s="342"/>
      <c r="VGU49" s="343"/>
      <c r="VGV49" s="344"/>
      <c r="VGW49" s="345"/>
      <c r="VGX49" s="342"/>
      <c r="VGY49" s="343"/>
      <c r="VGZ49" s="344"/>
      <c r="VHA49" s="345"/>
      <c r="VHB49" s="342"/>
      <c r="VHC49" s="343"/>
      <c r="VHD49" s="344"/>
      <c r="VHE49" s="345"/>
      <c r="VHF49" s="342"/>
      <c r="VHG49" s="343"/>
      <c r="VHH49" s="344"/>
      <c r="VHI49" s="345"/>
      <c r="VHJ49" s="342"/>
      <c r="VHK49" s="343"/>
      <c r="VHL49" s="344"/>
      <c r="VHM49" s="345"/>
      <c r="VHN49" s="342"/>
      <c r="VHO49" s="343"/>
      <c r="VHP49" s="344"/>
      <c r="VHQ49" s="345"/>
      <c r="VHR49" s="342"/>
      <c r="VHS49" s="343"/>
      <c r="VHT49" s="344"/>
      <c r="VHU49" s="345"/>
      <c r="VHV49" s="342"/>
      <c r="VHW49" s="343"/>
      <c r="VHX49" s="344"/>
      <c r="VHY49" s="345"/>
      <c r="VHZ49" s="342"/>
      <c r="VIA49" s="343"/>
      <c r="VIB49" s="344"/>
      <c r="VIC49" s="345"/>
      <c r="VID49" s="342"/>
      <c r="VIE49" s="343"/>
      <c r="VIF49" s="344"/>
      <c r="VIG49" s="345"/>
      <c r="VIH49" s="342"/>
      <c r="VII49" s="343"/>
      <c r="VIJ49" s="344"/>
      <c r="VIK49" s="345"/>
      <c r="VIL49" s="342"/>
      <c r="VIM49" s="343"/>
      <c r="VIN49" s="344"/>
      <c r="VIO49" s="345"/>
      <c r="VIP49" s="342"/>
      <c r="VIQ49" s="343"/>
      <c r="VIR49" s="344"/>
      <c r="VIS49" s="345"/>
      <c r="VIT49" s="342"/>
      <c r="VIU49" s="343"/>
      <c r="VIV49" s="344"/>
      <c r="VIW49" s="345"/>
      <c r="VIX49" s="342"/>
      <c r="VIY49" s="343"/>
      <c r="VIZ49" s="344"/>
      <c r="VJA49" s="345"/>
      <c r="VJB49" s="342"/>
      <c r="VJC49" s="343"/>
      <c r="VJD49" s="344"/>
      <c r="VJE49" s="345"/>
      <c r="VJF49" s="342"/>
      <c r="VJG49" s="343"/>
      <c r="VJH49" s="344"/>
      <c r="VJI49" s="345"/>
      <c r="VJJ49" s="342"/>
      <c r="VJK49" s="343"/>
      <c r="VJL49" s="344"/>
      <c r="VJM49" s="345"/>
      <c r="VJN49" s="342"/>
      <c r="VJO49" s="343"/>
      <c r="VJP49" s="344"/>
      <c r="VJQ49" s="345"/>
      <c r="VJR49" s="342"/>
      <c r="VJS49" s="343"/>
      <c r="VJT49" s="344"/>
      <c r="VJU49" s="345"/>
      <c r="VJV49" s="342"/>
      <c r="VJW49" s="343"/>
      <c r="VJX49" s="344"/>
      <c r="VJY49" s="345"/>
      <c r="VJZ49" s="342"/>
      <c r="VKA49" s="343"/>
      <c r="VKB49" s="344"/>
      <c r="VKC49" s="345"/>
      <c r="VKD49" s="342"/>
      <c r="VKE49" s="343"/>
      <c r="VKF49" s="344"/>
      <c r="VKG49" s="345"/>
      <c r="VKH49" s="342"/>
      <c r="VKI49" s="343"/>
      <c r="VKJ49" s="344"/>
      <c r="VKK49" s="345"/>
      <c r="VKL49" s="342"/>
      <c r="VKM49" s="343"/>
      <c r="VKN49" s="344"/>
      <c r="VKO49" s="345"/>
      <c r="VKP49" s="342"/>
      <c r="VKQ49" s="343"/>
      <c r="VKR49" s="344"/>
      <c r="VKS49" s="345"/>
      <c r="VKT49" s="342"/>
      <c r="VKU49" s="343"/>
      <c r="VKV49" s="344"/>
      <c r="VKW49" s="345"/>
      <c r="VKX49" s="342"/>
      <c r="VKY49" s="343"/>
      <c r="VKZ49" s="344"/>
      <c r="VLA49" s="345"/>
      <c r="VLB49" s="342"/>
      <c r="VLC49" s="343"/>
      <c r="VLD49" s="344"/>
      <c r="VLE49" s="345"/>
      <c r="VLF49" s="342"/>
      <c r="VLG49" s="343"/>
      <c r="VLH49" s="344"/>
      <c r="VLI49" s="345"/>
      <c r="VLJ49" s="342"/>
      <c r="VLK49" s="343"/>
      <c r="VLL49" s="344"/>
      <c r="VLM49" s="345"/>
      <c r="VLN49" s="342"/>
      <c r="VLO49" s="343"/>
      <c r="VLP49" s="344"/>
      <c r="VLQ49" s="345"/>
      <c r="VLR49" s="342"/>
      <c r="VLS49" s="343"/>
      <c r="VLT49" s="344"/>
      <c r="VLU49" s="345"/>
      <c r="VLV49" s="342"/>
      <c r="VLW49" s="343"/>
      <c r="VLX49" s="344"/>
      <c r="VLY49" s="345"/>
      <c r="VLZ49" s="342"/>
      <c r="VMA49" s="343"/>
      <c r="VMB49" s="344"/>
      <c r="VMC49" s="345"/>
      <c r="VMD49" s="342"/>
      <c r="VME49" s="343"/>
      <c r="VMF49" s="344"/>
      <c r="VMG49" s="345"/>
      <c r="VMH49" s="342"/>
      <c r="VMI49" s="343"/>
      <c r="VMJ49" s="344"/>
      <c r="VMK49" s="345"/>
      <c r="VML49" s="342"/>
      <c r="VMM49" s="343"/>
      <c r="VMN49" s="344"/>
      <c r="VMO49" s="345"/>
      <c r="VMP49" s="342"/>
      <c r="VMQ49" s="343"/>
      <c r="VMR49" s="344"/>
      <c r="VMS49" s="345"/>
      <c r="VMT49" s="342"/>
      <c r="VMU49" s="343"/>
      <c r="VMV49" s="344"/>
      <c r="VMW49" s="345"/>
      <c r="VMX49" s="342"/>
      <c r="VMY49" s="343"/>
      <c r="VMZ49" s="344"/>
      <c r="VNA49" s="345"/>
      <c r="VNB49" s="342"/>
      <c r="VNC49" s="343"/>
      <c r="VND49" s="344"/>
      <c r="VNE49" s="345"/>
      <c r="VNF49" s="342"/>
      <c r="VNG49" s="343"/>
      <c r="VNH49" s="344"/>
      <c r="VNI49" s="345"/>
      <c r="VNJ49" s="342"/>
      <c r="VNK49" s="343"/>
      <c r="VNL49" s="344"/>
      <c r="VNM49" s="345"/>
      <c r="VNN49" s="342"/>
      <c r="VNO49" s="343"/>
      <c r="VNP49" s="344"/>
      <c r="VNQ49" s="345"/>
      <c r="VNR49" s="342"/>
      <c r="VNS49" s="343"/>
      <c r="VNT49" s="344"/>
      <c r="VNU49" s="345"/>
      <c r="VNV49" s="342"/>
      <c r="VNW49" s="343"/>
      <c r="VNX49" s="344"/>
      <c r="VNY49" s="345"/>
      <c r="VNZ49" s="342"/>
      <c r="VOA49" s="343"/>
      <c r="VOB49" s="344"/>
      <c r="VOC49" s="345"/>
      <c r="VOD49" s="342"/>
      <c r="VOE49" s="343"/>
      <c r="VOF49" s="344"/>
      <c r="VOG49" s="345"/>
      <c r="VOH49" s="342"/>
      <c r="VOI49" s="343"/>
      <c r="VOJ49" s="344"/>
      <c r="VOK49" s="345"/>
      <c r="VOL49" s="342"/>
      <c r="VOM49" s="343"/>
      <c r="VON49" s="344"/>
      <c r="VOO49" s="345"/>
      <c r="VOP49" s="342"/>
      <c r="VOQ49" s="343"/>
      <c r="VOR49" s="344"/>
      <c r="VOS49" s="345"/>
      <c r="VOT49" s="342"/>
      <c r="VOU49" s="343"/>
      <c r="VOV49" s="344"/>
      <c r="VOW49" s="345"/>
      <c r="VOX49" s="342"/>
      <c r="VOY49" s="343"/>
      <c r="VOZ49" s="344"/>
      <c r="VPA49" s="345"/>
      <c r="VPB49" s="342"/>
      <c r="VPC49" s="343"/>
      <c r="VPD49" s="344"/>
      <c r="VPE49" s="345"/>
      <c r="VPF49" s="342"/>
      <c r="VPG49" s="343"/>
      <c r="VPH49" s="344"/>
      <c r="VPI49" s="345"/>
      <c r="VPJ49" s="342"/>
      <c r="VPK49" s="343"/>
      <c r="VPL49" s="344"/>
      <c r="VPM49" s="345"/>
      <c r="VPN49" s="342"/>
      <c r="VPO49" s="343"/>
      <c r="VPP49" s="344"/>
      <c r="VPQ49" s="345"/>
      <c r="VPR49" s="342"/>
      <c r="VPS49" s="343"/>
      <c r="VPT49" s="344"/>
      <c r="VPU49" s="345"/>
      <c r="VPV49" s="342"/>
      <c r="VPW49" s="343"/>
      <c r="VPX49" s="344"/>
      <c r="VPY49" s="345"/>
      <c r="VPZ49" s="342"/>
      <c r="VQA49" s="343"/>
      <c r="VQB49" s="344"/>
      <c r="VQC49" s="345"/>
      <c r="VQD49" s="342"/>
      <c r="VQE49" s="343"/>
      <c r="VQF49" s="344"/>
      <c r="VQG49" s="345"/>
      <c r="VQH49" s="342"/>
      <c r="VQI49" s="343"/>
      <c r="VQJ49" s="344"/>
      <c r="VQK49" s="345"/>
      <c r="VQL49" s="342"/>
      <c r="VQM49" s="343"/>
      <c r="VQN49" s="344"/>
      <c r="VQO49" s="345"/>
      <c r="VQP49" s="342"/>
      <c r="VQQ49" s="343"/>
      <c r="VQR49" s="344"/>
      <c r="VQS49" s="345"/>
      <c r="VQT49" s="342"/>
      <c r="VQU49" s="343"/>
      <c r="VQV49" s="344"/>
      <c r="VQW49" s="345"/>
      <c r="VQX49" s="342"/>
      <c r="VQY49" s="343"/>
      <c r="VQZ49" s="344"/>
      <c r="VRA49" s="345"/>
      <c r="VRB49" s="342"/>
      <c r="VRC49" s="343"/>
      <c r="VRD49" s="344"/>
      <c r="VRE49" s="345"/>
      <c r="VRF49" s="342"/>
      <c r="VRG49" s="343"/>
      <c r="VRH49" s="344"/>
      <c r="VRI49" s="345"/>
      <c r="VRJ49" s="342"/>
      <c r="VRK49" s="343"/>
      <c r="VRL49" s="344"/>
      <c r="VRM49" s="345"/>
      <c r="VRN49" s="342"/>
      <c r="VRO49" s="343"/>
      <c r="VRP49" s="344"/>
      <c r="VRQ49" s="345"/>
      <c r="VRR49" s="342"/>
      <c r="VRS49" s="343"/>
      <c r="VRT49" s="344"/>
      <c r="VRU49" s="345"/>
      <c r="VRV49" s="342"/>
      <c r="VRW49" s="343"/>
      <c r="VRX49" s="344"/>
      <c r="VRY49" s="345"/>
      <c r="VRZ49" s="342"/>
      <c r="VSA49" s="343"/>
      <c r="VSB49" s="344"/>
      <c r="VSC49" s="345"/>
      <c r="VSD49" s="342"/>
      <c r="VSE49" s="343"/>
      <c r="VSF49" s="344"/>
      <c r="VSG49" s="345"/>
      <c r="VSH49" s="342"/>
      <c r="VSI49" s="343"/>
      <c r="VSJ49" s="344"/>
      <c r="VSK49" s="345"/>
      <c r="VSL49" s="342"/>
      <c r="VSM49" s="343"/>
      <c r="VSN49" s="344"/>
      <c r="VSO49" s="345"/>
      <c r="VSP49" s="342"/>
      <c r="VSQ49" s="343"/>
      <c r="VSR49" s="344"/>
      <c r="VSS49" s="345"/>
      <c r="VST49" s="342"/>
      <c r="VSU49" s="343"/>
      <c r="VSV49" s="344"/>
      <c r="VSW49" s="345"/>
      <c r="VSX49" s="342"/>
      <c r="VSY49" s="343"/>
      <c r="VSZ49" s="344"/>
      <c r="VTA49" s="345"/>
      <c r="VTB49" s="342"/>
      <c r="VTC49" s="343"/>
      <c r="VTD49" s="344"/>
      <c r="VTE49" s="345"/>
      <c r="VTF49" s="342"/>
      <c r="VTG49" s="343"/>
      <c r="VTH49" s="344"/>
      <c r="VTI49" s="345"/>
      <c r="VTJ49" s="342"/>
      <c r="VTK49" s="343"/>
      <c r="VTL49" s="344"/>
      <c r="VTM49" s="345"/>
      <c r="VTN49" s="342"/>
      <c r="VTO49" s="343"/>
      <c r="VTP49" s="344"/>
      <c r="VTQ49" s="345"/>
      <c r="VTR49" s="342"/>
      <c r="VTS49" s="343"/>
      <c r="VTT49" s="344"/>
      <c r="VTU49" s="345"/>
      <c r="VTV49" s="342"/>
      <c r="VTW49" s="343"/>
      <c r="VTX49" s="344"/>
      <c r="VTY49" s="345"/>
      <c r="VTZ49" s="342"/>
      <c r="VUA49" s="343"/>
      <c r="VUB49" s="344"/>
      <c r="VUC49" s="345"/>
      <c r="VUD49" s="342"/>
      <c r="VUE49" s="343"/>
      <c r="VUF49" s="344"/>
      <c r="VUG49" s="345"/>
      <c r="VUH49" s="342"/>
      <c r="VUI49" s="343"/>
      <c r="VUJ49" s="344"/>
      <c r="VUK49" s="345"/>
      <c r="VUL49" s="342"/>
      <c r="VUM49" s="343"/>
      <c r="VUN49" s="344"/>
      <c r="VUO49" s="345"/>
      <c r="VUP49" s="342"/>
      <c r="VUQ49" s="343"/>
      <c r="VUR49" s="344"/>
      <c r="VUS49" s="345"/>
      <c r="VUT49" s="342"/>
      <c r="VUU49" s="343"/>
      <c r="VUV49" s="344"/>
      <c r="VUW49" s="345"/>
      <c r="VUX49" s="342"/>
      <c r="VUY49" s="343"/>
      <c r="VUZ49" s="344"/>
      <c r="VVA49" s="345"/>
      <c r="VVB49" s="342"/>
      <c r="VVC49" s="343"/>
      <c r="VVD49" s="344"/>
      <c r="VVE49" s="345"/>
      <c r="VVF49" s="342"/>
      <c r="VVG49" s="343"/>
      <c r="VVH49" s="344"/>
      <c r="VVI49" s="345"/>
      <c r="VVJ49" s="342"/>
      <c r="VVK49" s="343"/>
      <c r="VVL49" s="344"/>
      <c r="VVM49" s="345"/>
      <c r="VVN49" s="342"/>
      <c r="VVO49" s="343"/>
      <c r="VVP49" s="344"/>
      <c r="VVQ49" s="345"/>
      <c r="VVR49" s="342"/>
      <c r="VVS49" s="343"/>
      <c r="VVT49" s="344"/>
      <c r="VVU49" s="345"/>
      <c r="VVV49" s="342"/>
      <c r="VVW49" s="343"/>
      <c r="VVX49" s="344"/>
      <c r="VVY49" s="345"/>
      <c r="VVZ49" s="342"/>
      <c r="VWA49" s="343"/>
      <c r="VWB49" s="344"/>
      <c r="VWC49" s="345"/>
      <c r="VWD49" s="342"/>
      <c r="VWE49" s="343"/>
      <c r="VWF49" s="344"/>
      <c r="VWG49" s="345"/>
      <c r="VWH49" s="342"/>
      <c r="VWI49" s="343"/>
      <c r="VWJ49" s="344"/>
      <c r="VWK49" s="345"/>
      <c r="VWL49" s="342"/>
      <c r="VWM49" s="343"/>
      <c r="VWN49" s="344"/>
      <c r="VWO49" s="345"/>
      <c r="VWP49" s="342"/>
      <c r="VWQ49" s="343"/>
      <c r="VWR49" s="344"/>
      <c r="VWS49" s="345"/>
      <c r="VWT49" s="342"/>
      <c r="VWU49" s="343"/>
      <c r="VWV49" s="344"/>
      <c r="VWW49" s="345"/>
      <c r="VWX49" s="342"/>
      <c r="VWY49" s="343"/>
      <c r="VWZ49" s="344"/>
      <c r="VXA49" s="345"/>
      <c r="VXB49" s="342"/>
      <c r="VXC49" s="343"/>
      <c r="VXD49" s="344"/>
      <c r="VXE49" s="345"/>
      <c r="VXF49" s="342"/>
      <c r="VXG49" s="343"/>
      <c r="VXH49" s="344"/>
      <c r="VXI49" s="345"/>
      <c r="VXJ49" s="342"/>
      <c r="VXK49" s="343"/>
      <c r="VXL49" s="344"/>
      <c r="VXM49" s="345"/>
      <c r="VXN49" s="342"/>
      <c r="VXO49" s="343"/>
      <c r="VXP49" s="344"/>
      <c r="VXQ49" s="345"/>
      <c r="VXR49" s="342"/>
      <c r="VXS49" s="343"/>
      <c r="VXT49" s="344"/>
      <c r="VXU49" s="345"/>
      <c r="VXV49" s="342"/>
      <c r="VXW49" s="343"/>
      <c r="VXX49" s="344"/>
      <c r="VXY49" s="345"/>
      <c r="VXZ49" s="342"/>
      <c r="VYA49" s="343"/>
      <c r="VYB49" s="344"/>
      <c r="VYC49" s="345"/>
      <c r="VYD49" s="342"/>
      <c r="VYE49" s="343"/>
      <c r="VYF49" s="344"/>
      <c r="VYG49" s="345"/>
      <c r="VYH49" s="342"/>
      <c r="VYI49" s="343"/>
      <c r="VYJ49" s="344"/>
      <c r="VYK49" s="345"/>
      <c r="VYL49" s="342"/>
      <c r="VYM49" s="343"/>
      <c r="VYN49" s="344"/>
      <c r="VYO49" s="345"/>
      <c r="VYP49" s="342"/>
      <c r="VYQ49" s="343"/>
      <c r="VYR49" s="344"/>
      <c r="VYS49" s="345"/>
      <c r="VYT49" s="342"/>
      <c r="VYU49" s="343"/>
      <c r="VYV49" s="344"/>
      <c r="VYW49" s="345"/>
      <c r="VYX49" s="342"/>
      <c r="VYY49" s="343"/>
      <c r="VYZ49" s="344"/>
      <c r="VZA49" s="345"/>
      <c r="VZB49" s="342"/>
      <c r="VZC49" s="343"/>
      <c r="VZD49" s="344"/>
      <c r="VZE49" s="345"/>
      <c r="VZF49" s="342"/>
      <c r="VZG49" s="343"/>
      <c r="VZH49" s="344"/>
      <c r="VZI49" s="345"/>
      <c r="VZJ49" s="342"/>
      <c r="VZK49" s="343"/>
      <c r="VZL49" s="344"/>
      <c r="VZM49" s="345"/>
      <c r="VZN49" s="342"/>
      <c r="VZO49" s="343"/>
      <c r="VZP49" s="344"/>
      <c r="VZQ49" s="345"/>
      <c r="VZR49" s="342"/>
      <c r="VZS49" s="343"/>
      <c r="VZT49" s="344"/>
      <c r="VZU49" s="345"/>
      <c r="VZV49" s="342"/>
      <c r="VZW49" s="343"/>
      <c r="VZX49" s="344"/>
      <c r="VZY49" s="345"/>
      <c r="VZZ49" s="342"/>
      <c r="WAA49" s="343"/>
      <c r="WAB49" s="344"/>
      <c r="WAC49" s="345"/>
      <c r="WAD49" s="342"/>
      <c r="WAE49" s="343"/>
      <c r="WAF49" s="344"/>
      <c r="WAG49" s="345"/>
      <c r="WAH49" s="342"/>
      <c r="WAI49" s="343"/>
      <c r="WAJ49" s="344"/>
      <c r="WAK49" s="345"/>
      <c r="WAL49" s="342"/>
      <c r="WAM49" s="343"/>
      <c r="WAN49" s="344"/>
      <c r="WAO49" s="345"/>
      <c r="WAP49" s="342"/>
      <c r="WAQ49" s="343"/>
      <c r="WAR49" s="344"/>
      <c r="WAS49" s="345"/>
      <c r="WAT49" s="342"/>
      <c r="WAU49" s="343"/>
      <c r="WAV49" s="344"/>
      <c r="WAW49" s="345"/>
      <c r="WAX49" s="342"/>
      <c r="WAY49" s="343"/>
      <c r="WAZ49" s="344"/>
      <c r="WBA49" s="345"/>
      <c r="WBB49" s="342"/>
      <c r="WBC49" s="343"/>
      <c r="WBD49" s="344"/>
      <c r="WBE49" s="345"/>
      <c r="WBF49" s="342"/>
      <c r="WBG49" s="343"/>
      <c r="WBH49" s="344"/>
      <c r="WBI49" s="345"/>
      <c r="WBJ49" s="342"/>
      <c r="WBK49" s="343"/>
      <c r="WBL49" s="344"/>
      <c r="WBM49" s="345"/>
      <c r="WBN49" s="342"/>
      <c r="WBO49" s="343"/>
      <c r="WBP49" s="344"/>
      <c r="WBQ49" s="345"/>
      <c r="WBR49" s="342"/>
      <c r="WBS49" s="343"/>
      <c r="WBT49" s="344"/>
      <c r="WBU49" s="345"/>
      <c r="WBV49" s="342"/>
      <c r="WBW49" s="343"/>
      <c r="WBX49" s="344"/>
      <c r="WBY49" s="345"/>
      <c r="WBZ49" s="342"/>
      <c r="WCA49" s="343"/>
      <c r="WCB49" s="344"/>
      <c r="WCC49" s="345"/>
      <c r="WCD49" s="342"/>
      <c r="WCE49" s="343"/>
      <c r="WCF49" s="344"/>
      <c r="WCG49" s="345"/>
      <c r="WCH49" s="342"/>
      <c r="WCI49" s="343"/>
      <c r="WCJ49" s="344"/>
      <c r="WCK49" s="345"/>
      <c r="WCL49" s="342"/>
      <c r="WCM49" s="343"/>
      <c r="WCN49" s="344"/>
      <c r="WCO49" s="345"/>
      <c r="WCP49" s="342"/>
      <c r="WCQ49" s="343"/>
      <c r="WCR49" s="344"/>
      <c r="WCS49" s="345"/>
      <c r="WCT49" s="342"/>
      <c r="WCU49" s="343"/>
      <c r="WCV49" s="344"/>
      <c r="WCW49" s="345"/>
      <c r="WCX49" s="342"/>
      <c r="WCY49" s="343"/>
      <c r="WCZ49" s="344"/>
      <c r="WDA49" s="345"/>
      <c r="WDB49" s="342"/>
      <c r="WDC49" s="343"/>
      <c r="WDD49" s="344"/>
      <c r="WDE49" s="345"/>
      <c r="WDF49" s="342"/>
      <c r="WDG49" s="343"/>
      <c r="WDH49" s="344"/>
      <c r="WDI49" s="345"/>
      <c r="WDJ49" s="342"/>
      <c r="WDK49" s="343"/>
      <c r="WDL49" s="344"/>
      <c r="WDM49" s="345"/>
      <c r="WDN49" s="342"/>
      <c r="WDO49" s="343"/>
      <c r="WDP49" s="344"/>
      <c r="WDQ49" s="345"/>
      <c r="WDR49" s="342"/>
      <c r="WDS49" s="343"/>
      <c r="WDT49" s="344"/>
      <c r="WDU49" s="345"/>
      <c r="WDV49" s="342"/>
      <c r="WDW49" s="343"/>
      <c r="WDX49" s="344"/>
      <c r="WDY49" s="345"/>
      <c r="WDZ49" s="342"/>
      <c r="WEA49" s="343"/>
      <c r="WEB49" s="344"/>
      <c r="WEC49" s="345"/>
      <c r="WED49" s="342"/>
      <c r="WEE49" s="343"/>
      <c r="WEF49" s="344"/>
      <c r="WEG49" s="345"/>
      <c r="WEH49" s="342"/>
      <c r="WEI49" s="343"/>
      <c r="WEJ49" s="344"/>
      <c r="WEK49" s="345"/>
      <c r="WEL49" s="342"/>
      <c r="WEM49" s="343"/>
      <c r="WEN49" s="344"/>
      <c r="WEO49" s="345"/>
      <c r="WEP49" s="342"/>
      <c r="WEQ49" s="343"/>
      <c r="WER49" s="344"/>
      <c r="WES49" s="345"/>
      <c r="WET49" s="342"/>
      <c r="WEU49" s="343"/>
      <c r="WEV49" s="344"/>
      <c r="WEW49" s="345"/>
      <c r="WEX49" s="342"/>
      <c r="WEY49" s="343"/>
      <c r="WEZ49" s="344"/>
      <c r="WFA49" s="345"/>
      <c r="WFB49" s="342"/>
      <c r="WFC49" s="343"/>
      <c r="WFD49" s="344"/>
      <c r="WFE49" s="345"/>
      <c r="WFF49" s="342"/>
      <c r="WFG49" s="343"/>
      <c r="WFH49" s="344"/>
      <c r="WFI49" s="345"/>
      <c r="WFJ49" s="342"/>
      <c r="WFK49" s="343"/>
      <c r="WFL49" s="344"/>
      <c r="WFM49" s="345"/>
      <c r="WFN49" s="342"/>
      <c r="WFO49" s="343"/>
      <c r="WFP49" s="344"/>
      <c r="WFQ49" s="345"/>
      <c r="WFR49" s="342"/>
      <c r="WFS49" s="343"/>
      <c r="WFT49" s="344"/>
      <c r="WFU49" s="345"/>
      <c r="WFV49" s="342"/>
      <c r="WFW49" s="343"/>
      <c r="WFX49" s="344"/>
      <c r="WFY49" s="345"/>
      <c r="WFZ49" s="342"/>
      <c r="WGA49" s="343"/>
      <c r="WGB49" s="344"/>
      <c r="WGC49" s="345"/>
      <c r="WGD49" s="342"/>
      <c r="WGE49" s="343"/>
      <c r="WGF49" s="344"/>
      <c r="WGG49" s="345"/>
      <c r="WGH49" s="342"/>
      <c r="WGI49" s="343"/>
      <c r="WGJ49" s="344"/>
      <c r="WGK49" s="345"/>
      <c r="WGL49" s="342"/>
      <c r="WGM49" s="343"/>
      <c r="WGN49" s="344"/>
      <c r="WGO49" s="345"/>
      <c r="WGP49" s="342"/>
      <c r="WGQ49" s="343"/>
      <c r="WGR49" s="344"/>
      <c r="WGS49" s="345"/>
      <c r="WGT49" s="342"/>
      <c r="WGU49" s="343"/>
      <c r="WGV49" s="344"/>
      <c r="WGW49" s="345"/>
      <c r="WGX49" s="342"/>
      <c r="WGY49" s="343"/>
      <c r="WGZ49" s="344"/>
      <c r="WHA49" s="345"/>
      <c r="WHB49" s="342"/>
      <c r="WHC49" s="343"/>
      <c r="WHD49" s="344"/>
      <c r="WHE49" s="345"/>
      <c r="WHF49" s="342"/>
      <c r="WHG49" s="343"/>
      <c r="WHH49" s="344"/>
      <c r="WHI49" s="345"/>
      <c r="WHJ49" s="342"/>
      <c r="WHK49" s="343"/>
      <c r="WHL49" s="344"/>
      <c r="WHM49" s="345"/>
      <c r="WHN49" s="342"/>
      <c r="WHO49" s="343"/>
      <c r="WHP49" s="344"/>
      <c r="WHQ49" s="345"/>
      <c r="WHR49" s="342"/>
      <c r="WHS49" s="343"/>
      <c r="WHT49" s="344"/>
      <c r="WHU49" s="345"/>
      <c r="WHV49" s="342"/>
      <c r="WHW49" s="343"/>
      <c r="WHX49" s="344"/>
      <c r="WHY49" s="345"/>
      <c r="WHZ49" s="342"/>
      <c r="WIA49" s="343"/>
      <c r="WIB49" s="344"/>
      <c r="WIC49" s="345"/>
      <c r="WID49" s="342"/>
      <c r="WIE49" s="343"/>
      <c r="WIF49" s="344"/>
      <c r="WIG49" s="345"/>
      <c r="WIH49" s="342"/>
      <c r="WII49" s="343"/>
      <c r="WIJ49" s="344"/>
      <c r="WIK49" s="345"/>
      <c r="WIL49" s="342"/>
      <c r="WIM49" s="343"/>
      <c r="WIN49" s="344"/>
      <c r="WIO49" s="345"/>
      <c r="WIP49" s="342"/>
      <c r="WIQ49" s="343"/>
      <c r="WIR49" s="344"/>
      <c r="WIS49" s="345"/>
      <c r="WIT49" s="342"/>
      <c r="WIU49" s="343"/>
      <c r="WIV49" s="344"/>
      <c r="WIW49" s="345"/>
      <c r="WIX49" s="342"/>
      <c r="WIY49" s="343"/>
      <c r="WIZ49" s="344"/>
      <c r="WJA49" s="345"/>
      <c r="WJB49" s="342"/>
      <c r="WJC49" s="343"/>
      <c r="WJD49" s="344"/>
      <c r="WJE49" s="345"/>
      <c r="WJF49" s="342"/>
      <c r="WJG49" s="343"/>
      <c r="WJH49" s="344"/>
      <c r="WJI49" s="345"/>
      <c r="WJJ49" s="342"/>
      <c r="WJK49" s="343"/>
      <c r="WJL49" s="344"/>
      <c r="WJM49" s="345"/>
      <c r="WJN49" s="342"/>
      <c r="WJO49" s="343"/>
      <c r="WJP49" s="344"/>
      <c r="WJQ49" s="345"/>
      <c r="WJR49" s="342"/>
      <c r="WJS49" s="343"/>
      <c r="WJT49" s="344"/>
      <c r="WJU49" s="345"/>
      <c r="WJV49" s="342"/>
      <c r="WJW49" s="343"/>
      <c r="WJX49" s="344"/>
      <c r="WJY49" s="345"/>
      <c r="WJZ49" s="342"/>
      <c r="WKA49" s="343"/>
      <c r="WKB49" s="344"/>
      <c r="WKC49" s="345"/>
      <c r="WKD49" s="342"/>
      <c r="WKE49" s="343"/>
      <c r="WKF49" s="344"/>
      <c r="WKG49" s="345"/>
      <c r="WKH49" s="342"/>
      <c r="WKI49" s="343"/>
      <c r="WKJ49" s="344"/>
      <c r="WKK49" s="345"/>
      <c r="WKL49" s="342"/>
      <c r="WKM49" s="343"/>
      <c r="WKN49" s="344"/>
      <c r="WKO49" s="345"/>
      <c r="WKP49" s="342"/>
      <c r="WKQ49" s="343"/>
      <c r="WKR49" s="344"/>
      <c r="WKS49" s="345"/>
      <c r="WKT49" s="342"/>
      <c r="WKU49" s="343"/>
      <c r="WKV49" s="344"/>
      <c r="WKW49" s="345"/>
      <c r="WKX49" s="342"/>
      <c r="WKY49" s="343"/>
      <c r="WKZ49" s="344"/>
      <c r="WLA49" s="345"/>
      <c r="WLB49" s="342"/>
      <c r="WLC49" s="343"/>
      <c r="WLD49" s="344"/>
      <c r="WLE49" s="345"/>
      <c r="WLF49" s="342"/>
      <c r="WLG49" s="343"/>
      <c r="WLH49" s="344"/>
      <c r="WLI49" s="345"/>
      <c r="WLJ49" s="342"/>
      <c r="WLK49" s="343"/>
      <c r="WLL49" s="344"/>
      <c r="WLM49" s="345"/>
      <c r="WLN49" s="342"/>
      <c r="WLO49" s="343"/>
      <c r="WLP49" s="344"/>
      <c r="WLQ49" s="345"/>
      <c r="WLR49" s="342"/>
      <c r="WLS49" s="343"/>
      <c r="WLT49" s="344"/>
      <c r="WLU49" s="345"/>
      <c r="WLV49" s="342"/>
      <c r="WLW49" s="343"/>
      <c r="WLX49" s="344"/>
      <c r="WLY49" s="345"/>
      <c r="WLZ49" s="342"/>
      <c r="WMA49" s="343"/>
      <c r="WMB49" s="344"/>
      <c r="WMC49" s="345"/>
      <c r="WMD49" s="342"/>
      <c r="WME49" s="343"/>
      <c r="WMF49" s="344"/>
      <c r="WMG49" s="345"/>
      <c r="WMH49" s="342"/>
      <c r="WMI49" s="343"/>
      <c r="WMJ49" s="344"/>
      <c r="WMK49" s="345"/>
      <c r="WML49" s="342"/>
      <c r="WMM49" s="343"/>
      <c r="WMN49" s="344"/>
      <c r="WMO49" s="345"/>
      <c r="WMP49" s="342"/>
      <c r="WMQ49" s="343"/>
      <c r="WMR49" s="344"/>
      <c r="WMS49" s="345"/>
      <c r="WMT49" s="342"/>
      <c r="WMU49" s="343"/>
      <c r="WMV49" s="344"/>
      <c r="WMW49" s="345"/>
      <c r="WMX49" s="342"/>
      <c r="WMY49" s="343"/>
      <c r="WMZ49" s="344"/>
      <c r="WNA49" s="345"/>
      <c r="WNB49" s="342"/>
      <c r="WNC49" s="343"/>
      <c r="WND49" s="344"/>
      <c r="WNE49" s="345"/>
      <c r="WNF49" s="342"/>
      <c r="WNG49" s="343"/>
      <c r="WNH49" s="344"/>
      <c r="WNI49" s="345"/>
      <c r="WNJ49" s="342"/>
      <c r="WNK49" s="343"/>
      <c r="WNL49" s="344"/>
      <c r="WNM49" s="345"/>
      <c r="WNN49" s="342"/>
      <c r="WNO49" s="343"/>
      <c r="WNP49" s="344"/>
      <c r="WNQ49" s="345"/>
      <c r="WNR49" s="342"/>
      <c r="WNS49" s="343"/>
      <c r="WNT49" s="344"/>
      <c r="WNU49" s="345"/>
      <c r="WNV49" s="342"/>
      <c r="WNW49" s="343"/>
      <c r="WNX49" s="344"/>
      <c r="WNY49" s="345"/>
      <c r="WNZ49" s="342"/>
      <c r="WOA49" s="343"/>
      <c r="WOB49" s="344"/>
      <c r="WOC49" s="345"/>
      <c r="WOD49" s="342"/>
      <c r="WOE49" s="343"/>
      <c r="WOF49" s="344"/>
      <c r="WOG49" s="345"/>
      <c r="WOH49" s="342"/>
      <c r="WOI49" s="343"/>
      <c r="WOJ49" s="344"/>
      <c r="WOK49" s="345"/>
      <c r="WOL49" s="342"/>
      <c r="WOM49" s="343"/>
      <c r="WON49" s="344"/>
      <c r="WOO49" s="345"/>
      <c r="WOP49" s="342"/>
      <c r="WOQ49" s="343"/>
      <c r="WOR49" s="344"/>
      <c r="WOS49" s="345"/>
      <c r="WOT49" s="342"/>
      <c r="WOU49" s="343"/>
      <c r="WOV49" s="344"/>
      <c r="WOW49" s="345"/>
      <c r="WOX49" s="342"/>
      <c r="WOY49" s="343"/>
      <c r="WOZ49" s="344"/>
      <c r="WPA49" s="345"/>
      <c r="WPB49" s="342"/>
      <c r="WPC49" s="343"/>
      <c r="WPD49" s="344"/>
      <c r="WPE49" s="345"/>
      <c r="WPF49" s="342"/>
      <c r="WPG49" s="343"/>
      <c r="WPH49" s="344"/>
      <c r="WPI49" s="345"/>
      <c r="WPJ49" s="342"/>
      <c r="WPK49" s="343"/>
      <c r="WPL49" s="344"/>
      <c r="WPM49" s="345"/>
      <c r="WPN49" s="342"/>
      <c r="WPO49" s="343"/>
      <c r="WPP49" s="344"/>
      <c r="WPQ49" s="345"/>
      <c r="WPR49" s="342"/>
      <c r="WPS49" s="343"/>
      <c r="WPT49" s="344"/>
      <c r="WPU49" s="345"/>
      <c r="WPV49" s="342"/>
      <c r="WPW49" s="343"/>
      <c r="WPX49" s="344"/>
      <c r="WPY49" s="345"/>
      <c r="WPZ49" s="342"/>
      <c r="WQA49" s="343"/>
      <c r="WQB49" s="344"/>
      <c r="WQC49" s="345"/>
      <c r="WQD49" s="342"/>
      <c r="WQE49" s="343"/>
      <c r="WQF49" s="344"/>
      <c r="WQG49" s="345"/>
      <c r="WQH49" s="342"/>
      <c r="WQI49" s="343"/>
      <c r="WQJ49" s="344"/>
      <c r="WQK49" s="345"/>
      <c r="WQL49" s="342"/>
      <c r="WQM49" s="343"/>
      <c r="WQN49" s="344"/>
      <c r="WQO49" s="345"/>
      <c r="WQP49" s="342"/>
      <c r="WQQ49" s="343"/>
      <c r="WQR49" s="344"/>
      <c r="WQS49" s="345"/>
      <c r="WQT49" s="342"/>
      <c r="WQU49" s="343"/>
      <c r="WQV49" s="344"/>
      <c r="WQW49" s="345"/>
      <c r="WQX49" s="342"/>
      <c r="WQY49" s="343"/>
      <c r="WQZ49" s="344"/>
      <c r="WRA49" s="345"/>
      <c r="WRB49" s="342"/>
      <c r="WRC49" s="343"/>
      <c r="WRD49" s="344"/>
      <c r="WRE49" s="345"/>
      <c r="WRF49" s="342"/>
      <c r="WRG49" s="343"/>
      <c r="WRH49" s="344"/>
      <c r="WRI49" s="345"/>
      <c r="WRJ49" s="342"/>
      <c r="WRK49" s="343"/>
      <c r="WRL49" s="344"/>
      <c r="WRM49" s="345"/>
      <c r="WRN49" s="342"/>
      <c r="WRO49" s="343"/>
      <c r="WRP49" s="344"/>
      <c r="WRQ49" s="345"/>
      <c r="WRR49" s="342"/>
      <c r="WRS49" s="343"/>
      <c r="WRT49" s="344"/>
      <c r="WRU49" s="345"/>
      <c r="WRV49" s="342"/>
      <c r="WRW49" s="343"/>
      <c r="WRX49" s="344"/>
      <c r="WRY49" s="345"/>
      <c r="WRZ49" s="342"/>
      <c r="WSA49" s="343"/>
      <c r="WSB49" s="344"/>
      <c r="WSC49" s="345"/>
      <c r="WSD49" s="342"/>
      <c r="WSE49" s="343"/>
      <c r="WSF49" s="344"/>
      <c r="WSG49" s="345"/>
      <c r="WSH49" s="342"/>
      <c r="WSI49" s="343"/>
      <c r="WSJ49" s="344"/>
      <c r="WSK49" s="345"/>
      <c r="WSL49" s="342"/>
      <c r="WSM49" s="343"/>
      <c r="WSN49" s="344"/>
      <c r="WSO49" s="345"/>
      <c r="WSP49" s="342"/>
      <c r="WSQ49" s="343"/>
      <c r="WSR49" s="344"/>
      <c r="WSS49" s="345"/>
      <c r="WST49" s="342"/>
      <c r="WSU49" s="343"/>
      <c r="WSV49" s="344"/>
      <c r="WSW49" s="345"/>
      <c r="WSX49" s="342"/>
      <c r="WSY49" s="343"/>
      <c r="WSZ49" s="344"/>
      <c r="WTA49" s="345"/>
      <c r="WTB49" s="342"/>
      <c r="WTC49" s="343"/>
      <c r="WTD49" s="344"/>
      <c r="WTE49" s="345"/>
      <c r="WTF49" s="342"/>
      <c r="WTG49" s="343"/>
      <c r="WTH49" s="344"/>
      <c r="WTI49" s="345"/>
      <c r="WTJ49" s="342"/>
      <c r="WTK49" s="343"/>
      <c r="WTL49" s="344"/>
      <c r="WTM49" s="345"/>
      <c r="WTN49" s="342"/>
      <c r="WTO49" s="343"/>
      <c r="WTP49" s="344"/>
      <c r="WTQ49" s="345"/>
      <c r="WTR49" s="342"/>
      <c r="WTS49" s="343"/>
      <c r="WTT49" s="344"/>
      <c r="WTU49" s="345"/>
      <c r="WTV49" s="342"/>
      <c r="WTW49" s="343"/>
      <c r="WTX49" s="344"/>
      <c r="WTY49" s="345"/>
      <c r="WTZ49" s="342"/>
      <c r="WUA49" s="343"/>
      <c r="WUB49" s="344"/>
      <c r="WUC49" s="345"/>
      <c r="WUD49" s="342"/>
      <c r="WUE49" s="343"/>
      <c r="WUF49" s="344"/>
      <c r="WUG49" s="345"/>
      <c r="WUH49" s="342"/>
      <c r="WUI49" s="343"/>
      <c r="WUJ49" s="344"/>
      <c r="WUK49" s="345"/>
      <c r="WUL49" s="342"/>
      <c r="WUM49" s="343"/>
      <c r="WUN49" s="344"/>
      <c r="WUO49" s="345"/>
      <c r="WUP49" s="342"/>
      <c r="WUQ49" s="343"/>
      <c r="WUR49" s="344"/>
      <c r="WUS49" s="345"/>
      <c r="WUT49" s="342"/>
      <c r="WUU49" s="343"/>
      <c r="WUV49" s="344"/>
      <c r="WUW49" s="345"/>
      <c r="WUX49" s="342"/>
      <c r="WUY49" s="343"/>
      <c r="WUZ49" s="344"/>
      <c r="WVA49" s="345"/>
      <c r="WVB49" s="342"/>
      <c r="WVC49" s="343"/>
      <c r="WVD49" s="344"/>
      <c r="WVE49" s="345"/>
      <c r="WVF49" s="342"/>
      <c r="WVG49" s="343"/>
      <c r="WVH49" s="344"/>
      <c r="WVI49" s="345"/>
      <c r="WVJ49" s="342"/>
      <c r="WVK49" s="343"/>
      <c r="WVL49" s="344"/>
      <c r="WVM49" s="345"/>
      <c r="WVN49" s="342"/>
      <c r="WVO49" s="343"/>
      <c r="WVP49" s="344"/>
      <c r="WVQ49" s="345"/>
      <c r="WVR49" s="342"/>
      <c r="WVS49" s="343"/>
      <c r="WVT49" s="344"/>
      <c r="WVU49" s="345"/>
      <c r="WVV49" s="342"/>
      <c r="WVW49" s="343"/>
      <c r="WVX49" s="344"/>
      <c r="WVY49" s="345"/>
      <c r="WVZ49" s="342"/>
      <c r="WWA49" s="343"/>
      <c r="WWB49" s="344"/>
      <c r="WWC49" s="345"/>
      <c r="WWD49" s="342"/>
      <c r="WWE49" s="343"/>
      <c r="WWF49" s="344"/>
      <c r="WWG49" s="345"/>
      <c r="WWH49" s="342"/>
      <c r="WWI49" s="343"/>
      <c r="WWJ49" s="344"/>
      <c r="WWK49" s="345"/>
      <c r="WWL49" s="342"/>
      <c r="WWM49" s="343"/>
      <c r="WWN49" s="344"/>
      <c r="WWO49" s="345"/>
      <c r="WWP49" s="342"/>
      <c r="WWQ49" s="343"/>
      <c r="WWR49" s="344"/>
      <c r="WWS49" s="345"/>
      <c r="WWT49" s="342"/>
      <c r="WWU49" s="343"/>
      <c r="WWV49" s="344"/>
      <c r="WWW49" s="345"/>
      <c r="WWX49" s="342"/>
      <c r="WWY49" s="343"/>
      <c r="WWZ49" s="344"/>
      <c r="WXA49" s="345"/>
      <c r="WXB49" s="342"/>
      <c r="WXC49" s="343"/>
      <c r="WXD49" s="344"/>
      <c r="WXE49" s="345"/>
      <c r="WXF49" s="342"/>
      <c r="WXG49" s="343"/>
      <c r="WXH49" s="344"/>
      <c r="WXI49" s="345"/>
      <c r="WXJ49" s="342"/>
      <c r="WXK49" s="343"/>
      <c r="WXL49" s="344"/>
      <c r="WXM49" s="345"/>
      <c r="WXN49" s="342"/>
      <c r="WXO49" s="343"/>
      <c r="WXP49" s="344"/>
      <c r="WXQ49" s="345"/>
      <c r="WXR49" s="342"/>
      <c r="WXS49" s="343"/>
      <c r="WXT49" s="344"/>
      <c r="WXU49" s="345"/>
      <c r="WXV49" s="342"/>
      <c r="WXW49" s="343"/>
      <c r="WXX49" s="344"/>
      <c r="WXY49" s="345"/>
      <c r="WXZ49" s="342"/>
      <c r="WYA49" s="343"/>
      <c r="WYB49" s="344"/>
      <c r="WYC49" s="345"/>
      <c r="WYD49" s="342"/>
      <c r="WYE49" s="343"/>
      <c r="WYF49" s="344"/>
      <c r="WYG49" s="345"/>
      <c r="WYH49" s="342"/>
      <c r="WYI49" s="343"/>
      <c r="WYJ49" s="344"/>
      <c r="WYK49" s="345"/>
      <c r="WYL49" s="342"/>
      <c r="WYM49" s="343"/>
      <c r="WYN49" s="344"/>
      <c r="WYO49" s="345"/>
      <c r="WYP49" s="342"/>
      <c r="WYQ49" s="343"/>
      <c r="WYR49" s="344"/>
      <c r="WYS49" s="345"/>
      <c r="WYT49" s="342"/>
      <c r="WYU49" s="343"/>
      <c r="WYV49" s="344"/>
      <c r="WYW49" s="345"/>
      <c r="WYX49" s="342"/>
      <c r="WYY49" s="343"/>
      <c r="WYZ49" s="344"/>
      <c r="WZA49" s="345"/>
      <c r="WZB49" s="342"/>
      <c r="WZC49" s="343"/>
      <c r="WZD49" s="344"/>
      <c r="WZE49" s="345"/>
      <c r="WZF49" s="342"/>
      <c r="WZG49" s="343"/>
      <c r="WZH49" s="344"/>
      <c r="WZI49" s="345"/>
      <c r="WZJ49" s="342"/>
      <c r="WZK49" s="343"/>
      <c r="WZL49" s="344"/>
      <c r="WZM49" s="345"/>
      <c r="WZN49" s="342"/>
      <c r="WZO49" s="343"/>
      <c r="WZP49" s="344"/>
      <c r="WZQ49" s="345"/>
      <c r="WZR49" s="342"/>
      <c r="WZS49" s="343"/>
      <c r="WZT49" s="344"/>
      <c r="WZU49" s="345"/>
      <c r="WZV49" s="342"/>
      <c r="WZW49" s="343"/>
      <c r="WZX49" s="344"/>
      <c r="WZY49" s="345"/>
      <c r="WZZ49" s="342"/>
      <c r="XAA49" s="343"/>
      <c r="XAB49" s="344"/>
      <c r="XAC49" s="345"/>
      <c r="XAD49" s="342"/>
      <c r="XAE49" s="343"/>
      <c r="XAF49" s="344"/>
      <c r="XAG49" s="345"/>
      <c r="XAH49" s="342"/>
      <c r="XAI49" s="343"/>
      <c r="XAJ49" s="344"/>
      <c r="XAK49" s="345"/>
      <c r="XAL49" s="342"/>
      <c r="XAM49" s="343"/>
      <c r="XAN49" s="344"/>
      <c r="XAO49" s="345"/>
      <c r="XAP49" s="342"/>
      <c r="XAQ49" s="343"/>
      <c r="XAR49" s="344"/>
      <c r="XAS49" s="345"/>
      <c r="XAT49" s="342"/>
      <c r="XAU49" s="343"/>
      <c r="XAV49" s="344"/>
      <c r="XAW49" s="345"/>
      <c r="XAX49" s="342"/>
      <c r="XAY49" s="343"/>
      <c r="XAZ49" s="344"/>
      <c r="XBA49" s="345"/>
      <c r="XBB49" s="342"/>
      <c r="XBC49" s="343"/>
      <c r="XBD49" s="344"/>
      <c r="XBE49" s="345"/>
      <c r="XBF49" s="342"/>
      <c r="XBG49" s="343"/>
      <c r="XBH49" s="344"/>
      <c r="XBI49" s="345"/>
      <c r="XBJ49" s="342"/>
      <c r="XBK49" s="343"/>
      <c r="XBL49" s="344"/>
      <c r="XBM49" s="345"/>
      <c r="XBN49" s="342"/>
      <c r="XBO49" s="343"/>
      <c r="XBP49" s="344"/>
      <c r="XBQ49" s="345"/>
      <c r="XBR49" s="342"/>
      <c r="XBS49" s="343"/>
      <c r="XBT49" s="344"/>
      <c r="XBU49" s="345"/>
      <c r="XBV49" s="342"/>
      <c r="XBW49" s="343"/>
      <c r="XBX49" s="344"/>
      <c r="XBY49" s="345"/>
      <c r="XBZ49" s="342"/>
      <c r="XCA49" s="343"/>
      <c r="XCB49" s="344"/>
      <c r="XCC49" s="345"/>
      <c r="XCD49" s="342"/>
      <c r="XCE49" s="343"/>
      <c r="XCF49" s="344"/>
      <c r="XCG49" s="345"/>
      <c r="XCH49" s="342"/>
      <c r="XCI49" s="343"/>
      <c r="XCJ49" s="344"/>
      <c r="XCK49" s="345"/>
      <c r="XCL49" s="342"/>
      <c r="XCM49" s="343"/>
      <c r="XCN49" s="344"/>
      <c r="XCO49" s="345"/>
      <c r="XCP49" s="342"/>
      <c r="XCQ49" s="343"/>
      <c r="XCR49" s="344"/>
      <c r="XCS49" s="345"/>
      <c r="XCT49" s="342"/>
      <c r="XCU49" s="343"/>
      <c r="XCV49" s="344"/>
      <c r="XCW49" s="345"/>
      <c r="XCX49" s="342"/>
      <c r="XCY49" s="343"/>
      <c r="XCZ49" s="344"/>
      <c r="XDA49" s="345"/>
      <c r="XDB49" s="342"/>
      <c r="XDC49" s="343"/>
      <c r="XDD49" s="344"/>
      <c r="XDE49" s="345"/>
      <c r="XDF49" s="342"/>
      <c r="XDG49" s="343"/>
      <c r="XDH49" s="344"/>
      <c r="XDI49" s="345"/>
      <c r="XDJ49" s="342"/>
      <c r="XDK49" s="343"/>
      <c r="XDL49" s="344"/>
      <c r="XDM49" s="345"/>
      <c r="XDN49" s="342"/>
      <c r="XDO49" s="343"/>
      <c r="XDP49" s="344"/>
      <c r="XDQ49" s="345"/>
      <c r="XDR49" s="342"/>
      <c r="XDS49" s="343"/>
      <c r="XDT49" s="344"/>
      <c r="XDU49" s="345"/>
      <c r="XDV49" s="342"/>
      <c r="XDW49" s="343"/>
      <c r="XDX49" s="344"/>
      <c r="XDY49" s="345"/>
      <c r="XDZ49" s="342"/>
      <c r="XEA49" s="343"/>
      <c r="XEB49" s="344"/>
      <c r="XEC49" s="345"/>
      <c r="XED49" s="342"/>
      <c r="XEE49" s="343"/>
      <c r="XEF49" s="344"/>
      <c r="XEG49" s="345"/>
      <c r="XEH49" s="342"/>
      <c r="XEI49" s="343"/>
      <c r="XEJ49" s="344"/>
      <c r="XEK49" s="345"/>
      <c r="XEL49" s="342"/>
      <c r="XEM49" s="343"/>
      <c r="XEN49" s="344"/>
      <c r="XEO49" s="345"/>
    </row>
    <row r="50" spans="1:16369" ht="45" x14ac:dyDescent="0.2">
      <c r="A50" s="347">
        <v>17</v>
      </c>
      <c r="B50" s="348">
        <v>2302</v>
      </c>
      <c r="C50" s="349" t="s">
        <v>1144</v>
      </c>
      <c r="D50" s="362">
        <f>'POAI IV TRIM 2020'!AF341</f>
        <v>353721000</v>
      </c>
    </row>
    <row r="51" spans="1:16369" ht="30" x14ac:dyDescent="0.2">
      <c r="A51" s="332">
        <v>42</v>
      </c>
      <c r="B51" s="332">
        <v>4502</v>
      </c>
      <c r="C51" s="333" t="s">
        <v>61</v>
      </c>
      <c r="D51" s="362">
        <f>'POAI IV TRIM 2020'!AF11+'POAI IV TRIM 2020'!AF15+'POAI IV TRIM 2020'!AF72+'POAI IV TRIM 2020'!AF105+'POAI IV TRIM 2020'!AF191+'POAI IV TRIM 2020'!AF261</f>
        <v>381483575.15999997</v>
      </c>
    </row>
    <row r="52" spans="1:16369" ht="45" x14ac:dyDescent="0.2">
      <c r="A52" s="332">
        <v>45</v>
      </c>
      <c r="B52" s="332" t="s">
        <v>1292</v>
      </c>
      <c r="C52" s="333" t="s">
        <v>46</v>
      </c>
      <c r="D52" s="362">
        <f>'POAI IV TRIM 2020'!AF8+'POAI IV TRIM 2020'!AF17+'POAI IV TRIM 2020'!AF31+'POAI IV TRIM 2020'!AF70+'POAI IV TRIM 2020'!AF188+'POAI IV TRIM 2020'!AF379</f>
        <v>4196176890.5799999</v>
      </c>
    </row>
    <row r="53" spans="1:16369" x14ac:dyDescent="0.25">
      <c r="D53" s="363"/>
    </row>
    <row r="54" spans="1:16369" x14ac:dyDescent="0.25">
      <c r="A54" s="339"/>
      <c r="B54" s="340"/>
      <c r="C54" s="341"/>
      <c r="D54" s="361">
        <f>D49+D38+D23+D3</f>
        <v>261880040260.62</v>
      </c>
    </row>
  </sheetData>
  <sheetProtection password="A60F" sheet="1" objects="1" scenarios="1"/>
  <mergeCells count="1">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D9"/>
  <sheetViews>
    <sheetView showGridLines="0" workbookViewId="0">
      <selection activeCell="B14" sqref="B14"/>
    </sheetView>
  </sheetViews>
  <sheetFormatPr baseColWidth="10" defaultRowHeight="15" x14ac:dyDescent="0.25"/>
  <cols>
    <col min="2" max="2" width="46.28515625" customWidth="1"/>
    <col min="3" max="3" width="24.85546875" customWidth="1"/>
    <col min="4" max="4" width="14.42578125" customWidth="1"/>
  </cols>
  <sheetData>
    <row r="1" spans="1:4" ht="53.25" customHeight="1" x14ac:dyDescent="0.25">
      <c r="A1" s="545" t="s">
        <v>1432</v>
      </c>
      <c r="B1" s="545"/>
      <c r="C1" s="545"/>
      <c r="D1" s="545"/>
    </row>
    <row r="2" spans="1:4" ht="33.75" customHeight="1" x14ac:dyDescent="0.25">
      <c r="A2" s="546" t="s">
        <v>1420</v>
      </c>
      <c r="B2" s="547"/>
      <c r="C2" s="322" t="s">
        <v>13</v>
      </c>
      <c r="D2" s="323" t="s">
        <v>1422</v>
      </c>
    </row>
    <row r="3" spans="1:4" x14ac:dyDescent="0.25">
      <c r="A3" s="461">
        <v>1</v>
      </c>
      <c r="B3" s="255" t="s">
        <v>1417</v>
      </c>
      <c r="C3" s="458">
        <f>'POAI IV TRIM 2020'!AF35+'POAI IV TRIM 2020'!AF75+'POAI IV TRIM 2020'!AF112+'POAI IV TRIM 2020'!AF194+'POAI IV TRIM 2020'!AF221+'POAI IV TRIM 2020'!AF264+'POAI IV TRIM 2020'!AF329+'POAI IV TRIM 2020'!AF346+'POAI IV TRIM 2020'!AF365</f>
        <v>247237373639.39999</v>
      </c>
      <c r="D3" s="371">
        <f>C3/$C$7</f>
        <v>0.94408635875171021</v>
      </c>
    </row>
    <row r="4" spans="1:4" ht="15.75" x14ac:dyDescent="0.25">
      <c r="A4" s="461">
        <v>2</v>
      </c>
      <c r="B4" s="318" t="s">
        <v>1418</v>
      </c>
      <c r="C4" s="458">
        <f>'POAI IV TRIM 2020'!AF48+'POAI IV TRIM 2020'!AF124+'POAI IV TRIM 2020'!AF140+'POAI IV TRIM 2020'!AF257+'POAI IV TRIM 2020'!AF335</f>
        <v>3847235864.8199997</v>
      </c>
      <c r="D4" s="371">
        <f>C4/$C$7</f>
        <v>1.469083272246054E-2</v>
      </c>
    </row>
    <row r="5" spans="1:4" ht="15.75" x14ac:dyDescent="0.25">
      <c r="A5" s="461">
        <v>3</v>
      </c>
      <c r="B5" s="318" t="s">
        <v>1419</v>
      </c>
      <c r="C5" s="459">
        <f>'POAI IV TRIM 2020'!AF53+'POAI IV TRIM 2020'!AF96+'POAI IV TRIM 2020'!AF171+'POAI IV TRIM 2020'!AF370+'POAI IV TRIM 2020'!AF382</f>
        <v>5864049290.6599998</v>
      </c>
      <c r="D5" s="371">
        <f>C5/$C$7</f>
        <v>2.2392120013515218E-2</v>
      </c>
    </row>
    <row r="6" spans="1:4" ht="15.75" x14ac:dyDescent="0.25">
      <c r="A6" s="461">
        <v>4</v>
      </c>
      <c r="B6" s="318" t="s">
        <v>1416</v>
      </c>
      <c r="C6" s="459">
        <f>'POAI IV TRIM 2020'!AF7+'POAI IV TRIM 2020'!AF14+'POAI IV TRIM 2020'!AF30+'POAI IV TRIM 2020'!AF69+'POAI IV TRIM 2020'!AF104+'POAI IV TRIM 2020'!AF187+'POAI IV TRIM 2020'!AF340+'POAI IV TRIM 2020'!AF378+'POAI IV TRIM 2020'!AF260</f>
        <v>4931381465.7399998</v>
      </c>
      <c r="D6" s="371">
        <f>C6/$C$7</f>
        <v>1.8830688512314057E-2</v>
      </c>
    </row>
    <row r="7" spans="1:4" ht="15.75" x14ac:dyDescent="0.25">
      <c r="A7" s="319"/>
      <c r="B7" s="320" t="s">
        <v>1421</v>
      </c>
      <c r="C7" s="460">
        <f>SUM(C3:C6)</f>
        <v>261880040260.62</v>
      </c>
      <c r="D7" s="321">
        <f>SUM(D3:D6)</f>
        <v>1</v>
      </c>
    </row>
    <row r="8" spans="1:4" ht="15.75" x14ac:dyDescent="0.25">
      <c r="B8" s="110"/>
      <c r="C8" s="317"/>
      <c r="D8" s="317"/>
    </row>
    <row r="9" spans="1:4" ht="15.75" x14ac:dyDescent="0.25">
      <c r="B9" s="110"/>
      <c r="C9" s="317"/>
      <c r="D9" s="317"/>
    </row>
  </sheetData>
  <sheetProtection password="A60F" sheet="1" objects="1" scenarios="1"/>
  <mergeCells count="2">
    <mergeCell ref="A1:D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POAI IV TRIM 2020</vt:lpstr>
      <vt:lpstr>LISTA PROYECTOS</vt:lpstr>
      <vt:lpstr>PROGRAMAS </vt:lpstr>
      <vt:lpstr>LINEAS ESTRATEGICAS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usuario</cp:lastModifiedBy>
  <dcterms:created xsi:type="dcterms:W3CDTF">2020-07-04T13:49:41Z</dcterms:created>
  <dcterms:modified xsi:type="dcterms:W3CDTF">2021-02-07T20:21:27Z</dcterms:modified>
</cp:coreProperties>
</file>