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GOBERNACION QUINDIO 2019\PAGINA WEB\SGTO III TRIMESTRE 2019\PROGR INSTRUM SEP 2019\"/>
    </mc:Choice>
  </mc:AlternateContent>
  <bookViews>
    <workbookView xWindow="0" yWindow="0" windowWidth="24000" windowHeight="9435"/>
  </bookViews>
  <sheets>
    <sheet name="POAI SEP 2019" sheetId="7" r:id="rId1"/>
    <sheet name="PROYECTOS" sheetId="19" r:id="rId2"/>
  </sheets>
  <definedNames>
    <definedName name="_1._Apoyo_con_equipos_para_la_seguridad_vial_Licenciamiento_de_software_para_comunicaciones">#REF!</definedName>
    <definedName name="_xlnm._FilterDatabase" localSheetId="0" hidden="1">'POAI SEP 2019'!$A$5:$AI$5</definedName>
    <definedName name="CODIGO_DIVIPOLA">#REF!</definedName>
    <definedName name="DboREGISTRO_LEY_617">#REF!</definedName>
    <definedName name="ññ">#REF!</definedName>
    <definedName name="sasas">#REF!</definedName>
  </definedNames>
  <calcPr calcId="15251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F712" i="7" l="1"/>
  <c r="AF690" i="7"/>
  <c r="AH172" i="7"/>
  <c r="AH173" i="7" s="1"/>
  <c r="AH182" i="7"/>
  <c r="AH186" i="7"/>
  <c r="AH187" i="7" l="1"/>
  <c r="AH188" i="7" s="1"/>
  <c r="AE477" i="7" l="1"/>
  <c r="AE476" i="7"/>
  <c r="AE466" i="7" l="1"/>
  <c r="AE465" i="7"/>
  <c r="AE331" i="7" l="1"/>
  <c r="AE329" i="7"/>
  <c r="AE69" i="7" l="1"/>
  <c r="AE73" i="7"/>
  <c r="AE72" i="7"/>
  <c r="X752" i="7" l="1"/>
  <c r="Z752" i="7"/>
  <c r="AA752" i="7"/>
  <c r="AB752" i="7"/>
  <c r="AC752" i="7"/>
  <c r="AD752" i="7"/>
  <c r="AE735" i="7"/>
  <c r="AD674" i="7"/>
  <c r="AD675" i="7" s="1"/>
  <c r="AD676" i="7" s="1"/>
  <c r="AD677" i="7" s="1"/>
  <c r="AH218" i="7" l="1"/>
  <c r="AH219" i="7" s="1"/>
  <c r="AI95" i="7"/>
  <c r="A146" i="19" l="1"/>
  <c r="A147" i="19" s="1"/>
  <c r="A148" i="19" s="1"/>
  <c r="A145" i="19"/>
  <c r="A144" i="19"/>
  <c r="A110" i="19"/>
  <c r="A111" i="19" s="1"/>
  <c r="A112" i="19" s="1"/>
  <c r="A113" i="19" s="1"/>
  <c r="A114" i="19" s="1"/>
  <c r="A115" i="19" s="1"/>
  <c r="A116" i="19" s="1"/>
  <c r="A117" i="19" s="1"/>
  <c r="A118" i="19" s="1"/>
  <c r="A119" i="19" s="1"/>
  <c r="A120" i="19" s="1"/>
  <c r="A121" i="19" s="1"/>
  <c r="A122" i="19" s="1"/>
  <c r="A123" i="19" s="1"/>
  <c r="A124" i="19" s="1"/>
  <c r="A127" i="19" s="1"/>
  <c r="A128" i="19" s="1"/>
  <c r="A129" i="19" s="1"/>
  <c r="A130" i="19" s="1"/>
  <c r="A131" i="19" s="1"/>
  <c r="A132" i="19" s="1"/>
  <c r="A133" i="19" s="1"/>
  <c r="A94" i="19"/>
  <c r="A95" i="19" s="1"/>
  <c r="A96" i="19" s="1"/>
  <c r="A97" i="19" s="1"/>
  <c r="A98" i="19" s="1"/>
  <c r="A99" i="19" s="1"/>
  <c r="A100" i="19" s="1"/>
  <c r="A101" i="19" s="1"/>
  <c r="A102" i="19" s="1"/>
  <c r="A103" i="19" s="1"/>
  <c r="A104" i="19" s="1"/>
  <c r="A105" i="19" s="1"/>
  <c r="A80" i="19"/>
  <c r="A81" i="19" s="1"/>
  <c r="A82" i="19" s="1"/>
  <c r="A83" i="19" s="1"/>
  <c r="A84" i="19" s="1"/>
  <c r="A85" i="19" s="1"/>
  <c r="A86" i="19" s="1"/>
  <c r="A87" i="19" s="1"/>
  <c r="A88" i="19" s="1"/>
  <c r="A89" i="19" s="1"/>
  <c r="A90" i="19" s="1"/>
  <c r="A91" i="19" s="1"/>
  <c r="A79" i="19"/>
  <c r="A78" i="19"/>
  <c r="A63" i="19"/>
  <c r="A64" i="19" s="1"/>
  <c r="A65" i="19" s="1"/>
  <c r="A66" i="19" s="1"/>
  <c r="A67" i="19" s="1"/>
  <c r="A68" i="19" s="1"/>
  <c r="A69" i="19" s="1"/>
  <c r="A70" i="19" s="1"/>
  <c r="A71" i="19" s="1"/>
  <c r="A62" i="19"/>
  <c r="A56" i="19"/>
  <c r="A57" i="19" s="1"/>
  <c r="A58" i="19" s="1"/>
  <c r="A59" i="19" s="1"/>
  <c r="A55" i="19"/>
  <c r="A54" i="19"/>
  <c r="A51" i="19"/>
  <c r="A50" i="19"/>
  <c r="A49" i="19"/>
  <c r="A48" i="19"/>
  <c r="A47" i="19"/>
  <c r="A37" i="19"/>
  <c r="A38" i="19" s="1"/>
  <c r="A39" i="19" s="1"/>
  <c r="A40" i="19" s="1"/>
  <c r="A41" i="19" s="1"/>
  <c r="A42" i="19" s="1"/>
  <c r="A43" i="19" s="1"/>
  <c r="A44" i="19" s="1"/>
  <c r="A36" i="19"/>
  <c r="A33" i="19"/>
  <c r="A32" i="19"/>
  <c r="A31" i="19"/>
  <c r="A30" i="19"/>
  <c r="A29" i="19"/>
  <c r="G28" i="19"/>
  <c r="A27" i="19"/>
  <c r="A15" i="19"/>
  <c r="A16" i="19" s="1"/>
  <c r="A17" i="19" s="1"/>
  <c r="A18" i="19" s="1"/>
  <c r="A19" i="19" s="1"/>
  <c r="A20" i="19" s="1"/>
  <c r="A21" i="19" s="1"/>
  <c r="A14" i="19"/>
  <c r="A13" i="19"/>
  <c r="A11" i="19"/>
  <c r="A10" i="19"/>
  <c r="A9" i="19"/>
  <c r="W752" i="7"/>
  <c r="V752" i="7"/>
  <c r="U752" i="7"/>
  <c r="T752" i="7"/>
  <c r="R752" i="7"/>
  <c r="Q752" i="7"/>
  <c r="AG748" i="7"/>
  <c r="AG749" i="7" s="1"/>
  <c r="AG750" i="7" s="1"/>
  <c r="AG751" i="7" s="1"/>
  <c r="AG752" i="7" s="1"/>
  <c r="AF748" i="7"/>
  <c r="AF749" i="7" s="1"/>
  <c r="AF750" i="7" s="1"/>
  <c r="AF751" i="7" s="1"/>
  <c r="AI747" i="7"/>
  <c r="AE746" i="7"/>
  <c r="AI746" i="7" s="1"/>
  <c r="AE745" i="7"/>
  <c r="AI745" i="7" s="1"/>
  <c r="Y735" i="7"/>
  <c r="S735" i="7"/>
  <c r="S736" i="7" s="1"/>
  <c r="S737" i="7" s="1"/>
  <c r="S738" i="7" s="1"/>
  <c r="S752" i="7" s="1"/>
  <c r="AF734" i="7"/>
  <c r="AF733" i="7"/>
  <c r="AI733" i="7" s="1"/>
  <c r="AI732" i="7"/>
  <c r="AI731" i="7"/>
  <c r="AH728" i="7"/>
  <c r="AG728" i="7"/>
  <c r="AE728" i="7"/>
  <c r="AE736" i="7" s="1"/>
  <c r="AE737" i="7" s="1"/>
  <c r="AE738" i="7" s="1"/>
  <c r="Y728" i="7"/>
  <c r="AF727" i="7"/>
  <c r="AF728" i="7" s="1"/>
  <c r="AH718" i="7"/>
  <c r="AH719" i="7" s="1"/>
  <c r="AE718" i="7"/>
  <c r="AE719" i="7" s="1"/>
  <c r="Y718" i="7"/>
  <c r="Y719" i="7" s="1"/>
  <c r="AF717" i="7"/>
  <c r="AF718" i="7" s="1"/>
  <c r="AF719" i="7" s="1"/>
  <c r="AG712" i="7"/>
  <c r="AE712" i="7"/>
  <c r="Y712" i="7"/>
  <c r="AH711" i="7"/>
  <c r="AH712" i="7" s="1"/>
  <c r="AG708" i="7"/>
  <c r="AE708" i="7"/>
  <c r="Y708" i="7"/>
  <c r="AH707" i="7"/>
  <c r="AF707" i="7"/>
  <c r="AH706" i="7"/>
  <c r="AF706" i="7"/>
  <c r="AH705" i="7"/>
  <c r="AF705" i="7"/>
  <c r="AH700" i="7"/>
  <c r="AG700" i="7"/>
  <c r="AE700" i="7"/>
  <c r="Y700" i="7"/>
  <c r="AI699" i="7"/>
  <c r="AF698" i="7"/>
  <c r="AI698" i="7" s="1"/>
  <c r="AF697" i="7"/>
  <c r="AG694" i="7"/>
  <c r="AE694" i="7"/>
  <c r="Y694" i="7"/>
  <c r="AH693" i="7"/>
  <c r="AH694" i="7" s="1"/>
  <c r="AF693" i="7"/>
  <c r="AH690" i="7"/>
  <c r="AG690" i="7"/>
  <c r="AE690" i="7"/>
  <c r="Y690" i="7"/>
  <c r="AI689" i="7"/>
  <c r="G143" i="19" s="1"/>
  <c r="AH686" i="7"/>
  <c r="AG686" i="7"/>
  <c r="AB686" i="7"/>
  <c r="Y686" i="7"/>
  <c r="P686" i="7"/>
  <c r="AI685" i="7"/>
  <c r="AF684" i="7"/>
  <c r="AF686" i="7" s="1"/>
  <c r="AE684" i="7"/>
  <c r="AE686" i="7" s="1"/>
  <c r="AH674" i="7"/>
  <c r="AH675" i="7" s="1"/>
  <c r="AH676" i="7" s="1"/>
  <c r="AH677" i="7" s="1"/>
  <c r="AG674" i="7"/>
  <c r="AG675" i="7" s="1"/>
  <c r="AG676" i="7" s="1"/>
  <c r="AG677" i="7" s="1"/>
  <c r="AF674" i="7"/>
  <c r="AF675" i="7" s="1"/>
  <c r="AF676" i="7" s="1"/>
  <c r="AF677" i="7" s="1"/>
  <c r="AC674" i="7"/>
  <c r="AC675" i="7" s="1"/>
  <c r="AC676" i="7" s="1"/>
  <c r="AC677" i="7" s="1"/>
  <c r="AB674" i="7"/>
  <c r="AB675" i="7" s="1"/>
  <c r="AB676" i="7" s="1"/>
  <c r="AB677" i="7" s="1"/>
  <c r="AA674" i="7"/>
  <c r="AA675" i="7" s="1"/>
  <c r="AA676" i="7" s="1"/>
  <c r="AA677" i="7" s="1"/>
  <c r="Z674" i="7"/>
  <c r="Z675" i="7" s="1"/>
  <c r="Z676" i="7" s="1"/>
  <c r="Z677" i="7" s="1"/>
  <c r="Y674" i="7"/>
  <c r="Y675" i="7" s="1"/>
  <c r="Y676" i="7" s="1"/>
  <c r="Y677" i="7" s="1"/>
  <c r="X674" i="7"/>
  <c r="X675" i="7" s="1"/>
  <c r="X676" i="7" s="1"/>
  <c r="X677" i="7" s="1"/>
  <c r="W674" i="7"/>
  <c r="W675" i="7" s="1"/>
  <c r="W676" i="7" s="1"/>
  <c r="W677" i="7" s="1"/>
  <c r="V674" i="7"/>
  <c r="V675" i="7" s="1"/>
  <c r="V676" i="7" s="1"/>
  <c r="V677" i="7" s="1"/>
  <c r="U674" i="7"/>
  <c r="U675" i="7" s="1"/>
  <c r="U676" i="7" s="1"/>
  <c r="U677" i="7" s="1"/>
  <c r="T674" i="7"/>
  <c r="T675" i="7" s="1"/>
  <c r="T676" i="7" s="1"/>
  <c r="T677" i="7" s="1"/>
  <c r="S674" i="7"/>
  <c r="S675" i="7" s="1"/>
  <c r="S676" i="7" s="1"/>
  <c r="S677" i="7" s="1"/>
  <c r="R674" i="7"/>
  <c r="R675" i="7" s="1"/>
  <c r="R676" i="7" s="1"/>
  <c r="R677" i="7" s="1"/>
  <c r="Q674" i="7"/>
  <c r="Q675" i="7" s="1"/>
  <c r="Q676" i="7" s="1"/>
  <c r="Q677" i="7" s="1"/>
  <c r="AE673" i="7"/>
  <c r="AI673" i="7" s="1"/>
  <c r="G137" i="19" s="1"/>
  <c r="AE672" i="7"/>
  <c r="AI672" i="7" s="1"/>
  <c r="G136" i="19" s="1"/>
  <c r="AI671" i="7"/>
  <c r="AH662" i="7"/>
  <c r="AH663" i="7" s="1"/>
  <c r="AG662" i="7"/>
  <c r="AG663" i="7" s="1"/>
  <c r="AG664" i="7" s="1"/>
  <c r="AG665" i="7" s="1"/>
  <c r="AF662" i="7"/>
  <c r="AF663" i="7" s="1"/>
  <c r="AF664" i="7" s="1"/>
  <c r="AF665" i="7" s="1"/>
  <c r="AE662" i="7"/>
  <c r="AE663" i="7" s="1"/>
  <c r="AD662" i="7"/>
  <c r="AD663" i="7" s="1"/>
  <c r="AC662" i="7"/>
  <c r="AC663" i="7" s="1"/>
  <c r="AB662" i="7"/>
  <c r="AB663" i="7" s="1"/>
  <c r="AA662" i="7"/>
  <c r="AA663" i="7" s="1"/>
  <c r="Z662" i="7"/>
  <c r="Z663" i="7" s="1"/>
  <c r="Y662" i="7"/>
  <c r="Y663" i="7" s="1"/>
  <c r="X662" i="7"/>
  <c r="X663" i="7" s="1"/>
  <c r="W662" i="7"/>
  <c r="W663" i="7" s="1"/>
  <c r="V662" i="7"/>
  <c r="V663" i="7" s="1"/>
  <c r="U662" i="7"/>
  <c r="U663" i="7" s="1"/>
  <c r="T662" i="7"/>
  <c r="T663" i="7" s="1"/>
  <c r="S662" i="7"/>
  <c r="S663" i="7" s="1"/>
  <c r="R662" i="7"/>
  <c r="R663" i="7" s="1"/>
  <c r="Q662" i="7"/>
  <c r="Q663" i="7" s="1"/>
  <c r="AI661" i="7"/>
  <c r="AI660" i="7"/>
  <c r="AI659" i="7"/>
  <c r="AH654" i="7"/>
  <c r="AB654" i="7"/>
  <c r="Z654" i="7"/>
  <c r="Y654" i="7"/>
  <c r="X654" i="7"/>
  <c r="AI653" i="7"/>
  <c r="AE652" i="7"/>
  <c r="AE654" i="7" s="1"/>
  <c r="AH649" i="7"/>
  <c r="AG649" i="7"/>
  <c r="AF649" i="7"/>
  <c r="AE649" i="7"/>
  <c r="AD649" i="7"/>
  <c r="AC649" i="7"/>
  <c r="AB649" i="7"/>
  <c r="AA649" i="7"/>
  <c r="Z649" i="7"/>
  <c r="Y649" i="7"/>
  <c r="X649" i="7"/>
  <c r="W649" i="7"/>
  <c r="V649" i="7"/>
  <c r="U649" i="7"/>
  <c r="T649" i="7"/>
  <c r="S649" i="7"/>
  <c r="R649" i="7"/>
  <c r="Q649" i="7"/>
  <c r="AI648" i="7"/>
  <c r="AI647" i="7"/>
  <c r="AH644" i="7"/>
  <c r="AG644" i="7"/>
  <c r="AF644" i="7"/>
  <c r="AD644" i="7"/>
  <c r="AC644" i="7"/>
  <c r="AB644" i="7"/>
  <c r="AA644" i="7"/>
  <c r="Z644" i="7"/>
  <c r="Y644" i="7"/>
  <c r="X644" i="7"/>
  <c r="W644" i="7"/>
  <c r="V644" i="7"/>
  <c r="U644" i="7"/>
  <c r="T644" i="7"/>
  <c r="S644" i="7"/>
  <c r="R644" i="7"/>
  <c r="Q644" i="7"/>
  <c r="AE643" i="7"/>
  <c r="AE644" i="7" s="1"/>
  <c r="AI642" i="7"/>
  <c r="AI641" i="7"/>
  <c r="AE638" i="7"/>
  <c r="AB638" i="7"/>
  <c r="Y638" i="7"/>
  <c r="AI637" i="7"/>
  <c r="G128" i="19" s="1"/>
  <c r="AE634" i="7"/>
  <c r="AI633" i="7"/>
  <c r="AH632" i="7"/>
  <c r="AH634" i="7" s="1"/>
  <c r="Y632" i="7"/>
  <c r="X632" i="7"/>
  <c r="X634" i="7" s="1"/>
  <c r="AI631" i="7"/>
  <c r="AH626" i="7"/>
  <c r="AH627" i="7" s="1"/>
  <c r="AE626" i="7"/>
  <c r="Z626" i="7"/>
  <c r="Y626" i="7"/>
  <c r="X626" i="7"/>
  <c r="AI625" i="7"/>
  <c r="G126" i="19" s="1"/>
  <c r="AE622" i="7"/>
  <c r="Z622" i="7"/>
  <c r="X622" i="7"/>
  <c r="Y621" i="7"/>
  <c r="Y622" i="7" s="1"/>
  <c r="AE618" i="7"/>
  <c r="AI617" i="7"/>
  <c r="AH612" i="7"/>
  <c r="AG612" i="7"/>
  <c r="AF612" i="7"/>
  <c r="AD612" i="7"/>
  <c r="AD613" i="7" s="1"/>
  <c r="AC612" i="7"/>
  <c r="AC613" i="7" s="1"/>
  <c r="AB612" i="7"/>
  <c r="AA612" i="7"/>
  <c r="AA613" i="7" s="1"/>
  <c r="Z612" i="7"/>
  <c r="Y612" i="7"/>
  <c r="W612" i="7"/>
  <c r="W613" i="7" s="1"/>
  <c r="V612" i="7"/>
  <c r="V613" i="7" s="1"/>
  <c r="U612" i="7"/>
  <c r="U613" i="7" s="1"/>
  <c r="T612" i="7"/>
  <c r="T613" i="7" s="1"/>
  <c r="S612" i="7"/>
  <c r="S613" i="7" s="1"/>
  <c r="R612" i="7"/>
  <c r="R613" i="7" s="1"/>
  <c r="Q612" i="7"/>
  <c r="Q613" i="7" s="1"/>
  <c r="X611" i="7"/>
  <c r="AI611" i="7" s="1"/>
  <c r="X610" i="7"/>
  <c r="AE609" i="7"/>
  <c r="AE612" i="7" s="1"/>
  <c r="X609" i="7"/>
  <c r="AE606" i="7"/>
  <c r="AI605" i="7"/>
  <c r="X604" i="7"/>
  <c r="AI604" i="7" s="1"/>
  <c r="AE601" i="7"/>
  <c r="AI600" i="7"/>
  <c r="X599" i="7"/>
  <c r="AI599" i="7" s="1"/>
  <c r="X598" i="7"/>
  <c r="AI598" i="7" s="1"/>
  <c r="X597" i="7"/>
  <c r="AE594" i="7"/>
  <c r="AB594" i="7"/>
  <c r="Y594" i="7"/>
  <c r="Z593" i="7"/>
  <c r="X592" i="7"/>
  <c r="AI592" i="7" s="1"/>
  <c r="X591" i="7"/>
  <c r="AE588" i="7"/>
  <c r="X588" i="7"/>
  <c r="AI587" i="7"/>
  <c r="AI586" i="7"/>
  <c r="AE583" i="7"/>
  <c r="X582" i="7"/>
  <c r="AI582" i="7" s="1"/>
  <c r="X581" i="7"/>
  <c r="AE578" i="7"/>
  <c r="AB578" i="7"/>
  <c r="AH577" i="7"/>
  <c r="X577" i="7"/>
  <c r="X578" i="7" s="1"/>
  <c r="AH576" i="7"/>
  <c r="AI576" i="7" s="1"/>
  <c r="AH575" i="7"/>
  <c r="AI575" i="7" s="1"/>
  <c r="AI574" i="7"/>
  <c r="AI573" i="7"/>
  <c r="AE570" i="7"/>
  <c r="X569" i="7"/>
  <c r="AI569" i="7" s="1"/>
  <c r="AI568" i="7"/>
  <c r="X567" i="7"/>
  <c r="AI567" i="7" s="1"/>
  <c r="AE564" i="7"/>
  <c r="AI563" i="7"/>
  <c r="AI562" i="7"/>
  <c r="X561" i="7"/>
  <c r="X564" i="7" s="1"/>
  <c r="AE558" i="7"/>
  <c r="AI557" i="7"/>
  <c r="X556" i="7"/>
  <c r="AI556" i="7" s="1"/>
  <c r="AI555" i="7"/>
  <c r="X554" i="7"/>
  <c r="AE551" i="7"/>
  <c r="X550" i="7"/>
  <c r="AI550" i="7" s="1"/>
  <c r="X549" i="7"/>
  <c r="AE544" i="7"/>
  <c r="AE545" i="7" s="1"/>
  <c r="X543" i="7"/>
  <c r="AI543" i="7" s="1"/>
  <c r="X542" i="7"/>
  <c r="AI542" i="7" s="1"/>
  <c r="X541" i="7"/>
  <c r="AE532" i="7"/>
  <c r="AE533" i="7" s="1"/>
  <c r="AE534" i="7" s="1"/>
  <c r="AE535" i="7" s="1"/>
  <c r="AI531" i="7"/>
  <c r="G107" i="19" s="1"/>
  <c r="G106" i="19" s="1"/>
  <c r="R521" i="7"/>
  <c r="AI521" i="7" s="1"/>
  <c r="R520" i="7"/>
  <c r="AE519" i="7"/>
  <c r="AI519" i="7" s="1"/>
  <c r="AI518" i="7"/>
  <c r="AH513" i="7"/>
  <c r="AE512" i="7"/>
  <c r="AI512" i="7" s="1"/>
  <c r="AE508" i="7"/>
  <c r="AI508" i="7" s="1"/>
  <c r="AE504" i="7"/>
  <c r="AE505" i="7" s="1"/>
  <c r="AE500" i="7"/>
  <c r="AE501" i="7" s="1"/>
  <c r="AI499" i="7"/>
  <c r="G100" i="19" s="1"/>
  <c r="AE496" i="7"/>
  <c r="AI495" i="7"/>
  <c r="G99" i="19" s="1"/>
  <c r="AI494" i="7"/>
  <c r="G98" i="19" s="1"/>
  <c r="AE488" i="7"/>
  <c r="AE489" i="7" s="1"/>
  <c r="AE484" i="7"/>
  <c r="AI484" i="7" s="1"/>
  <c r="AE483" i="7"/>
  <c r="AI483" i="7" s="1"/>
  <c r="AE482" i="7"/>
  <c r="AI482" i="7" s="1"/>
  <c r="AE478" i="7"/>
  <c r="AI478" i="7" s="1"/>
  <c r="AI477" i="7"/>
  <c r="AI476" i="7"/>
  <c r="AE473" i="7"/>
  <c r="AI472" i="7"/>
  <c r="AI465" i="7"/>
  <c r="AH456" i="7"/>
  <c r="AH457" i="7" s="1"/>
  <c r="AG456" i="7"/>
  <c r="AG457" i="7" s="1"/>
  <c r="AF456" i="7"/>
  <c r="AF457" i="7" s="1"/>
  <c r="AE456" i="7"/>
  <c r="AE457" i="7" s="1"/>
  <c r="AD456" i="7"/>
  <c r="AD457" i="7" s="1"/>
  <c r="AC456" i="7"/>
  <c r="AC457" i="7" s="1"/>
  <c r="AB456" i="7"/>
  <c r="AB457" i="7" s="1"/>
  <c r="AA456" i="7"/>
  <c r="AA457" i="7" s="1"/>
  <c r="Z456" i="7"/>
  <c r="Z457" i="7" s="1"/>
  <c r="Y456" i="7"/>
  <c r="Y457" i="7" s="1"/>
  <c r="X456" i="7"/>
  <c r="X457" i="7" s="1"/>
  <c r="W456" i="7"/>
  <c r="W457" i="7" s="1"/>
  <c r="V456" i="7"/>
  <c r="V457" i="7" s="1"/>
  <c r="U456" i="7"/>
  <c r="U457" i="7" s="1"/>
  <c r="T456" i="7"/>
  <c r="T457" i="7" s="1"/>
  <c r="S456" i="7"/>
  <c r="S457" i="7" s="1"/>
  <c r="R456" i="7"/>
  <c r="R457" i="7" s="1"/>
  <c r="Q456" i="7"/>
  <c r="Q457" i="7" s="1"/>
  <c r="AI455" i="7"/>
  <c r="G91" i="19" s="1"/>
  <c r="AH450" i="7"/>
  <c r="AH451" i="7" s="1"/>
  <c r="AG450" i="7"/>
  <c r="AG451" i="7" s="1"/>
  <c r="AF450" i="7"/>
  <c r="AF451" i="7" s="1"/>
  <c r="AE450" i="7"/>
  <c r="AD450" i="7"/>
  <c r="AD451" i="7" s="1"/>
  <c r="AC450" i="7"/>
  <c r="AC451" i="7" s="1"/>
  <c r="AB450" i="7"/>
  <c r="AA450" i="7"/>
  <c r="Z450" i="7"/>
  <c r="Z451" i="7" s="1"/>
  <c r="Y450" i="7"/>
  <c r="Y451" i="7" s="1"/>
  <c r="X450" i="7"/>
  <c r="X451" i="7" s="1"/>
  <c r="W450" i="7"/>
  <c r="W451" i="7" s="1"/>
  <c r="V450" i="7"/>
  <c r="V451" i="7" s="1"/>
  <c r="U450" i="7"/>
  <c r="U451" i="7" s="1"/>
  <c r="T450" i="7"/>
  <c r="T451" i="7" s="1"/>
  <c r="S450" i="7"/>
  <c r="S451" i="7" s="1"/>
  <c r="R450" i="7"/>
  <c r="R451" i="7" s="1"/>
  <c r="Q450" i="7"/>
  <c r="Q451" i="7" s="1"/>
  <c r="AI449" i="7"/>
  <c r="AI448" i="7"/>
  <c r="AE445" i="7"/>
  <c r="AB445" i="7"/>
  <c r="AA445" i="7"/>
  <c r="AI444" i="7"/>
  <c r="G89" i="19" s="1"/>
  <c r="AB441" i="7"/>
  <c r="AE440" i="7"/>
  <c r="AE441" i="7" s="1"/>
  <c r="AA440" i="7"/>
  <c r="AE437" i="7"/>
  <c r="AA437" i="7"/>
  <c r="AI436" i="7"/>
  <c r="AI435" i="7"/>
  <c r="AH430" i="7"/>
  <c r="AH431" i="7" s="1"/>
  <c r="AG430" i="7"/>
  <c r="AG431" i="7" s="1"/>
  <c r="AF430" i="7"/>
  <c r="AF431" i="7" s="1"/>
  <c r="AD430" i="7"/>
  <c r="AD431" i="7" s="1"/>
  <c r="AC430" i="7"/>
  <c r="AC431" i="7" s="1"/>
  <c r="AB430" i="7"/>
  <c r="AA430" i="7"/>
  <c r="Z430" i="7"/>
  <c r="Z431" i="7" s="1"/>
  <c r="Y430" i="7"/>
  <c r="Y431" i="7" s="1"/>
  <c r="X430" i="7"/>
  <c r="X431" i="7" s="1"/>
  <c r="W430" i="7"/>
  <c r="W431" i="7" s="1"/>
  <c r="V430" i="7"/>
  <c r="V431" i="7" s="1"/>
  <c r="U430" i="7"/>
  <c r="U431" i="7" s="1"/>
  <c r="T430" i="7"/>
  <c r="T431" i="7" s="1"/>
  <c r="S430" i="7"/>
  <c r="S431" i="7" s="1"/>
  <c r="R430" i="7"/>
  <c r="R431" i="7" s="1"/>
  <c r="Q430" i="7"/>
  <c r="Q431" i="7" s="1"/>
  <c r="AE429" i="7"/>
  <c r="AI429" i="7" s="1"/>
  <c r="G86" i="19" s="1"/>
  <c r="AE428" i="7"/>
  <c r="AI428" i="7" s="1"/>
  <c r="AE427" i="7"/>
  <c r="AI427" i="7" s="1"/>
  <c r="AE426" i="7"/>
  <c r="AI426" i="7" s="1"/>
  <c r="AI425" i="7"/>
  <c r="AE422" i="7"/>
  <c r="AB422" i="7"/>
  <c r="AA422" i="7"/>
  <c r="AI421" i="7"/>
  <c r="AI420" i="7"/>
  <c r="AI419" i="7"/>
  <c r="AI418" i="7"/>
  <c r="AI417" i="7"/>
  <c r="AH412" i="7"/>
  <c r="AH413" i="7" s="1"/>
  <c r="AG412" i="7"/>
  <c r="AG413" i="7" s="1"/>
  <c r="AF412" i="7"/>
  <c r="AF413" i="7" s="1"/>
  <c r="AD412" i="7"/>
  <c r="AC412" i="7"/>
  <c r="AB412" i="7"/>
  <c r="AA412" i="7"/>
  <c r="Z412" i="7"/>
  <c r="Z413" i="7" s="1"/>
  <c r="Y412" i="7"/>
  <c r="Y413" i="7" s="1"/>
  <c r="X412" i="7"/>
  <c r="X413" i="7" s="1"/>
  <c r="W412" i="7"/>
  <c r="W413" i="7" s="1"/>
  <c r="V412" i="7"/>
  <c r="V413" i="7" s="1"/>
  <c r="U412" i="7"/>
  <c r="U413" i="7" s="1"/>
  <c r="T412" i="7"/>
  <c r="T413" i="7" s="1"/>
  <c r="S412" i="7"/>
  <c r="S413" i="7" s="1"/>
  <c r="R412" i="7"/>
  <c r="R413" i="7" s="1"/>
  <c r="Q412" i="7"/>
  <c r="Q413" i="7" s="1"/>
  <c r="AE411" i="7"/>
  <c r="AA408" i="7"/>
  <c r="AI407" i="7"/>
  <c r="AI406" i="7"/>
  <c r="AI405" i="7"/>
  <c r="AE404" i="7"/>
  <c r="AI404" i="7" s="1"/>
  <c r="AD401" i="7"/>
  <c r="AC401" i="7"/>
  <c r="AB401" i="7"/>
  <c r="AE400" i="7"/>
  <c r="AI400" i="7" s="1"/>
  <c r="AA399" i="7"/>
  <c r="AI399" i="7" s="1"/>
  <c r="AA398" i="7"/>
  <c r="AI398" i="7" s="1"/>
  <c r="AI397" i="7"/>
  <c r="AI396" i="7"/>
  <c r="AE395" i="7"/>
  <c r="AI395" i="7" s="1"/>
  <c r="AI394" i="7"/>
  <c r="AI393" i="7"/>
  <c r="AI392" i="7"/>
  <c r="AE391" i="7"/>
  <c r="AI391" i="7" s="1"/>
  <c r="AI387" i="7"/>
  <c r="AI386" i="7"/>
  <c r="AI385" i="7"/>
  <c r="AI384" i="7"/>
  <c r="AI383" i="7"/>
  <c r="AI382" i="7"/>
  <c r="AE381" i="7"/>
  <c r="AI380" i="7"/>
  <c r="AH375" i="7"/>
  <c r="AG375" i="7"/>
  <c r="AF375" i="7"/>
  <c r="AD375" i="7"/>
  <c r="AC375" i="7"/>
  <c r="Z375" i="7"/>
  <c r="Y375" i="7"/>
  <c r="X375" i="7"/>
  <c r="W375" i="7"/>
  <c r="V375" i="7"/>
  <c r="U375" i="7"/>
  <c r="T375" i="7"/>
  <c r="S375" i="7"/>
  <c r="R375" i="7"/>
  <c r="Q375" i="7"/>
  <c r="AE374" i="7"/>
  <c r="AE375" i="7" s="1"/>
  <c r="AB374" i="7"/>
  <c r="AB375" i="7" s="1"/>
  <c r="AA374" i="7"/>
  <c r="AA375" i="7" s="1"/>
  <c r="AH371" i="7"/>
  <c r="AG371" i="7"/>
  <c r="AF371" i="7"/>
  <c r="AD371" i="7"/>
  <c r="AC371" i="7"/>
  <c r="AB371" i="7"/>
  <c r="Z371" i="7"/>
  <c r="Y371" i="7"/>
  <c r="X371" i="7"/>
  <c r="W371" i="7"/>
  <c r="V371" i="7"/>
  <c r="U371" i="7"/>
  <c r="T371" i="7"/>
  <c r="S371" i="7"/>
  <c r="R371" i="7"/>
  <c r="Q371" i="7"/>
  <c r="AA370" i="7"/>
  <c r="AI369" i="7"/>
  <c r="AI368" i="7"/>
  <c r="AI367" i="7"/>
  <c r="AI366" i="7"/>
  <c r="AE365" i="7"/>
  <c r="AE371" i="7" s="1"/>
  <c r="AD362" i="7"/>
  <c r="AB362" i="7"/>
  <c r="AA362" i="7"/>
  <c r="AE361" i="7"/>
  <c r="W361" i="7"/>
  <c r="AC360" i="7"/>
  <c r="AE359" i="7"/>
  <c r="W359" i="7"/>
  <c r="AH351" i="7"/>
  <c r="AH352" i="7" s="1"/>
  <c r="AH353" i="7" s="1"/>
  <c r="AG351" i="7"/>
  <c r="AG352" i="7" s="1"/>
  <c r="AG353" i="7" s="1"/>
  <c r="AF351" i="7"/>
  <c r="AF352" i="7" s="1"/>
  <c r="AF353" i="7" s="1"/>
  <c r="AE349" i="7"/>
  <c r="AE350" i="7" s="1"/>
  <c r="AE351" i="7" s="1"/>
  <c r="AI343" i="7"/>
  <c r="G74" i="19" s="1"/>
  <c r="AE342" i="7"/>
  <c r="AI342" i="7" s="1"/>
  <c r="G73" i="19" s="1"/>
  <c r="AH334" i="7"/>
  <c r="AH335" i="7" s="1"/>
  <c r="AG334" i="7"/>
  <c r="AG335" i="7" s="1"/>
  <c r="AF334" i="7"/>
  <c r="AF335" i="7" s="1"/>
  <c r="AE333" i="7"/>
  <c r="AE334" i="7" s="1"/>
  <c r="AE335" i="7" s="1"/>
  <c r="AB333" i="7"/>
  <c r="AB334" i="7" s="1"/>
  <c r="AB335" i="7" s="1"/>
  <c r="Y333" i="7"/>
  <c r="Y334" i="7" s="1"/>
  <c r="Y335" i="7" s="1"/>
  <c r="AI332" i="7"/>
  <c r="AI331" i="7"/>
  <c r="AI330" i="7"/>
  <c r="AI329" i="7"/>
  <c r="AI328" i="7"/>
  <c r="AB321" i="7"/>
  <c r="Y321" i="7"/>
  <c r="AE320" i="7"/>
  <c r="AI320" i="7" s="1"/>
  <c r="AE319" i="7"/>
  <c r="AE316" i="7"/>
  <c r="AB316" i="7"/>
  <c r="Y316" i="7"/>
  <c r="AI315" i="7"/>
  <c r="AI314" i="7"/>
  <c r="AI313" i="7"/>
  <c r="AI312" i="7"/>
  <c r="AH309" i="7"/>
  <c r="AH322" i="7" s="1"/>
  <c r="AH323" i="7" s="1"/>
  <c r="AG309" i="7"/>
  <c r="AG322" i="7" s="1"/>
  <c r="AG323" i="7" s="1"/>
  <c r="AF309" i="7"/>
  <c r="AF322" i="7" s="1"/>
  <c r="AF323" i="7" s="1"/>
  <c r="AB309" i="7"/>
  <c r="Y309" i="7"/>
  <c r="AI308" i="7"/>
  <c r="G68" i="19" s="1"/>
  <c r="AE307" i="7"/>
  <c r="AI307" i="7" s="1"/>
  <c r="G67" i="19" s="1"/>
  <c r="AI306" i="7"/>
  <c r="AI305" i="7"/>
  <c r="K305" i="7"/>
  <c r="AI304" i="7"/>
  <c r="AE303" i="7"/>
  <c r="AI303" i="7" s="1"/>
  <c r="AE300" i="7"/>
  <c r="AB300" i="7"/>
  <c r="Y300" i="7"/>
  <c r="AI299" i="7"/>
  <c r="AI298" i="7"/>
  <c r="AI297" i="7"/>
  <c r="AI296" i="7"/>
  <c r="AB289" i="7"/>
  <c r="Y289" i="7"/>
  <c r="AE288" i="7"/>
  <c r="AI288" i="7" s="1"/>
  <c r="AI287" i="7"/>
  <c r="AI286" i="7"/>
  <c r="AI285" i="7"/>
  <c r="AE284" i="7"/>
  <c r="AI284" i="7" s="1"/>
  <c r="AE283" i="7"/>
  <c r="AI283" i="7" s="1"/>
  <c r="AE282" i="7"/>
  <c r="AI282" i="7" s="1"/>
  <c r="AB279" i="7"/>
  <c r="Y279" i="7"/>
  <c r="AE278" i="7"/>
  <c r="AE279" i="7" s="1"/>
  <c r="AI277" i="7"/>
  <c r="AE274" i="7"/>
  <c r="AB274" i="7"/>
  <c r="Y274" i="7"/>
  <c r="AI273" i="7"/>
  <c r="AI272" i="7"/>
  <c r="AI271" i="7"/>
  <c r="AI270" i="7"/>
  <c r="AI269" i="7"/>
  <c r="AH260" i="7"/>
  <c r="AH261" i="7" s="1"/>
  <c r="AH262" i="7" s="1"/>
  <c r="AH263" i="7" s="1"/>
  <c r="AG260" i="7"/>
  <c r="AG261" i="7" s="1"/>
  <c r="AG262" i="7" s="1"/>
  <c r="AG263" i="7" s="1"/>
  <c r="AB260" i="7"/>
  <c r="Y260" i="7"/>
  <c r="AF259" i="7"/>
  <c r="AF260" i="7" s="1"/>
  <c r="AF261" i="7" s="1"/>
  <c r="AF262" i="7" s="1"/>
  <c r="AF263" i="7" s="1"/>
  <c r="AE259" i="7"/>
  <c r="AE260" i="7" s="1"/>
  <c r="AE256" i="7"/>
  <c r="AB256" i="7"/>
  <c r="Y256" i="7"/>
  <c r="AI255" i="7"/>
  <c r="G58" i="19" s="1"/>
  <c r="AE252" i="7"/>
  <c r="AB252" i="7"/>
  <c r="Y252" i="7"/>
  <c r="AI251" i="7"/>
  <c r="AI250" i="7"/>
  <c r="AB245" i="7"/>
  <c r="Y245" i="7"/>
  <c r="AE244" i="7"/>
  <c r="AI244" i="7" s="1"/>
  <c r="AE243" i="7"/>
  <c r="AI243" i="7" s="1"/>
  <c r="AE242" i="7"/>
  <c r="AB239" i="7"/>
  <c r="Y239" i="7"/>
  <c r="AE238" i="7"/>
  <c r="AI238" i="7" s="1"/>
  <c r="AI237" i="7"/>
  <c r="AE236" i="7"/>
  <c r="AI236" i="7" s="1"/>
  <c r="AE235" i="7"/>
  <c r="AI235" i="7" s="1"/>
  <c r="AB232" i="7"/>
  <c r="Y232" i="7"/>
  <c r="AI231" i="7"/>
  <c r="AI230" i="7"/>
  <c r="AE229" i="7"/>
  <c r="AI229" i="7" s="1"/>
  <c r="K229" i="7"/>
  <c r="AI228" i="7"/>
  <c r="AE227" i="7"/>
  <c r="AF218" i="7"/>
  <c r="AB218" i="7"/>
  <c r="Y218" i="7"/>
  <c r="Q218" i="7"/>
  <c r="Q219" i="7" s="1"/>
  <c r="AE217" i="7"/>
  <c r="AI217" i="7" s="1"/>
  <c r="AE216" i="7"/>
  <c r="AI216" i="7" s="1"/>
  <c r="AE213" i="7"/>
  <c r="AB213" i="7"/>
  <c r="Y213" i="7"/>
  <c r="AF212" i="7"/>
  <c r="AF213" i="7" s="1"/>
  <c r="AG207" i="7"/>
  <c r="AG208" i="7" s="1"/>
  <c r="AF207" i="7"/>
  <c r="AF208" i="7" s="1"/>
  <c r="AE207" i="7"/>
  <c r="AD207" i="7"/>
  <c r="AD208" i="7" s="1"/>
  <c r="AC207" i="7"/>
  <c r="AC208" i="7" s="1"/>
  <c r="AB207" i="7"/>
  <c r="AA207" i="7"/>
  <c r="AA208" i="7" s="1"/>
  <c r="Z207" i="7"/>
  <c r="Z208" i="7" s="1"/>
  <c r="Y207" i="7"/>
  <c r="X207" i="7"/>
  <c r="X208" i="7" s="1"/>
  <c r="W207" i="7"/>
  <c r="W208" i="7" s="1"/>
  <c r="V207" i="7"/>
  <c r="V208" i="7" s="1"/>
  <c r="U207" i="7"/>
  <c r="U208" i="7" s="1"/>
  <c r="T207" i="7"/>
  <c r="T208" i="7" s="1"/>
  <c r="S207" i="7"/>
  <c r="S208" i="7" s="1"/>
  <c r="R207" i="7"/>
  <c r="R208" i="7" s="1"/>
  <c r="AH206" i="7"/>
  <c r="AH207" i="7" s="1"/>
  <c r="AH208" i="7" s="1"/>
  <c r="AH220" i="7" s="1"/>
  <c r="AH221" i="7" s="1"/>
  <c r="Q206" i="7"/>
  <c r="Q207" i="7" s="1"/>
  <c r="AE203" i="7"/>
  <c r="AB203" i="7"/>
  <c r="Y203" i="7"/>
  <c r="AI202" i="7"/>
  <c r="G48" i="19" s="1"/>
  <c r="AB199" i="7"/>
  <c r="Y199" i="7"/>
  <c r="Q198" i="7"/>
  <c r="AI198" i="7" s="1"/>
  <c r="Q197" i="7"/>
  <c r="AI197" i="7" s="1"/>
  <c r="AE196" i="7"/>
  <c r="AI196" i="7" s="1"/>
  <c r="Q195" i="7"/>
  <c r="AE186" i="7"/>
  <c r="AB186" i="7"/>
  <c r="Y186" i="7"/>
  <c r="T186" i="7"/>
  <c r="T187" i="7" s="1"/>
  <c r="T188" i="7" s="1"/>
  <c r="AI185" i="7"/>
  <c r="G44" i="19" s="1"/>
  <c r="AB182" i="7"/>
  <c r="Y182" i="7"/>
  <c r="AI181" i="7"/>
  <c r="AE180" i="7"/>
  <c r="AI180" i="7" s="1"/>
  <c r="K180" i="7"/>
  <c r="AI179" i="7"/>
  <c r="AI178" i="7"/>
  <c r="AE177" i="7"/>
  <c r="AE182" i="7" s="1"/>
  <c r="AE172" i="7"/>
  <c r="AE173" i="7" s="1"/>
  <c r="AB172" i="7"/>
  <c r="AB173" i="7" s="1"/>
  <c r="Y172" i="7"/>
  <c r="Y173" i="7" s="1"/>
  <c r="AI171" i="7"/>
  <c r="G42" i="19" s="1"/>
  <c r="A171" i="7"/>
  <c r="AB164" i="7"/>
  <c r="Y164" i="7"/>
  <c r="T164" i="7"/>
  <c r="T165" i="7" s="1"/>
  <c r="AE163" i="7"/>
  <c r="AI163" i="7" s="1"/>
  <c r="AE162" i="7"/>
  <c r="AI162" i="7" s="1"/>
  <c r="AH159" i="7"/>
  <c r="AH165" i="7" s="1"/>
  <c r="AH166" i="7" s="1"/>
  <c r="AH189" i="7" s="1"/>
  <c r="AG159" i="7"/>
  <c r="AF159" i="7"/>
  <c r="AB159" i="7"/>
  <c r="Y159" i="7"/>
  <c r="AE158" i="7"/>
  <c r="AI158" i="7" s="1"/>
  <c r="AE157" i="7"/>
  <c r="AI157" i="7" s="1"/>
  <c r="AE156" i="7"/>
  <c r="AI156" i="7" s="1"/>
  <c r="AE155" i="7"/>
  <c r="AI155" i="7" s="1"/>
  <c r="AE154" i="7"/>
  <c r="AI154" i="7" s="1"/>
  <c r="K154" i="7"/>
  <c r="AB149" i="7"/>
  <c r="Y149" i="7"/>
  <c r="T149" i="7"/>
  <c r="T150" i="7" s="1"/>
  <c r="AE148" i="7"/>
  <c r="AI148" i="7" s="1"/>
  <c r="AE147" i="7"/>
  <c r="AI147" i="7" s="1"/>
  <c r="AB144" i="7"/>
  <c r="Y144" i="7"/>
  <c r="AI143" i="7"/>
  <c r="AE142" i="7"/>
  <c r="AI141" i="7"/>
  <c r="AB138" i="7"/>
  <c r="Y138" i="7"/>
  <c r="AI137" i="7"/>
  <c r="AE136" i="7"/>
  <c r="AI136" i="7" s="1"/>
  <c r="AE135" i="7"/>
  <c r="AI135" i="7" s="1"/>
  <c r="AI134" i="7"/>
  <c r="AE133" i="7"/>
  <c r="AI133" i="7" s="1"/>
  <c r="AE128" i="7"/>
  <c r="AB128" i="7"/>
  <c r="Y128" i="7"/>
  <c r="AI127" i="7"/>
  <c r="T126" i="7"/>
  <c r="AI126" i="7" s="1"/>
  <c r="T125" i="7"/>
  <c r="AE122" i="7"/>
  <c r="AB122" i="7"/>
  <c r="Y122" i="7"/>
  <c r="T121" i="7"/>
  <c r="AI121" i="7" s="1"/>
  <c r="T120" i="7"/>
  <c r="T119" i="7"/>
  <c r="AI119" i="7" s="1"/>
  <c r="K119" i="7"/>
  <c r="AI118" i="7"/>
  <c r="T117" i="7"/>
  <c r="AI117" i="7" s="1"/>
  <c r="AH108" i="7"/>
  <c r="AH109" i="7" s="1"/>
  <c r="AH110" i="7" s="1"/>
  <c r="AG108" i="7"/>
  <c r="AG109" i="7" s="1"/>
  <c r="AG110" i="7" s="1"/>
  <c r="AF108" i="7"/>
  <c r="AF109" i="7" s="1"/>
  <c r="AF110" i="7" s="1"/>
  <c r="AB108" i="7"/>
  <c r="AB109" i="7" s="1"/>
  <c r="AB110" i="7" s="1"/>
  <c r="Y108" i="7"/>
  <c r="Y109" i="7" s="1"/>
  <c r="Y110" i="7" s="1"/>
  <c r="V108" i="7"/>
  <c r="V109" i="7" s="1"/>
  <c r="V110" i="7" s="1"/>
  <c r="AI107" i="7"/>
  <c r="G33" i="19" s="1"/>
  <c r="AI106" i="7"/>
  <c r="G32" i="19" s="1"/>
  <c r="AI105" i="7"/>
  <c r="G31" i="19" s="1"/>
  <c r="AE104" i="7"/>
  <c r="AI104" i="7" s="1"/>
  <c r="G30" i="19" s="1"/>
  <c r="AD103" i="7"/>
  <c r="AD108" i="7" s="1"/>
  <c r="AD109" i="7" s="1"/>
  <c r="AD110" i="7" s="1"/>
  <c r="AD111" i="7" s="1"/>
  <c r="S103" i="7"/>
  <c r="S108" i="7" s="1"/>
  <c r="S109" i="7" s="1"/>
  <c r="S110" i="7" s="1"/>
  <c r="AH96" i="7"/>
  <c r="AF96" i="7"/>
  <c r="AE96" i="7"/>
  <c r="AB96" i="7"/>
  <c r="Y96" i="7"/>
  <c r="V96" i="7"/>
  <c r="AI94" i="7"/>
  <c r="AG93" i="7"/>
  <c r="AI93" i="7" s="1"/>
  <c r="AI92" i="7"/>
  <c r="AG91" i="7"/>
  <c r="AI91" i="7" s="1"/>
  <c r="AG90" i="7"/>
  <c r="S90" i="7"/>
  <c r="AI89" i="7"/>
  <c r="S88" i="7"/>
  <c r="AI88" i="7" s="1"/>
  <c r="AH85" i="7"/>
  <c r="AF85" i="7"/>
  <c r="AE85" i="7"/>
  <c r="AD85" i="7"/>
  <c r="AC85" i="7"/>
  <c r="AB85" i="7"/>
  <c r="AA85" i="7"/>
  <c r="Z85" i="7"/>
  <c r="Y85" i="7"/>
  <c r="X85" i="7"/>
  <c r="W85" i="7"/>
  <c r="V84" i="7"/>
  <c r="AI84" i="7" s="1"/>
  <c r="AG83" i="7"/>
  <c r="AI83" i="7" s="1"/>
  <c r="U74" i="7"/>
  <c r="U75" i="7" s="1"/>
  <c r="U76" i="7" s="1"/>
  <c r="U77" i="7" s="1"/>
  <c r="AI73" i="7"/>
  <c r="AI72" i="7"/>
  <c r="AI71" i="7"/>
  <c r="AE70" i="7"/>
  <c r="AI70" i="7" s="1"/>
  <c r="AI69" i="7"/>
  <c r="AB60" i="7"/>
  <c r="AB61" i="7" s="1"/>
  <c r="Y60" i="7"/>
  <c r="Y61" i="7" s="1"/>
  <c r="AI59" i="7"/>
  <c r="AE58" i="7"/>
  <c r="AI58" i="7" s="1"/>
  <c r="AI57" i="7"/>
  <c r="AE56" i="7"/>
  <c r="AI56" i="7" s="1"/>
  <c r="AE55" i="7"/>
  <c r="AI55" i="7" s="1"/>
  <c r="AI54" i="7"/>
  <c r="AI53" i="7"/>
  <c r="AE52" i="7"/>
  <c r="AI52" i="7" s="1"/>
  <c r="AE51" i="7"/>
  <c r="AI51" i="7" s="1"/>
  <c r="AE50" i="7"/>
  <c r="AI50" i="7" s="1"/>
  <c r="G20" i="19" s="1"/>
  <c r="AE49" i="7"/>
  <c r="AI49" i="7" s="1"/>
  <c r="G19" i="19" s="1"/>
  <c r="AE48" i="7"/>
  <c r="AI48" i="7" s="1"/>
  <c r="G18" i="19" s="1"/>
  <c r="AE47" i="7"/>
  <c r="AI47" i="7" s="1"/>
  <c r="G17" i="19" s="1"/>
  <c r="AE46" i="7"/>
  <c r="AI46" i="7" s="1"/>
  <c r="AI45" i="7"/>
  <c r="AI44" i="7"/>
  <c r="AI43" i="7"/>
  <c r="AE42" i="7"/>
  <c r="AI42" i="7" s="1"/>
  <c r="AE37" i="7"/>
  <c r="AE38" i="7" s="1"/>
  <c r="AB37" i="7"/>
  <c r="AB38" i="7" s="1"/>
  <c r="Y37" i="7"/>
  <c r="Y38" i="7" s="1"/>
  <c r="AI36" i="7"/>
  <c r="G15" i="19" s="1"/>
  <c r="AB31" i="7"/>
  <c r="Y31" i="7"/>
  <c r="AE30" i="7"/>
  <c r="AE31" i="7" s="1"/>
  <c r="AE27" i="7"/>
  <c r="AB27" i="7"/>
  <c r="Y27" i="7"/>
  <c r="AI26" i="7"/>
  <c r="G13" i="19" s="1"/>
  <c r="AH17" i="7"/>
  <c r="AH18" i="7" s="1"/>
  <c r="AH19" i="7" s="1"/>
  <c r="AH20" i="7" s="1"/>
  <c r="AG17" i="7"/>
  <c r="AG18" i="7" s="1"/>
  <c r="AG19" i="7" s="1"/>
  <c r="AG20" i="7" s="1"/>
  <c r="AF17" i="7"/>
  <c r="AF18" i="7" s="1"/>
  <c r="AF19" i="7" s="1"/>
  <c r="AF20" i="7" s="1"/>
  <c r="AB17" i="7"/>
  <c r="AB18" i="7" s="1"/>
  <c r="AB19" i="7" s="1"/>
  <c r="AB20" i="7" s="1"/>
  <c r="Y17" i="7"/>
  <c r="Y18" i="7" s="1"/>
  <c r="Y19" i="7" s="1"/>
  <c r="Y20" i="7" s="1"/>
  <c r="AI16" i="7"/>
  <c r="AE15" i="7"/>
  <c r="AI15" i="7" s="1"/>
  <c r="AI14" i="7"/>
  <c r="AE13" i="7"/>
  <c r="AI13" i="7" s="1"/>
  <c r="AI12" i="7"/>
  <c r="G10" i="19" s="1"/>
  <c r="AE11" i="7"/>
  <c r="AI11" i="7" s="1"/>
  <c r="G9" i="19" s="1"/>
  <c r="AI10" i="7"/>
  <c r="G8" i="19" s="1"/>
  <c r="Z376" i="7" l="1"/>
  <c r="Z458" i="7" s="1"/>
  <c r="Z459" i="7" s="1"/>
  <c r="AE344" i="7"/>
  <c r="AE345" i="7" s="1"/>
  <c r="AE352" i="7" s="1"/>
  <c r="AE353" i="7" s="1"/>
  <c r="AI690" i="7"/>
  <c r="AB129" i="7"/>
  <c r="AE245" i="7"/>
  <c r="AI707" i="7"/>
  <c r="W362" i="7"/>
  <c r="W376" i="7" s="1"/>
  <c r="W458" i="7" s="1"/>
  <c r="W459" i="7" s="1"/>
  <c r="AE522" i="7"/>
  <c r="AE523" i="7" s="1"/>
  <c r="Y32" i="7"/>
  <c r="Y62" i="7" s="1"/>
  <c r="Y63" i="7" s="1"/>
  <c r="AA431" i="7"/>
  <c r="AI504" i="7"/>
  <c r="AI505" i="7" s="1"/>
  <c r="AI90" i="7"/>
  <c r="G27" i="19" s="1"/>
  <c r="T128" i="7"/>
  <c r="AI361" i="7"/>
  <c r="AE408" i="7"/>
  <c r="AD413" i="7"/>
  <c r="AE232" i="7"/>
  <c r="Y150" i="7"/>
  <c r="Y219" i="7"/>
  <c r="AE479" i="7"/>
  <c r="AI30" i="7"/>
  <c r="G14" i="19" s="1"/>
  <c r="AH97" i="7"/>
  <c r="AH98" i="7" s="1"/>
  <c r="AH111" i="7" s="1"/>
  <c r="AB165" i="7"/>
  <c r="X606" i="7"/>
  <c r="X612" i="7"/>
  <c r="X627" i="7"/>
  <c r="Z655" i="7"/>
  <c r="AI577" i="7"/>
  <c r="G116" i="19" s="1"/>
  <c r="AI37" i="7"/>
  <c r="AI38" i="7" s="1"/>
  <c r="AE74" i="7"/>
  <c r="AE75" i="7" s="1"/>
  <c r="AE76" i="7" s="1"/>
  <c r="AE77" i="7" s="1"/>
  <c r="G24" i="19"/>
  <c r="AE129" i="7"/>
  <c r="AB150" i="7"/>
  <c r="AI252" i="7"/>
  <c r="AB261" i="7"/>
  <c r="AI662" i="7"/>
  <c r="AI663" i="7" s="1"/>
  <c r="T664" i="7"/>
  <c r="T665" i="7" s="1"/>
  <c r="AE32" i="7"/>
  <c r="Y187" i="7"/>
  <c r="Y188" i="7" s="1"/>
  <c r="Q376" i="7"/>
  <c r="Q458" i="7" s="1"/>
  <c r="Q459" i="7" s="1"/>
  <c r="AF735" i="7"/>
  <c r="AF736" i="7" s="1"/>
  <c r="AF737" i="7" s="1"/>
  <c r="AF738" i="7" s="1"/>
  <c r="V85" i="7"/>
  <c r="V97" i="7" s="1"/>
  <c r="V98" i="7" s="1"/>
  <c r="V111" i="7" s="1"/>
  <c r="AG85" i="7"/>
  <c r="Y165" i="7"/>
  <c r="G54" i="19"/>
  <c r="AE321" i="7"/>
  <c r="AF376" i="7"/>
  <c r="AF458" i="7" s="1"/>
  <c r="AF459" i="7" s="1"/>
  <c r="AC413" i="7"/>
  <c r="G84" i="19"/>
  <c r="R522" i="7"/>
  <c r="R523" i="7" s="1"/>
  <c r="R524" i="7" s="1"/>
  <c r="R525" i="7" s="1"/>
  <c r="G118" i="19"/>
  <c r="X601" i="7"/>
  <c r="AG701" i="7"/>
  <c r="AI706" i="7"/>
  <c r="Y713" i="7"/>
  <c r="AI149" i="7"/>
  <c r="AE713" i="7"/>
  <c r="AE362" i="7"/>
  <c r="AE376" i="7" s="1"/>
  <c r="U376" i="7"/>
  <c r="U458" i="7" s="1"/>
  <c r="U459" i="7" s="1"/>
  <c r="X376" i="7"/>
  <c r="X458" i="7" s="1"/>
  <c r="X459" i="7" s="1"/>
  <c r="AH376" i="7"/>
  <c r="AH458" i="7" s="1"/>
  <c r="AH459" i="7" s="1"/>
  <c r="AI649" i="7"/>
  <c r="AE748" i="7"/>
  <c r="AE749" i="7" s="1"/>
  <c r="AE750" i="7" s="1"/>
  <c r="AE751" i="7" s="1"/>
  <c r="AE97" i="7"/>
  <c r="AE98" i="7" s="1"/>
  <c r="G40" i="19"/>
  <c r="AB246" i="7"/>
  <c r="AI365" i="7"/>
  <c r="AI437" i="7"/>
  <c r="AE509" i="7"/>
  <c r="G113" i="19"/>
  <c r="AB376" i="7"/>
  <c r="AB431" i="7"/>
  <c r="AE655" i="7"/>
  <c r="AE60" i="7"/>
  <c r="AE61" i="7" s="1"/>
  <c r="AE108" i="7"/>
  <c r="AE109" i="7" s="1"/>
  <c r="AE110" i="7" s="1"/>
  <c r="G39" i="19"/>
  <c r="AE159" i="7"/>
  <c r="AE239" i="7"/>
  <c r="AE261" i="7"/>
  <c r="G64" i="19"/>
  <c r="AG336" i="7"/>
  <c r="AI374" i="7"/>
  <c r="G79" i="19" s="1"/>
  <c r="T376" i="7"/>
  <c r="T458" i="7" s="1"/>
  <c r="T459" i="7" s="1"/>
  <c r="AA401" i="7"/>
  <c r="AA413" i="7" s="1"/>
  <c r="AB413" i="7"/>
  <c r="AI422" i="7"/>
  <c r="AB451" i="7"/>
  <c r="AE451" i="7"/>
  <c r="AE513" i="7"/>
  <c r="AE613" i="7"/>
  <c r="AI621" i="7"/>
  <c r="AI622" i="7" s="1"/>
  <c r="Y627" i="7"/>
  <c r="AI626" i="7"/>
  <c r="X655" i="7"/>
  <c r="AI638" i="7"/>
  <c r="AI643" i="7"/>
  <c r="G130" i="19" s="1"/>
  <c r="AE674" i="7"/>
  <c r="AE675" i="7" s="1"/>
  <c r="AE676" i="7" s="1"/>
  <c r="AE677" i="7" s="1"/>
  <c r="AF700" i="7"/>
  <c r="AF708" i="7"/>
  <c r="AF713" i="7" s="1"/>
  <c r="G115" i="19"/>
  <c r="AI748" i="7"/>
  <c r="AI749" i="7" s="1"/>
  <c r="AI750" i="7" s="1"/>
  <c r="AI751" i="7" s="1"/>
  <c r="T122" i="7"/>
  <c r="Y129" i="7"/>
  <c r="Q199" i="7"/>
  <c r="Q208" i="7" s="1"/>
  <c r="Q220" i="7" s="1"/>
  <c r="Q221" i="7" s="1"/>
  <c r="AB208" i="7"/>
  <c r="AI212" i="7"/>
  <c r="G50" i="19" s="1"/>
  <c r="AB219" i="7"/>
  <c r="AI227" i="7"/>
  <c r="AI232" i="7" s="1"/>
  <c r="AI242" i="7"/>
  <c r="G56" i="19" s="1"/>
  <c r="AI278" i="7"/>
  <c r="AI279" i="7" s="1"/>
  <c r="Y290" i="7"/>
  <c r="Y291" i="7" s="1"/>
  <c r="Y322" i="7"/>
  <c r="Y323" i="7" s="1"/>
  <c r="AH336" i="7"/>
  <c r="AI359" i="7"/>
  <c r="AI500" i="7"/>
  <c r="G101" i="19" s="1"/>
  <c r="AI520" i="7"/>
  <c r="AI522" i="7" s="1"/>
  <c r="AI523" i="7" s="1"/>
  <c r="AI597" i="7"/>
  <c r="AI601" i="7" s="1"/>
  <c r="AE627" i="7"/>
  <c r="AI652" i="7"/>
  <c r="AI654" i="7" s="1"/>
  <c r="AI693" i="7"/>
  <c r="G144" i="19" s="1"/>
  <c r="AF694" i="7"/>
  <c r="AH701" i="7"/>
  <c r="AG713" i="7"/>
  <c r="AI734" i="7"/>
  <c r="G151" i="19" s="1"/>
  <c r="AB32" i="7"/>
  <c r="AB62" i="7" s="1"/>
  <c r="AB63" i="7" s="1"/>
  <c r="AI27" i="7"/>
  <c r="S96" i="7"/>
  <c r="S97" i="7" s="1"/>
  <c r="S98" i="7" s="1"/>
  <c r="S111" i="7" s="1"/>
  <c r="AG96" i="7"/>
  <c r="AI103" i="7"/>
  <c r="G29" i="19" s="1"/>
  <c r="AI120" i="7"/>
  <c r="AI122" i="7" s="1"/>
  <c r="AE138" i="7"/>
  <c r="AE149" i="7"/>
  <c r="AI172" i="7"/>
  <c r="AI173" i="7" s="1"/>
  <c r="AI177" i="7"/>
  <c r="AI182" i="7" s="1"/>
  <c r="AI195" i="7"/>
  <c r="G46" i="19" s="1"/>
  <c r="AE199" i="7"/>
  <c r="AE208" i="7" s="1"/>
  <c r="Y208" i="7"/>
  <c r="AE218" i="7"/>
  <c r="AE219" i="7" s="1"/>
  <c r="AF219" i="7"/>
  <c r="AF220" i="7" s="1"/>
  <c r="AF221" i="7" s="1"/>
  <c r="Y261" i="7"/>
  <c r="AB290" i="7"/>
  <c r="AB291" i="7" s="1"/>
  <c r="AI319" i="7"/>
  <c r="G70" i="19" s="1"/>
  <c r="AB322" i="7"/>
  <c r="AB323" i="7" s="1"/>
  <c r="AI349" i="7"/>
  <c r="G75" i="19" s="1"/>
  <c r="G72" i="19" s="1"/>
  <c r="S376" i="7"/>
  <c r="S458" i="7" s="1"/>
  <c r="S459" i="7" s="1"/>
  <c r="AD376" i="7"/>
  <c r="AI488" i="7"/>
  <c r="G97" i="19" s="1"/>
  <c r="AI496" i="7"/>
  <c r="X570" i="7"/>
  <c r="Y613" i="7"/>
  <c r="Z627" i="7"/>
  <c r="R664" i="7"/>
  <c r="R665" i="7" s="1"/>
  <c r="AI711" i="7"/>
  <c r="G147" i="19" s="1"/>
  <c r="AC362" i="7"/>
  <c r="AC376" i="7" s="1"/>
  <c r="AI360" i="7"/>
  <c r="G95" i="19"/>
  <c r="AI479" i="7"/>
  <c r="G103" i="19"/>
  <c r="AI509" i="7"/>
  <c r="G11" i="19"/>
  <c r="G7" i="19" s="1"/>
  <c r="G21" i="19"/>
  <c r="G41" i="19"/>
  <c r="AI164" i="7"/>
  <c r="AE187" i="7"/>
  <c r="AE188" i="7" s="1"/>
  <c r="G47" i="19"/>
  <c r="G55" i="19"/>
  <c r="AI239" i="7"/>
  <c r="AE289" i="7"/>
  <c r="AE290" i="7" s="1"/>
  <c r="AE291" i="7" s="1"/>
  <c r="AF336" i="7"/>
  <c r="AA371" i="7"/>
  <c r="AA376" i="7" s="1"/>
  <c r="AI370" i="7"/>
  <c r="AE388" i="7"/>
  <c r="AI381" i="7"/>
  <c r="G80" i="19" s="1"/>
  <c r="AI401" i="7"/>
  <c r="AE401" i="7"/>
  <c r="G104" i="19"/>
  <c r="AI513" i="7"/>
  <c r="Y246" i="7"/>
  <c r="G71" i="19"/>
  <c r="AI333" i="7"/>
  <c r="AI334" i="7" s="1"/>
  <c r="AI335" i="7" s="1"/>
  <c r="AE144" i="7"/>
  <c r="AI142" i="7"/>
  <c r="G38" i="19" s="1"/>
  <c r="G82" i="19"/>
  <c r="AI408" i="7"/>
  <c r="AI440" i="7"/>
  <c r="AA441" i="7"/>
  <c r="AA451" i="7" s="1"/>
  <c r="AE17" i="7"/>
  <c r="AE18" i="7" s="1"/>
  <c r="AE19" i="7" s="1"/>
  <c r="AE20" i="7" s="1"/>
  <c r="G23" i="19"/>
  <c r="AI74" i="7"/>
  <c r="AI75" i="7" s="1"/>
  <c r="AI76" i="7" s="1"/>
  <c r="AI77" i="7" s="1"/>
  <c r="AI138" i="7"/>
  <c r="AI159" i="7"/>
  <c r="AB187" i="7"/>
  <c r="AB188" i="7" s="1"/>
  <c r="G51" i="19"/>
  <c r="AI218" i="7"/>
  <c r="G61" i="19"/>
  <c r="AI274" i="7"/>
  <c r="AE309" i="7"/>
  <c r="AI466" i="7"/>
  <c r="G93" i="19" s="1"/>
  <c r="AE467" i="7"/>
  <c r="AE468" i="7" s="1"/>
  <c r="G105" i="19"/>
  <c r="G16" i="19"/>
  <c r="G26" i="19"/>
  <c r="AB97" i="7"/>
  <c r="AB98" i="7" s="1"/>
  <c r="AB111" i="7" s="1"/>
  <c r="G63" i="19"/>
  <c r="AI309" i="7"/>
  <c r="G66" i="19"/>
  <c r="G85" i="19"/>
  <c r="G90" i="19"/>
  <c r="AI450" i="7"/>
  <c r="AI570" i="7"/>
  <c r="AH578" i="7"/>
  <c r="AH613" i="7" s="1"/>
  <c r="Z594" i="7"/>
  <c r="Z613" i="7" s="1"/>
  <c r="AI593" i="7"/>
  <c r="AI609" i="7"/>
  <c r="G124" i="19"/>
  <c r="AI618" i="7"/>
  <c r="Y634" i="7"/>
  <c r="Y655" i="7" s="1"/>
  <c r="AI632" i="7"/>
  <c r="G127" i="19" s="1"/>
  <c r="AB655" i="7"/>
  <c r="V664" i="7"/>
  <c r="V665" i="7" s="1"/>
  <c r="G37" i="19"/>
  <c r="AF97" i="7"/>
  <c r="AF98" i="7" s="1"/>
  <c r="AF111" i="7" s="1"/>
  <c r="AE164" i="7"/>
  <c r="AI186" i="7"/>
  <c r="AI206" i="7"/>
  <c r="AI259" i="7"/>
  <c r="G65" i="19"/>
  <c r="AI300" i="7"/>
  <c r="AI344" i="7"/>
  <c r="AI345" i="7" s="1"/>
  <c r="AE485" i="7"/>
  <c r="X544" i="7"/>
  <c r="X545" i="7" s="1"/>
  <c r="AI554" i="7"/>
  <c r="X558" i="7"/>
  <c r="AI561" i="7"/>
  <c r="AI591" i="7"/>
  <c r="X594" i="7"/>
  <c r="AA664" i="7"/>
  <c r="AA665" i="7" s="1"/>
  <c r="AC664" i="7"/>
  <c r="AC665" i="7" s="1"/>
  <c r="X583" i="7"/>
  <c r="AI581" i="7"/>
  <c r="AH655" i="7"/>
  <c r="AI17" i="7"/>
  <c r="AI18" i="7" s="1"/>
  <c r="AI19" i="7" s="1"/>
  <c r="AI20" i="7" s="1"/>
  <c r="AI85" i="7"/>
  <c r="Y97" i="7"/>
  <c r="Y98" i="7" s="1"/>
  <c r="Y111" i="7" s="1"/>
  <c r="AI125" i="7"/>
  <c r="AI203" i="7"/>
  <c r="G57" i="19"/>
  <c r="AI256" i="7"/>
  <c r="G69" i="19"/>
  <c r="AI316" i="7"/>
  <c r="R376" i="7"/>
  <c r="R458" i="7" s="1"/>
  <c r="R459" i="7" s="1"/>
  <c r="V376" i="7"/>
  <c r="V458" i="7" s="1"/>
  <c r="V459" i="7" s="1"/>
  <c r="Y376" i="7"/>
  <c r="Y458" i="7" s="1"/>
  <c r="Y459" i="7" s="1"/>
  <c r="AG376" i="7"/>
  <c r="AG458" i="7" s="1"/>
  <c r="AG459" i="7" s="1"/>
  <c r="AE412" i="7"/>
  <c r="AI411" i="7"/>
  <c r="AE430" i="7"/>
  <c r="AE431" i="7" s="1"/>
  <c r="AI430" i="7"/>
  <c r="AI445" i="7"/>
  <c r="G96" i="19"/>
  <c r="AI485" i="7"/>
  <c r="AI541" i="7"/>
  <c r="Q664" i="7"/>
  <c r="Q665" i="7" s="1"/>
  <c r="U664" i="7"/>
  <c r="U665" i="7" s="1"/>
  <c r="AI705" i="7"/>
  <c r="AH708" i="7"/>
  <c r="AH713" i="7" s="1"/>
  <c r="G87" i="19"/>
  <c r="AI456" i="7"/>
  <c r="AI457" i="7" s="1"/>
  <c r="G94" i="19"/>
  <c r="AI473" i="7"/>
  <c r="X551" i="7"/>
  <c r="AI549" i="7"/>
  <c r="AI606" i="7"/>
  <c r="G121" i="19"/>
  <c r="AB613" i="7"/>
  <c r="S664" i="7"/>
  <c r="S665" i="7" s="1"/>
  <c r="W664" i="7"/>
  <c r="W665" i="7" s="1"/>
  <c r="G114" i="19"/>
  <c r="AI588" i="7"/>
  <c r="AI610" i="7"/>
  <c r="G123" i="19" s="1"/>
  <c r="G129" i="19"/>
  <c r="G131" i="19"/>
  <c r="AD664" i="7"/>
  <c r="AD665" i="7" s="1"/>
  <c r="AI674" i="7"/>
  <c r="AI675" i="7" s="1"/>
  <c r="AI676" i="7" s="1"/>
  <c r="AI677" i="7" s="1"/>
  <c r="G135" i="19"/>
  <c r="G134" i="19" s="1"/>
  <c r="G153" i="19"/>
  <c r="G152" i="19" s="1"/>
  <c r="Y701" i="7"/>
  <c r="G133" i="19"/>
  <c r="AE701" i="7"/>
  <c r="AI684" i="7"/>
  <c r="AI697" i="7"/>
  <c r="AI717" i="7"/>
  <c r="AI727" i="7"/>
  <c r="AI532" i="7"/>
  <c r="AI533" i="7" s="1"/>
  <c r="AI534" i="7" s="1"/>
  <c r="AI535" i="7" s="1"/>
  <c r="G81" i="19"/>
  <c r="AI289" i="7"/>
  <c r="AI60" i="7"/>
  <c r="AI61" i="7" s="1"/>
  <c r="G132" i="19" l="1"/>
  <c r="AE490" i="7"/>
  <c r="AI96" i="7"/>
  <c r="AI97" i="7" s="1"/>
  <c r="AI98" i="7" s="1"/>
  <c r="G43" i="19"/>
  <c r="G102" i="19"/>
  <c r="G92" i="19" s="1"/>
  <c r="AI644" i="7"/>
  <c r="AE62" i="7"/>
  <c r="AE63" i="7" s="1"/>
  <c r="G62" i="19"/>
  <c r="G60" i="19" s="1"/>
  <c r="G25" i="19"/>
  <c r="G35" i="19"/>
  <c r="AI350" i="7"/>
  <c r="AI351" i="7" s="1"/>
  <c r="AI352" i="7" s="1"/>
  <c r="AI353" i="7" s="1"/>
  <c r="AD458" i="7"/>
  <c r="AD459" i="7" s="1"/>
  <c r="AD678" i="7" s="1"/>
  <c r="AD753" i="7" s="1"/>
  <c r="AB336" i="7"/>
  <c r="AE664" i="7"/>
  <c r="AE665" i="7" s="1"/>
  <c r="AE514" i="7"/>
  <c r="AE720" i="7"/>
  <c r="AE721" i="7" s="1"/>
  <c r="AE752" i="7" s="1"/>
  <c r="AB664" i="7"/>
  <c r="AB665" i="7" s="1"/>
  <c r="AB262" i="7"/>
  <c r="AB263" i="7" s="1"/>
  <c r="AE322" i="7"/>
  <c r="AE323" i="7" s="1"/>
  <c r="AE336" i="7" s="1"/>
  <c r="G22" i="19"/>
  <c r="Y220" i="7"/>
  <c r="Y221" i="7" s="1"/>
  <c r="Y336" i="7"/>
  <c r="AI634" i="7"/>
  <c r="U678" i="7"/>
  <c r="U753" i="7" s="1"/>
  <c r="AI431" i="7"/>
  <c r="AH664" i="7"/>
  <c r="AH665" i="7" s="1"/>
  <c r="AH678" i="7" s="1"/>
  <c r="T129" i="7"/>
  <c r="T166" i="7" s="1"/>
  <c r="T189" i="7" s="1"/>
  <c r="T678" i="7" s="1"/>
  <c r="T753" i="7" s="1"/>
  <c r="AB166" i="7"/>
  <c r="AB189" i="7" s="1"/>
  <c r="AE111" i="7"/>
  <c r="AI501" i="7"/>
  <c r="AI514" i="7" s="1"/>
  <c r="AE413" i="7"/>
  <c r="AE458" i="7" s="1"/>
  <c r="AE459" i="7" s="1"/>
  <c r="AI362" i="7"/>
  <c r="AI31" i="7"/>
  <c r="AI32" i="7" s="1"/>
  <c r="AI62" i="7" s="1"/>
  <c r="AI63" i="7" s="1"/>
  <c r="AI578" i="7"/>
  <c r="G125" i="19"/>
  <c r="I124" i="19" s="1"/>
  <c r="W678" i="7"/>
  <c r="W753" i="7" s="1"/>
  <c r="AE246" i="7"/>
  <c r="AE262" i="7" s="1"/>
  <c r="AE263" i="7" s="1"/>
  <c r="AI712" i="7"/>
  <c r="Y720" i="7"/>
  <c r="Y721" i="7" s="1"/>
  <c r="Y752" i="7" s="1"/>
  <c r="Y664" i="7"/>
  <c r="Y665" i="7" s="1"/>
  <c r="Z664" i="7"/>
  <c r="Z665" i="7" s="1"/>
  <c r="Z678" i="7" s="1"/>
  <c r="Z753" i="7" s="1"/>
  <c r="Y166" i="7"/>
  <c r="Y189" i="7" s="1"/>
  <c r="G53" i="19"/>
  <c r="AH720" i="7"/>
  <c r="AH721" i="7" s="1"/>
  <c r="AH752" i="7" s="1"/>
  <c r="AE165" i="7"/>
  <c r="AI321" i="7"/>
  <c r="AI322" i="7" s="1"/>
  <c r="AI323" i="7" s="1"/>
  <c r="AC458" i="7"/>
  <c r="AC459" i="7" s="1"/>
  <c r="AC678" i="7" s="1"/>
  <c r="AC753" i="7" s="1"/>
  <c r="G77" i="19"/>
  <c r="G78" i="19"/>
  <c r="AI694" i="7"/>
  <c r="R678" i="7"/>
  <c r="R753" i="7" s="1"/>
  <c r="AI371" i="7"/>
  <c r="G120" i="19"/>
  <c r="AE220" i="7"/>
  <c r="AE221" i="7" s="1"/>
  <c r="AG97" i="7"/>
  <c r="AG98" i="7" s="1"/>
  <c r="AG111" i="7" s="1"/>
  <c r="AG678" i="7" s="1"/>
  <c r="AG753" i="7" s="1"/>
  <c r="AF678" i="7"/>
  <c r="AI489" i="7"/>
  <c r="AI490" i="7" s="1"/>
  <c r="Y262" i="7"/>
  <c r="Y263" i="7" s="1"/>
  <c r="AI245" i="7"/>
  <c r="AI246" i="7" s="1"/>
  <c r="AI627" i="7"/>
  <c r="AB458" i="7"/>
  <c r="AB459" i="7" s="1"/>
  <c r="AI144" i="7"/>
  <c r="AI150" i="7" s="1"/>
  <c r="AI375" i="7"/>
  <c r="AI199" i="7"/>
  <c r="AB220" i="7"/>
  <c r="AB221" i="7" s="1"/>
  <c r="AI388" i="7"/>
  <c r="G12" i="19"/>
  <c r="AI735" i="7"/>
  <c r="AF701" i="7"/>
  <c r="AF720" i="7" s="1"/>
  <c r="AF721" i="7" s="1"/>
  <c r="AF752" i="7" s="1"/>
  <c r="X613" i="7"/>
  <c r="X664" i="7" s="1"/>
  <c r="X665" i="7" s="1"/>
  <c r="X678" i="7" s="1"/>
  <c r="X753" i="7" s="1"/>
  <c r="AA458" i="7"/>
  <c r="AA459" i="7" s="1"/>
  <c r="AA678" i="7" s="1"/>
  <c r="AA753" i="7" s="1"/>
  <c r="AI213" i="7"/>
  <c r="AI219" i="7" s="1"/>
  <c r="AE150" i="7"/>
  <c r="AI108" i="7"/>
  <c r="AI109" i="7" s="1"/>
  <c r="AI110" i="7" s="1"/>
  <c r="AI165" i="7"/>
  <c r="Q678" i="7"/>
  <c r="Q753" i="7" s="1"/>
  <c r="G111" i="19"/>
  <c r="AI558" i="7"/>
  <c r="AI290" i="7"/>
  <c r="AI291" i="7" s="1"/>
  <c r="G148" i="19"/>
  <c r="AI718" i="7"/>
  <c r="AI719" i="7" s="1"/>
  <c r="G142" i="19"/>
  <c r="AI686" i="7"/>
  <c r="G83" i="19"/>
  <c r="AI412" i="7"/>
  <c r="G36" i="19"/>
  <c r="AI128" i="7"/>
  <c r="AI129" i="7" s="1"/>
  <c r="AI583" i="7"/>
  <c r="G117" i="19"/>
  <c r="AI187" i="7"/>
  <c r="AI188" i="7" s="1"/>
  <c r="AI467" i="7"/>
  <c r="AI468" i="7" s="1"/>
  <c r="V678" i="7"/>
  <c r="V753" i="7" s="1"/>
  <c r="G122" i="19"/>
  <c r="AI612" i="7"/>
  <c r="S678" i="7"/>
  <c r="S753" i="7" s="1"/>
  <c r="G119" i="19"/>
  <c r="AI594" i="7"/>
  <c r="G59" i="19"/>
  <c r="AI260" i="7"/>
  <c r="AI261" i="7" s="1"/>
  <c r="G109" i="19"/>
  <c r="AI544" i="7"/>
  <c r="AI545" i="7" s="1"/>
  <c r="G150" i="19"/>
  <c r="G149" i="19" s="1"/>
  <c r="AI728" i="7"/>
  <c r="G145" i="19"/>
  <c r="AI700" i="7"/>
  <c r="G110" i="19"/>
  <c r="AI551" i="7"/>
  <c r="G146" i="19"/>
  <c r="AI708" i="7"/>
  <c r="G112" i="19"/>
  <c r="AI564" i="7"/>
  <c r="G49" i="19"/>
  <c r="G45" i="19" s="1"/>
  <c r="AI207" i="7"/>
  <c r="G88" i="19"/>
  <c r="AI441" i="7"/>
  <c r="AI451" i="7" s="1"/>
  <c r="AE524" i="7" l="1"/>
  <c r="AE525" i="7" s="1"/>
  <c r="AI655" i="7"/>
  <c r="AF753" i="7"/>
  <c r="AE166" i="7"/>
  <c r="AE189" i="7" s="1"/>
  <c r="AH753" i="7"/>
  <c r="AI262" i="7"/>
  <c r="AI263" i="7" s="1"/>
  <c r="G34" i="19"/>
  <c r="AI376" i="7"/>
  <c r="AB678" i="7"/>
  <c r="AB753" i="7" s="1"/>
  <c r="AI111" i="7"/>
  <c r="AI713" i="7"/>
  <c r="AI701" i="7"/>
  <c r="Y678" i="7"/>
  <c r="Y753" i="7" s="1"/>
  <c r="G52" i="19"/>
  <c r="AI413" i="7"/>
  <c r="AI736" i="7"/>
  <c r="AI737" i="7" s="1"/>
  <c r="AI738" i="7" s="1"/>
  <c r="AI166" i="7"/>
  <c r="AI189" i="7" s="1"/>
  <c r="AI208" i="7"/>
  <c r="AI336" i="7"/>
  <c r="AI524" i="7"/>
  <c r="AI525" i="7" s="1"/>
  <c r="G76" i="19"/>
  <c r="G108" i="19"/>
  <c r="AI613" i="7"/>
  <c r="AI664" i="7" s="1"/>
  <c r="AI665" i="7" s="1"/>
  <c r="AI220" i="7"/>
  <c r="AI221" i="7" s="1"/>
  <c r="G141" i="19"/>
  <c r="G154" i="19" s="1"/>
  <c r="AE678" i="7" l="1"/>
  <c r="AE753" i="7" s="1"/>
  <c r="AI458" i="7"/>
  <c r="AI459" i="7" s="1"/>
  <c r="AI720" i="7"/>
  <c r="AI721" i="7" s="1"/>
  <c r="G138" i="19"/>
  <c r="G155" i="19" s="1"/>
  <c r="AI678" i="7" l="1"/>
  <c r="AI752" i="7"/>
  <c r="AI753" i="7" l="1"/>
</calcChain>
</file>

<file path=xl/sharedStrings.xml><?xml version="1.0" encoding="utf-8"?>
<sst xmlns="http://schemas.openxmlformats.org/spreadsheetml/2006/main" count="2135" uniqueCount="1079">
  <si>
    <t xml:space="preserve"> </t>
  </si>
  <si>
    <t>F-PLA-42</t>
  </si>
  <si>
    <t>Agosto 1 de 2016</t>
  </si>
  <si>
    <t>1 de 1</t>
  </si>
  <si>
    <t>ESTRATEGIA</t>
  </si>
  <si>
    <t>PROGRAMA</t>
  </si>
  <si>
    <t>META DE RESULTADO</t>
  </si>
  <si>
    <t>LINEA BASE 2015</t>
  </si>
  <si>
    <t>LINEA ESPERADA 2019</t>
  </si>
  <si>
    <t>SUB PROGRAMA</t>
  </si>
  <si>
    <t>META PRODUCTO</t>
  </si>
  <si>
    <t xml:space="preserve">CÓDIGO SECTOR </t>
  </si>
  <si>
    <t>CÓDIGO</t>
  </si>
  <si>
    <t xml:space="preserve">NOMBRE DEL PROYECTO </t>
  </si>
  <si>
    <t>TIPO DE META</t>
  </si>
  <si>
    <t>  ESTAMPILLA PRO - CULTURA (34)(83)(39)(41)   </t>
  </si>
  <si>
    <t> ESTAMPILLA PRO - ADULTO MAYOR  (84)</t>
  </si>
  <si>
    <t> CONVENIO ANTICONTRABANDO  (56)</t>
  </si>
  <si>
    <t> SOBRETASA AL ACPM 
(23)(89)   </t>
  </si>
  <si>
    <t> MONOPOLIO EDUCACIÓN  51% DESTINACION ESPECIFICA  (91)</t>
  </si>
  <si>
    <t>   SGP SALÚD PUBLICA - PRESTACIÓN DE SERVICIOS  (61)(59)(152) (98) </t>
  </si>
  <si>
    <t xml:space="preserve"> SGP PRESTACIÓN DE SERVICIOS - EDUCACIÓN  - Y CONECTIVIDAD (09)(25)(21)   </t>
  </si>
  <si>
    <t>  SGP APORTES PATRONALES -EDUCACION  - CANCELACIÓN DE PRESTACIONES SOCIALES -EDUCACIÓN  (26)(146)</t>
  </si>
  <si>
    <t xml:space="preserve"> FONDO DE EDUCACION,  PAE, CONVENIO MEN  (81)(137)(56)    </t>
  </si>
  <si>
    <t>SGP AGUA POTABLE Y SANEAMIENTO BÁSICO</t>
  </si>
  <si>
    <t> RECURSO ORDINARIO
(20)(88)</t>
  </si>
  <si>
    <t>    OTROS (IVA TELEFONIA MÓVIL  - REGISTRO - LEY 1816 (3% MONOPOLIO LICORES) (DEPORTES) (134) (94)(47)(93)  </t>
  </si>
  <si>
    <t xml:space="preserve"> RECURSOS DEL CREDITO  (46) </t>
  </si>
  <si>
    <t>TOTAL 2019</t>
  </si>
  <si>
    <t>304 -Secretaría Administrativa</t>
  </si>
  <si>
    <t>BUEN GOBIERNO</t>
  </si>
  <si>
    <t>Gestión Territorial</t>
  </si>
  <si>
    <t>Modernización tecnológica y Administrativa</t>
  </si>
  <si>
    <t>37                       38</t>
  </si>
  <si>
    <t xml:space="preserve">     Elevar el promedio de la participación de la ciudadania en los procesos de elección popular en el cuatrenio                                                Consolidar mecanismos de integración regional y municipal                                   </t>
  </si>
  <si>
    <t>Virtualizar ocho (8) trámites de la administración departamental a través de Gobierno en Línea</t>
  </si>
  <si>
    <t>ND</t>
  </si>
  <si>
    <t xml:space="preserve">17. Fortalecimiento institucional </t>
  </si>
  <si>
    <t>201663000-0001</t>
  </si>
  <si>
    <t>Apoyo a la estrategia de Gobierno en linea en el Departamento del Quindio</t>
  </si>
  <si>
    <t>I</t>
  </si>
  <si>
    <t>37         38</t>
  </si>
  <si>
    <t xml:space="preserve">     Elevar el promedio de la participación de la ciudadania en los procesos de elección popular en el cuatrenio                                      Consolidar mecanismos de integración regional y municipal</t>
  </si>
  <si>
    <t>Formular e  implementar un (1) programa de seguridad y salud en el trabajo, capacitación y bienestar social en  el departamento</t>
  </si>
  <si>
    <t>201663000-0002</t>
  </si>
  <si>
    <t>Formulación e implementación del programa de seguridad y salud en el trabajo, capacitación y bienestar social en el Departamento del Quindio</t>
  </si>
  <si>
    <t>M</t>
  </si>
  <si>
    <t>Consolidar mecanismos de integración regional y municipal</t>
  </si>
  <si>
    <t xml:space="preserve">Fortalecer el programa de sostenibilidad de las  Tecnologias de la Información de las Comunicaciones de la Gobernación del Quindio </t>
  </si>
  <si>
    <t>201663000-0004</t>
  </si>
  <si>
    <t>Apoyo a la sostenibilidad de las tecnologías de la información y comunicación de la Gobernación del Quindío.</t>
  </si>
  <si>
    <t>Adquirir e implementar un (1) software para la sistematización de las historias laborales del Fondo Territorial de Pensiones del departamento</t>
  </si>
  <si>
    <t>201663000-0005</t>
  </si>
  <si>
    <t>Implementación de un programa  de  modernización de la gestión administrativa en el Departamento del Quindio</t>
  </si>
  <si>
    <t>Implementar un programa de actualización y registro de los bienes de propiedad del departamento</t>
  </si>
  <si>
    <t>Implementar un (1) programa de modernización de la gestión documental en el departamento</t>
  </si>
  <si>
    <t>Adquirir  un (1) bien inmueble para adelantar acciones de cara al servicio de la comunidad</t>
  </si>
  <si>
    <t>305 Secretaría de Planeación</t>
  </si>
  <si>
    <t>Quindío Transparente y Legal</t>
  </si>
  <si>
    <t>Quindío Ejemplar y Legal</t>
  </si>
  <si>
    <t>Elevar el promedio de la participación de la ciudadania en los procesos de elección popular en el cuatrenio</t>
  </si>
  <si>
    <t>54,61%</t>
  </si>
  <si>
    <t>Realizar en el Departamento y  los doce (12) municipios  del Quindío  procesos de sensibilización, seguimiento  y evaluación en la aplicabilidad de los componentes   del Índice de Transparencia.</t>
  </si>
  <si>
    <t>201663000-0006</t>
  </si>
  <si>
    <t>Realización procesos de capacitación,  asistencia técnica, seguimiento  y evaluación en la aplicabilidad de los componentes   del Índice de Transparencia en el Departamento del Quindio</t>
  </si>
  <si>
    <t>Veedurías y Rendición de Cuentas</t>
  </si>
  <si>
    <t xml:space="preserve">Realizar  doce (12) procesos de Rendición Publica de Cuentas Departamentales en entes territoriales municipales. </t>
  </si>
  <si>
    <t>201663000-0015</t>
  </si>
  <si>
    <t xml:space="preserve">Realización procesos de Rendición Publica de Cuentas Departamentales en los  entes territoriales municipales del Departamento del Quindio </t>
  </si>
  <si>
    <t>Poder Ciudadano</t>
  </si>
  <si>
    <t>Quindío Si, a la participación</t>
  </si>
  <si>
    <t xml:space="preserve">Fortalecer  técnica y logísticamente al  Consejo Territorial de Planeación  Departamental  </t>
  </si>
  <si>
    <t xml:space="preserve">16. Desarrollo Comunitario </t>
  </si>
  <si>
    <t>201663000-0007</t>
  </si>
  <si>
    <t>Asistencia al Consejo Territorial de Planeación del Departamento del Quindío.</t>
  </si>
  <si>
    <t xml:space="preserve">Los instrumentos  de planificación como  ruta para el cumplimiento de la gestión pública  </t>
  </si>
  <si>
    <t>Diseñar e implementar el Plan de Ordenamiento del Departamento del Quindio.</t>
  </si>
  <si>
    <t>201663000-0009</t>
  </si>
  <si>
    <t>Diseño e implementación instrumentos de  planificación para el  ordenamiento  territorial, social y económico del  Departamento del Quindio</t>
  </si>
  <si>
    <t>Diseñar e implementar Un (1) Sistema de Información geo referenciado para el ordenamiento social  y económico del territorio rural</t>
  </si>
  <si>
    <t xml:space="preserve">Actualizar y fortalecer  las directrices   del Modelo de Ocupación del Territorio   en el Departamento del Quindío </t>
  </si>
  <si>
    <t xml:space="preserve">Fortalecer el  Sistema de Información Geográfica del Departamento del Quindío  </t>
  </si>
  <si>
    <t>Adoptar dos (2) mecanismo de integracion regional  y  de asociatividad  entre los municipios.</t>
  </si>
  <si>
    <t xml:space="preserve">Reorientar el Observatorio económico a un enfoque humano con variables sociales, economicas y de seguridad humana en el Departamento del Quindío  </t>
  </si>
  <si>
    <t>201663000-0010</t>
  </si>
  <si>
    <t xml:space="preserve">Diseño    e implementación del Observatorio  de Desarrollo Humano en el Departamento del Quindio </t>
  </si>
  <si>
    <t>Diseñar e implementar el tablero de control  para el seguimiento y evaluación del Plan de Desarrollo  y   políticas públicas  Departamentales</t>
  </si>
  <si>
    <t>201663000-0011</t>
  </si>
  <si>
    <t>Diseño  e implementación del Tablero de Control  para el seguimiento y evalución del Plan de Desarrollo y las Políticas Públicas del  Departamento del Quindio</t>
  </si>
  <si>
    <t xml:space="preserve">Diseñar e implementar la  Fábrica de Proyectos de Inversión en el Departamento del Quindío </t>
  </si>
  <si>
    <t>13. Promoción del Desarrollo</t>
  </si>
  <si>
    <t>201663000-0012</t>
  </si>
  <si>
    <t xml:space="preserve"> Implementación Sistema de Cooperación Internacional y  de Gestión de proyectos  del Depratamento del Quindío - " Fabrica de Proyectos</t>
  </si>
  <si>
    <t xml:space="preserve">Actualizar el Sistema Integrado de Gestión Administrativa SIGA del departamento del Quindío </t>
  </si>
  <si>
    <t>201663000-0013</t>
  </si>
  <si>
    <t xml:space="preserve">Actualizar y/o  ajustar el Sistema Integrado de Gestión Administrativa SIGA del Departamento del Quindío </t>
  </si>
  <si>
    <t xml:space="preserve">Implementar el Comité  de Planificación  Departamental   </t>
  </si>
  <si>
    <t>201663000-0014</t>
  </si>
  <si>
    <t>Asistencia  técnica, seguimiento y evaluación  de la gestión  territorial en los  munipicios del Departamento del  Quindío.</t>
  </si>
  <si>
    <t>Implementar en doce (12) municipios del Departamento procesos de capacitación,   asistencia técnica,  seguimiento  y evaluación   de los    Planes  (Básicos y/o esquemas) Ordenamiento   Territorial</t>
  </si>
  <si>
    <t xml:space="preserve">Implementar en doce (12) municipios del Departamento del Quindío  procesos de sensibilización, capacitación, asistencia técnica, seguimiento y evaluación del "Ranking integral de Desempeño"   </t>
  </si>
  <si>
    <t xml:space="preserve">Implementar en doce (12) municipios del Departamento del Quindío  procesos de sensibilización, capacitación,  asistencia técnica, seguimiento  y evaluación  en la aplicabilidad de los instrumentos de planificación </t>
  </si>
  <si>
    <t xml:space="preserve">Implementar en doce (12) municipios del Departamento del Quindío  procesos de  sensibilización, capacitación,  asistencia técnica, seguimiento  y evaluación  en la aplicabilidad  del Sistema  Selección de Beneficiarios de programas Sociales SISBEN </t>
  </si>
  <si>
    <t xml:space="preserve">Implementar en doce (12) municipios del Departamento del Quindío procesos de  sensibilización, capacitación, asistencia técnica, seguimiento  y evaluación  en la aplicabilidad   de las políticas públicas </t>
  </si>
  <si>
    <t xml:space="preserve">Implementar en doce (12) municipios del Departamento del Quindío  procesos  de capacitación,  asistencia técnica, seguimiento  y evaluación  en la aplicabilidad   de la Estratificación Socioeconómica </t>
  </si>
  <si>
    <t xml:space="preserve">Implementar en doce (12) municipios del departamento del Quindío procesos de capacitación  en  la Metodología General Ajustada  MGA </t>
  </si>
  <si>
    <t xml:space="preserve">Realizar procesos  de asistencia técnica, seguimiento y evaluacion  en la incorporación  de  las directrices del  Modelo de Ocupación del Territorio de en los doce (12) Municipios </t>
  </si>
  <si>
    <t>307 Secretaría de Hacienda</t>
  </si>
  <si>
    <t>Gestión Tributaria y Financiera</t>
  </si>
  <si>
    <t>Implementar 4 procesos de fiscalización de las Rentas Departamentales</t>
  </si>
  <si>
    <t>201663000-0016</t>
  </si>
  <si>
    <t xml:space="preserve"> Mejoramiento de la sostenibilidad de los procesos de fiscalización liquidación control y cobranza de los tributos en el Departamento del Quindío</t>
  </si>
  <si>
    <t>Implementar una estrategia de cobro coactivo sobre la cartera morosa de las Rentas Departamentales.</t>
  </si>
  <si>
    <t xml:space="preserve">Ejecutar el programa anti contrabando suscrito con la Federación Nacional de Departamentos.                               </t>
  </si>
  <si>
    <t>Elaborar el diagnóstico del sistema de Información tributario y financiero</t>
  </si>
  <si>
    <t>201663000-0017</t>
  </si>
  <si>
    <t xml:space="preserve">Implementación de un programa de gestión fianciera para la optimización de los procesos en el area de tesorería, presupuesto y contabilidad en el Departamento del Quindio </t>
  </si>
  <si>
    <t xml:space="preserve">Implementar un programa para el cumplimiento de las políticas y prácticas contables para la administración departamental         </t>
  </si>
  <si>
    <t xml:space="preserve">308 Secretaría de Agua e Infraestructura </t>
  </si>
  <si>
    <t>PROSPERIDAD CON EQUIDAD</t>
  </si>
  <si>
    <t>Infraestructura Sostenible para la Paz</t>
  </si>
  <si>
    <t>Mejora de la Infraestructura Vial del Departamento del Quindío</t>
  </si>
  <si>
    <t>Msntener en buen estado las vias del Departamento</t>
  </si>
  <si>
    <t>Mantener, mejorar y/o rehabilitar ciento treinta (130) km de vías del Departamento para la implementación del Plan Vial Departamental.</t>
  </si>
  <si>
    <t xml:space="preserve">9. Transporte </t>
  </si>
  <si>
    <t>201663000-0019</t>
  </si>
  <si>
    <t>Mantener, mejorar, rehabilitar y/o atender las vías y sus emergencias, en cumplimiento del Plan Vial del Departamento del Quindío.</t>
  </si>
  <si>
    <t>Apoyar la atención de emergencias viales en los doce (12) Municipios del Departamento del Quindío.</t>
  </si>
  <si>
    <t>Mejora de la Infraestructura  Social del Departamento del Quindío</t>
  </si>
  <si>
    <t xml:space="preserve">Disminuir  el porcentaje de personas en situción de pobreza </t>
  </si>
  <si>
    <t>Mantener, mejorar y/o rehabilitar la Infraestructura de cuarenta y ocho (48) instituciones educativas en el departamento del Quindío.</t>
  </si>
  <si>
    <t>1. Educación</t>
  </si>
  <si>
    <t>201663000-0021</t>
  </si>
  <si>
    <t>Construir, mantener, mejorar y/o rehabilitar la infraestructura social del Departamento del Quindio</t>
  </si>
  <si>
    <t>Apoyar la construcción, mejoramiento y/o rehabilitación de cuatro (4) obras de infraestructura de salud del departamento del Quindío</t>
  </si>
  <si>
    <t xml:space="preserve">15. Equipamiento </t>
  </si>
  <si>
    <t>Apoyar la construcción, mejoramiento y/o  rehabilitación de la infraestructura de doce (12) escenarios deportivos y/o recreativos en el departamento del Quindío</t>
  </si>
  <si>
    <t>Apoyar la construcción, el mantenimiento, el mejoramiento y/o la rehabilitación de la infraestructura de dos (2) equipamientos públicos y colectivos del Departamento del Quindío.</t>
  </si>
  <si>
    <t>Apoyar la construcción, el mantenimiento, el mejoramiento y/o la rehabilitación de dos (2) obras físicas de infraestructura  Institucional o de edificios públicos del Departamento del Quindío.</t>
  </si>
  <si>
    <t>Apoyar la construcción y  el mejoramiento de mil (1000) viviendas urbana y rural priorizada en el departamento del Quindío.</t>
  </si>
  <si>
    <t>7. Vivienda</t>
  </si>
  <si>
    <t xml:space="preserve">Desarrollar tres (3) ejercicios de presupuesto participativo con la ciudadanía, para la priorización de recursos de infraestructura física en el Departamento </t>
  </si>
  <si>
    <t>2018003630-002</t>
  </si>
  <si>
    <t xml:space="preserve">Contrucción Cancha Sintetica y Adecuación del Polideportivo en el Sector el Naranjal, Quimbaya Quindio </t>
  </si>
  <si>
    <t>DESARROLLO SOSTENIBLE</t>
  </si>
  <si>
    <t>Quindío territorio vital</t>
  </si>
  <si>
    <t>Manejo integral del agua y saneamiento básico</t>
  </si>
  <si>
    <t xml:space="preserve">Dsiminuir la presión por cargas contaminantes medida por el indice de alteración potencial de la calidad del agua ( IACAL), a categoria moderada </t>
  </si>
  <si>
    <t xml:space="preserve">Muy Alta </t>
  </si>
  <si>
    <t>Moderada</t>
  </si>
  <si>
    <t>Formular y ejecutar veinte (20) proyectos de infraestructura de agua potable y saneamiento básico</t>
  </si>
  <si>
    <t xml:space="preserve">3. Agua Potable y Saneamiento Básico </t>
  </si>
  <si>
    <t>201663000-0022</t>
  </si>
  <si>
    <t>Apoyo en atenciones prioritarias en Agua Potable y/o Saneamiento Básico en el Departamento del Quindio</t>
  </si>
  <si>
    <t>201663000-0023</t>
  </si>
  <si>
    <t>Construción y mejoramiento de la infraestructura de agua potable y saneamiento básico del Departamento del Quindio.</t>
  </si>
  <si>
    <t>Apoyar  veinte (20) proyectos de agua potable y saneamiento básico de acuerdo al plan de acompañamiento social</t>
  </si>
  <si>
    <t>201663000-0024</t>
  </si>
  <si>
    <t>Ejecución del plan de acompañamiento social a los proyectos y obras de infraestructura de agua potable y saneamiento básico en el Departamento del Quindio</t>
  </si>
  <si>
    <t>Actualizar e implementar el plan ambiental para el sector de agua potable y saneamiento básico</t>
  </si>
  <si>
    <t>201663000-0025</t>
  </si>
  <si>
    <t>Actualización e implementación del  Plan Ambiental para el sector de agua potable y saneamiento básico en el Departamento del Quindio</t>
  </si>
  <si>
    <t>Ejecutar tres (3) proyectos para el aseguramiento de la prestación de los servicios públicos de agua potable y saneamiento básico urbano y rural</t>
  </si>
  <si>
    <t>201663000-0026</t>
  </si>
  <si>
    <t>Ejecución del plan de aseguramiento de la prestación de los servicios públicos de agua potable y saneamiento básico urbano y rural en el Departamento del Quindio</t>
  </si>
  <si>
    <t>309 Secretaría del Interior</t>
  </si>
  <si>
    <t>SEGURIDAD HUMANA</t>
  </si>
  <si>
    <t xml:space="preserve">Seguridad humana como dinamizador de la vida, dignidad y libertad en el Quindío </t>
  </si>
  <si>
    <t>Seguridad ciudadana  para prevención y control del delito</t>
  </si>
  <si>
    <t xml:space="preserve">Reducrir la tasa de Homicidios en el Departamento del Quindio </t>
  </si>
  <si>
    <t>42.34               *100.000</t>
  </si>
  <si>
    <t>35                          *100.000</t>
  </si>
  <si>
    <t>Apoyar la implementación de seis (6) programas de resocialización  en establecimientos carcelarios  del Departamento (sustento legal 1709 de 2014)</t>
  </si>
  <si>
    <t xml:space="preserve">18. Justicia y seguridad </t>
  </si>
  <si>
    <t>201663000-0028</t>
  </si>
  <si>
    <t xml:space="preserve">Construcción integral de la seguridad humana en el Departamento de Quindio.  </t>
  </si>
  <si>
    <t>Fortalecer 10 programas de prevención y superación del Sistema de responsabilidad penal para adolescentes</t>
  </si>
  <si>
    <t>Apoyar la construcción, refacción o adecuación de  seis (6) estaciones de policía y/o guarniciones militares y/o instituciones carcelarias</t>
  </si>
  <si>
    <t xml:space="preserve">4
</t>
  </si>
  <si>
    <t xml:space="preserve">Reducir los casos  de  hurto a residencias, comercio y personas </t>
  </si>
  <si>
    <t>Dotar cinco (5) organismos de seguridad del departamento con elementos tecnológicos y logísticos que faciliten su operatividad y capacidad de respuesta</t>
  </si>
  <si>
    <t>Apoyar 3 observatorios locales del delito</t>
  </si>
  <si>
    <t>Convivencia, Justicia  y Cultura de Paz</t>
  </si>
  <si>
    <t>Apoyar la implementación de treinta y seis (36) programas de prevención del delito y mediación de conflictos en comunidades focalizadas del departamento</t>
  </si>
  <si>
    <t xml:space="preserve">18. Justicia y Seguridad </t>
  </si>
  <si>
    <t>201663000-0029</t>
  </si>
  <si>
    <t>Apoyo a la convivencia, justicia y cultura de paz en el Departamento del  Quindio.</t>
  </si>
  <si>
    <t>Atencion integral de Barrios con situacion critica de convivencia en los 12 Municipios  del Departamento</t>
  </si>
  <si>
    <t>Actualizar e implementar el Plan Integral de Seguridad y Convivencia Ciudadana (PISCC)</t>
  </si>
  <si>
    <t>Construcción de paz y reconciliación en el Quindío</t>
  </si>
  <si>
    <t>Plan de Acción Territorial para las Víctimas del Conflicto</t>
  </si>
  <si>
    <t xml:space="preserve">Aumentar el porcentaje de cumplimiento de la Ley 1448 del 2011 de atención a victimas </t>
  </si>
  <si>
    <t>71.04</t>
  </si>
  <si>
    <t>88.17</t>
  </si>
  <si>
    <t xml:space="preserve">Apoyar la articulación para la atención integral de las víctimas del conflicto por enfoque diferencial en  los 12 municipios del departamento
</t>
  </si>
  <si>
    <t xml:space="preserve">14. Atención Grupos Vulnerables- Promoción Social </t>
  </si>
  <si>
    <t>201663000-0030</t>
  </si>
  <si>
    <t>Implementación del Plan de Acción Territorial para la prevención, protección, asistencia, atención, reparación integral en el Departamento del Quindio.</t>
  </si>
  <si>
    <t>Apoyar  la atención humanitaria inmediata a la población víctima del conflicto en los 12 municipios</t>
  </si>
  <si>
    <t xml:space="preserve">Fortalecer el Comité departamental de justicia transicional y la mesa de participación efectiva de las víctimas del conflicto </t>
  </si>
  <si>
    <t xml:space="preserve">Apoyar la construcción y la actualización de los Planes de Acción Territorial de victimas PAT municipales y  el PAT departamental </t>
  </si>
  <si>
    <t xml:space="preserve">Diseñar e implementar el sistema de información para la prevención, atención, asistencia y reparación integral a las víctimas del conflicto armado interno </t>
  </si>
  <si>
    <t>Protección y Garantías de no Repetición</t>
  </si>
  <si>
    <t>Implementar el plan integral de prevención a las violaciones de  Derechos Humanos DDHH e infracciones  al Derecho Internacional Humanitario DIH</t>
  </si>
  <si>
    <t>201663000-0032</t>
  </si>
  <si>
    <t>Implementación del Plan Integral de prevención de vulneraciones de los Derechos Humanos DDHH e infracciones  al Derecho Internacional Humanitario DIH en el departamento del Quindio</t>
  </si>
  <si>
    <t xml:space="preserve">Apoyar en los doce (12) municipios la articulación institucional para la prevención a las violaciones DDHH  e infracciones al DIH </t>
  </si>
  <si>
    <t>Actualizar e Implementar el plan lucha contra la trata de personas</t>
  </si>
  <si>
    <t>Preparados para la Paz Territorial</t>
  </si>
  <si>
    <t>Implementar plan de acción de Derechos Humanos articulado interinstitucionalmente, de  protección de los Derechos Humanos DDHH y la Paz en los doce (12) municipios del departamento</t>
  </si>
  <si>
    <t>201663000-0034</t>
  </si>
  <si>
    <t>Construcción de la Paz Territorial en el Departamento del Quindio</t>
  </si>
  <si>
    <t xml:space="preserve">Apoyar y articular en los doce (12) municipios  del departamento las actuaciones institucionales en procura de la garantía de la construcción de paz </t>
  </si>
  <si>
    <t xml:space="preserve">El Quindío Departamento Resiliente </t>
  </si>
  <si>
    <t>Quindío protegiendo el futuro</t>
  </si>
  <si>
    <t xml:space="preserve">Realizar catorce (14) estudios de riesgo y análisis de vulnerabilidad en  los municipios del departamento </t>
  </si>
  <si>
    <t xml:space="preserve">12. Prevención y Atención de Desastres </t>
  </si>
  <si>
    <t>201663000-0036</t>
  </si>
  <si>
    <t xml:space="preserve">Administración del  riesgo mediante el conocimiento, la reducción y el manejo del desastre  en el Departamento del Quindio. </t>
  </si>
  <si>
    <t xml:space="preserve">Apoyar a ciento cincuenta (150) instituciones educativas del departamento en la formulación de Planes Escolares de Gestión del Riesgo (PGERD) </t>
  </si>
  <si>
    <t>Apoyar a los doce (12) municipios del departamento en procesos de educación a las comunidades frente a la prevención y preparación para las emergencias por fenómenos de origen natural y/o antrópico no intencional</t>
  </si>
  <si>
    <t xml:space="preserve">Realizar 10 intervenciones en  áreas vulnerables del departamento </t>
  </si>
  <si>
    <t xml:space="preserve">Fortalecer el comité departamental de gestión del riesgo de desastres </t>
  </si>
  <si>
    <t>Fortalecimiento Institucional para la Gestión del Riesgo de Desastres como una Estrategia de Desarrollo</t>
  </si>
  <si>
    <t>Poner en funcionamiento operativo la sala de crisis del Departamento</t>
  </si>
  <si>
    <t>201663000-0038</t>
  </si>
  <si>
    <t>Apoyo institucional en la gestión del riesgo  en el Departamento del Quindio</t>
  </si>
  <si>
    <t>Fortalecer  la dotación de la bodega estratégica de la Unidad Departamental de la Gestión del Riesgo de Desastres UDEGER</t>
  </si>
  <si>
    <t xml:space="preserve">Elevar el promedio de participación ciudadana en los procesos de leccón popular en el cuatrenio </t>
  </si>
  <si>
    <t>Implementar un (1) programa de fortalecimiento de las veedurías ciudadanas del departamento</t>
  </si>
  <si>
    <t>201663000-0042</t>
  </si>
  <si>
    <t xml:space="preserve">Fortalecimiento de las veedurias ciudadanas en el Departamento del Quindio </t>
  </si>
  <si>
    <t xml:space="preserve">Elevar el promedio de participación ciudadana en los procesos de elección popular en el cuatrenio </t>
  </si>
  <si>
    <t>Desarrollar estrategias tendientes a promover la participación ciudadana en el departamento</t>
  </si>
  <si>
    <t>201663000-0039</t>
  </si>
  <si>
    <t>Construcción de la participación ciudadana y control social en el Departamento del Quindio</t>
  </si>
  <si>
    <t>Creación y puesta en funcionamiento  del Consejo departamental de participación Ciudadana</t>
  </si>
  <si>
    <t xml:space="preserve"> Apoyar  la comisión para la Coordinación y Seguimiento de los procesos electorales del departamento del Quindío  según el numero de eventos que se presenten</t>
  </si>
  <si>
    <t>|</t>
  </si>
  <si>
    <t>Diseñar e implementar la Escuela de Liderazgo democrático</t>
  </si>
  <si>
    <t>Formular e implementar la política pública departamental de libertad religiosa en desarrollo del artículo 244 de la ley 1753 "Por medio de la cual se expide el Plan Nacional de Desarrollo 2014-2018 TODOS POR UN NUEVO PAÍS"</t>
  </si>
  <si>
    <t>Comunales comprometidos con el Desarrollo</t>
  </si>
  <si>
    <t xml:space="preserve">fortalecer  organismos comunales en los  12 municipios del departamento en el mejoramiento organizacional y participativo </t>
  </si>
  <si>
    <t>201663000-0040</t>
  </si>
  <si>
    <t xml:space="preserve">Desarrollo de los Organismos Comunales en el Departamento del Quindio </t>
  </si>
  <si>
    <t>310 Secretaría de Cultura</t>
  </si>
  <si>
    <t>INCLUSION SOCIAL</t>
  </si>
  <si>
    <t>Cultura, Arte y educación para la Paz</t>
  </si>
  <si>
    <t>Arte para todos</t>
  </si>
  <si>
    <t>19            21                  31                          32</t>
  </si>
  <si>
    <t xml:space="preserve">Disminuir la proporción de niños que desertan en educación básica secundaria y media                     Disminuir el porcentaje de mujeres amenazadas por sus compañeros sentimentales.                            Disminuir la incidencia de embarazo en adolescentes                                                                                   Reducir la proporción de jóvenes en el sistema de responsabilidad penal con riesgo alto de reincidencia en las conductas delictivas                  </t>
  </si>
  <si>
    <t>8,06% EBS 5,77% EM       
 174,7*100.000                 30.7%                                            24,9%                                                               6 de cada 10</t>
  </si>
  <si>
    <t>5% EBS   4% EM
150*100.000                 27%                                                20%                                                     5 de cada 10</t>
  </si>
  <si>
    <t>Apoyar  treinta (30) proyectos y/o actividades de formación, difusión, circulación, creación e investigación, planeación y de espacios para el disfrute de las artes</t>
  </si>
  <si>
    <t xml:space="preserve">5. Cultura </t>
  </si>
  <si>
    <t>201663000-0045</t>
  </si>
  <si>
    <t xml:space="preserve">Apoyo a seguridad social del creador y gestor cultural del Departamento del Quindio </t>
  </si>
  <si>
    <t>201663000-0046</t>
  </si>
  <si>
    <t>Apoyo al arte y la cultura en todo el Departamento del Quindío</t>
  </si>
  <si>
    <t>Apoyar  ciento veinte (120) proyectos del programa de concertación cultural del departamento</t>
  </si>
  <si>
    <t>Apoyar treinta y seis (36) proyectos mediante estímulos artísticos y culturales</t>
  </si>
  <si>
    <t xml:space="preserve">Emprendimiento Cultural </t>
  </si>
  <si>
    <t>5                     32</t>
  </si>
  <si>
    <t xml:space="preserve">Igualar la tasa de desempleo del departamento al promedio nacional para 2019.                                                                                             Reducir la proporción de jóvenes en el sistema de responsabilidad penal con riesgo alto de reincidencia en las conductas delictivas.                                                                                                                                                                                                                                                                                                                                                                                                                                                                                                                                                                                                                                                                                         </t>
  </si>
  <si>
    <t xml:space="preserve"> 12,9% (Quindío)                  6 de cada 10</t>
  </si>
  <si>
    <t xml:space="preserve">  8,9% (nacional)          5 de cada 10</t>
  </si>
  <si>
    <t>Fortalecer cinco (5) procesos de emprendimiento cultural y de desarrollo de industrias creativas</t>
  </si>
  <si>
    <t>201663000-0047</t>
  </si>
  <si>
    <t xml:space="preserve">Fortalecimiento y promoción del  emprendimiento cultural y las industrias creativas en el Departamento </t>
  </si>
  <si>
    <t>Lectura, escritura y bibliotecas</t>
  </si>
  <si>
    <t xml:space="preserve">19           32        </t>
  </si>
  <si>
    <t xml:space="preserve">Disminuir la proporción de niños que desertan en educación básica secundaria y media                                   Reducir la proporción de jóvenes en el sistema de responsabilidad penal con riesgo alto de reincidencia en las conductas delictivas.                                                                                                                                                                                                                                                                                                                                                                                                                                                                                                                                                                                                                                                                                         </t>
  </si>
  <si>
    <t xml:space="preserve">8,06% EBS 5,77% EM                     6./10          
 </t>
  </si>
  <si>
    <t xml:space="preserve">5% EBS   4% EM                    5./10
 </t>
  </si>
  <si>
    <t>Apoyar  veinte (20) proyectos y/o actividades en investigación, capacitación y difusión de la lectura y escritura para fortalecer la Red Departamental de Bibliotecas</t>
  </si>
  <si>
    <t>201663000-0048</t>
  </si>
  <si>
    <t xml:space="preserve"> Fortalecimiento al  Plan Departamental  de lectura, escritura y bibliotecas en el Departamento del Quindio .</t>
  </si>
  <si>
    <t>Patrimonio, paisaje cultural cafetero, ciudadanía y diversidad cultural</t>
  </si>
  <si>
    <t>Viviendo el patrimonio y el Paisaje Cultural Cafetero</t>
  </si>
  <si>
    <t>6                   19</t>
  </si>
  <si>
    <t xml:space="preserve">Equiparar el crecimiento del PIB del departamento del Quindío al PIB nacional                                                                                          Disminuir la proporción de niños que desertan en educación básica secundaria y media                                                                                                                                                                                                                                                                                                                                                                                                                                                                                                                                                                                                                                                                                                                           </t>
  </si>
  <si>
    <t xml:space="preserve">3,4% (Quindío) Vs. 4,6% (Nacional)                               8,06% EBS 5,77% EM                    </t>
  </si>
  <si>
    <t xml:space="preserve">En la actualidad este valor equivaldría al 4.6%                                    5% EBS   4% EM                   
 </t>
  </si>
  <si>
    <t xml:space="preserve">Apoyar treinta y dos (32) proyectos y/o actividades en gestión, investigación,  protección, divulgación y salvaguardia del patrimonio y diversidad cultural </t>
  </si>
  <si>
    <t>201663000-0049</t>
  </si>
  <si>
    <t>Apoyo al reconocimiento, apropiación y salvaguardia y difusión del patrimonio cultural en todo el Departamento del Quindío.</t>
  </si>
  <si>
    <t>Comunicación, ciudadanía y Sistema Departamental de Cultura</t>
  </si>
  <si>
    <t>32       22</t>
  </si>
  <si>
    <t xml:space="preserve">Reducir la proporción de jóvenes en el sistema de responsabilidad penal con riesgo alto de reincidencia en las conductas delictivas.                                                                                                                                                                     </t>
  </si>
  <si>
    <t xml:space="preserve">6./10          
 </t>
  </si>
  <si>
    <t xml:space="preserve">5./10
 </t>
  </si>
  <si>
    <t xml:space="preserve">Apoyar diez (10) proyectos y/o actividades orientados a fortalecer la articulación comunicación y cultura </t>
  </si>
  <si>
    <t>201663000-0050</t>
  </si>
  <si>
    <t>Fortalecimiento de la comunicación, la ciudadanía  y el sistema departamental de cultura  en el Quindio.</t>
  </si>
  <si>
    <t>Apoyar  dieciséis (16) actividades y/o proyectos  para el afianzamiento del Sistema Departamental de Cultura</t>
  </si>
  <si>
    <t xml:space="preserve">311 Secretaría de Turismo, Industria y Comercio </t>
  </si>
  <si>
    <t>Quindío rural, inteligente, competitivo y empresarial</t>
  </si>
  <si>
    <t>Quindío Prospero y productivo</t>
  </si>
  <si>
    <t>Igualar la tasa de desempleo del departamento al promedio nacional para el 2019</t>
  </si>
  <si>
    <t xml:space="preserve">Crear (1) y fortalecer (3) rutas competitivas </t>
  </si>
  <si>
    <t xml:space="preserve">13. Promoción del Desarrollo </t>
  </si>
  <si>
    <t>201663000-0051</t>
  </si>
  <si>
    <t>Apoyo al mejoramiento de la competitividad a iniciativas  productivas en el  Departamento del Quindío</t>
  </si>
  <si>
    <t xml:space="preserve">Equiparar el crecimiento del PIB del departamento  del Quindio al PIB Nacional </t>
  </si>
  <si>
    <t xml:space="preserve">3.4 </t>
  </si>
  <si>
    <t>4.6</t>
  </si>
  <si>
    <t>Conformar e implementar (3) tres clúster priorizados en el Plan de Competitividad</t>
  </si>
  <si>
    <t xml:space="preserve">Diseño, formulación y puesta en marcha del Centro  para el desarrollo y el  fortalecimiento de la investigación, tecnología,  Ciencia e Innovación .    </t>
  </si>
  <si>
    <t>201663000-0052</t>
  </si>
  <si>
    <t xml:space="preserve"> Fortalecimiento de  la   competitividad  a través de la  gestión de la innovación  y la tecnocología en el Departamento del Quindio</t>
  </si>
  <si>
    <t xml:space="preserve">Apoyar la formulación del proyecto: Red de conocimiento de agro negocios del departamento </t>
  </si>
  <si>
    <t xml:space="preserve">Diseñar y fortalecer un proyecto de I+D+I </t>
  </si>
  <si>
    <t>Hacia el Emprendimiento, Empresarismo, asociatividad y generación de empleo en el Departamento del Quindío</t>
  </si>
  <si>
    <t>Apoyar a doce (12) unidades de emprendimiento para jóvenes emprendedores.</t>
  </si>
  <si>
    <t>201663000-0053</t>
  </si>
  <si>
    <t xml:space="preserve"> Apoyo al emprendimiento, empresarismo, asociatividad y generación de empleo en el departamento del Quindío.</t>
  </si>
  <si>
    <t xml:space="preserve">Equiarar el crecimiento del PIB del departamento  del Quindio al PIB Nacional </t>
  </si>
  <si>
    <t xml:space="preserve">Diseñar un ecosistema Regional de Emprendimiento y Asociatividad                                                                                     </t>
  </si>
  <si>
    <t xml:space="preserve">Disminuir el Procentajes de personas en situción de pobreza </t>
  </si>
  <si>
    <t>31.7 0</t>
  </si>
  <si>
    <t>Apoyar   doce (12) Unidades de emprendimiento de grupos poblacionales con enfoque diferencial.</t>
  </si>
  <si>
    <t>Implementar un programa de gesiton financiera para el desarrollo de emprendimiento, empresarismo y asociatividad</t>
  </si>
  <si>
    <t>Quindío Sin Fronteras</t>
  </si>
  <si>
    <t xml:space="preserve">Igualar la tasa de desempleo del departamento al promedio nacional para el 2019 </t>
  </si>
  <si>
    <t>12.9</t>
  </si>
  <si>
    <t>8.9</t>
  </si>
  <si>
    <t>Fortalecer  doce (12) empresas en procesos internos y externos para la apertura a mercados regionales, nacionales e internacionales</t>
  </si>
  <si>
    <t>201663000-0056</t>
  </si>
  <si>
    <t xml:space="preserve">Fortalecimiento del sector empresarial  hacia mercados globales en el Departamento del Quindio .   </t>
  </si>
  <si>
    <t>Constituir e implementar una agencia de inversión empresarial</t>
  </si>
  <si>
    <t>27.</t>
  </si>
  <si>
    <t xml:space="preserve">Diseñar la  plataforma de servicios logísticos nacionales e internacionales tendiente a lograr del departamento un centro de articulación de occidente. </t>
  </si>
  <si>
    <t>Quindío Potencia Turística de Naturaleza y Diversión</t>
  </si>
  <si>
    <t xml:space="preserve">Fortalecimiento de la oferta de productos y atractivos turísticos </t>
  </si>
  <si>
    <t>5                   8</t>
  </si>
  <si>
    <t xml:space="preserve">Igualar la tasa de desempleo del Departamento al promedio nacional para el 2019                                                                                                                                                                                                                                                                     Aumentar el 20%, en pesos constantes, el valor de “hoteles, restaurantes, bares y similares” en el PIB.  </t>
  </si>
  <si>
    <t>12.9                                 665</t>
  </si>
  <si>
    <t>8.9                                798</t>
  </si>
  <si>
    <t>Diseñar, crear y/o fortalecer 15 Productos turísticos para ser ofertados</t>
  </si>
  <si>
    <t>201663000-0059</t>
  </si>
  <si>
    <t>Fortalecimiento de la oferta de prestadores de servicos, productos y atractivos turísticos en el Departamento del Quindío.</t>
  </si>
  <si>
    <t xml:space="preserve">Elaborar e implementar  un Plan de Calidad Turística del Destino </t>
  </si>
  <si>
    <t>Mejoramiento de la competitividad del Quindío como destino turístico</t>
  </si>
  <si>
    <t>Gestionar y ejecutar (3) proyectos para mejorar la competitividad del Quindío como destino turístico</t>
  </si>
  <si>
    <t>201663000-0060</t>
  </si>
  <si>
    <t>Apoyo a la competitividad  como destino turístico en el Departamento del Quindío.</t>
  </si>
  <si>
    <t>Promoción nacional e internacional del departamento como destino turístico</t>
  </si>
  <si>
    <t>Construcción del Plan de Mercadeo Turístico</t>
  </si>
  <si>
    <t>201663000-0062</t>
  </si>
  <si>
    <t>Apoyo a la promoción nacional e internacional como destino  turísmo del Departamento del Quindío.</t>
  </si>
  <si>
    <t>312 Secretaría de Agricultura, Desarrollo Rural y Medio Ambiente</t>
  </si>
  <si>
    <t>Generación de entornos favorables y sostenibilidad ambiental</t>
  </si>
  <si>
    <t>Evitar que 15 mil toneladas de material recuperable llegue a los rellenos sanitarios en el departamento</t>
  </si>
  <si>
    <t xml:space="preserve">Implementar un (1)  Sistema de Gestión Ambiental Departamental SIGAD </t>
  </si>
  <si>
    <t xml:space="preserve">10. Ambiental </t>
  </si>
  <si>
    <t>201663000-0064</t>
  </si>
  <si>
    <t>Generación de entornos favorables y sostenibilidad ambiental para el Departamento del Quindío</t>
  </si>
  <si>
    <t>Mantener la oferta hídrica promedio anual  de las Unidades de Manejo de Cuenca (UMC) del departamento del Quindío</t>
  </si>
  <si>
    <t>43,29 m3/s</t>
  </si>
  <si>
    <t xml:space="preserve">Apoyar cuatro (4) planes de manejo de áreas protegidas del departamento </t>
  </si>
  <si>
    <t xml:space="preserve">Apoyar el Plan Departamental  para la Gestión Integral de la Biodiversidad y sus Servicios Ecosistémicos PDGIB 2013-2024  </t>
  </si>
  <si>
    <t>Diseñay ejecutar una poiica Departamental de uso racional de resiudos solidos y uso eficiente de energia</t>
  </si>
  <si>
    <t xml:space="preserve">Apoyar a los doce (12) municipios en las acciones de control y vigilancia de la explotación minera en coordinación con la autoridad ambiental </t>
  </si>
  <si>
    <t>Caracterizar los servicios ecosistémicos en seis  (6) cuencas de abastecimiento de los acueductos municipales con sus correspondientes acciones de mejoramiento</t>
  </si>
  <si>
    <t xml:space="preserve">  10.  Ambiental </t>
  </si>
  <si>
    <t>201663000-0067</t>
  </si>
  <si>
    <t>Gestón integral de cuencas hirdográficas en el Departamento del Quindío</t>
  </si>
  <si>
    <t xml:space="preserve">Crear e implementar el Fondo del Agua del departamento del Quindío  </t>
  </si>
  <si>
    <t>Bienes y servicios ambientales para las nuevas generaciones</t>
  </si>
  <si>
    <t xml:space="preserve">2                                             4 </t>
  </si>
  <si>
    <t>Mantener la oferta hídrica promedio anual  de las Unidades de Manejo de Cuenca (UMC) del departamento del Quindío.                                                                                                                                                                             Aumentar a 3000 hectareas el area recuperada  rehabilitada o restaurada  en el Departamento de acuerdo a las areas determinadas para tal efecto en el Plan Nacional de restauración.</t>
  </si>
  <si>
    <t xml:space="preserve">43,29 m3/s                      2.730 Hectareas </t>
  </si>
  <si>
    <t>43,29 m3/s                                      3.000 Hectareas</t>
  </si>
  <si>
    <t xml:space="preserve">Conservar y restaurar seis (6) áreas de importancia estratégica para el recurso hídrico del departamento </t>
  </si>
  <si>
    <t>201663000-0068</t>
  </si>
  <si>
    <t>Aplicación de mecanismos de protección ambiental en el Departamento del Quindío.</t>
  </si>
  <si>
    <t xml:space="preserve">Adquirir doscientos setenta (270) Ha para áreas de conservación en predios de importancia estratégica para el recurso hídrico del departamento del Quindío </t>
  </si>
  <si>
    <t>Disminuir la presión por cargas contaminantes, medida por el Índice de Alteración Potencial de la Calidad del Agua (IACAL), a categoría “moderada”</t>
  </si>
  <si>
    <t>Muy Alta</t>
  </si>
  <si>
    <t>Conservar para la sostenibilidad ambiental dos (2) cuencas de los municipios con declaratoria de Paisaje Cultural Cafetero PCC</t>
  </si>
  <si>
    <t>201663000-0069</t>
  </si>
  <si>
    <t>Fortalecimiento  y potencialización de los servicios ecosistemicos en el Departamento del Quindío</t>
  </si>
  <si>
    <t xml:space="preserve">Promover la creación y adopción  en los doce (12) municipios del departamento, de herramientas para el estímulo de incentivos a la conservación </t>
  </si>
  <si>
    <t>Restaurar con obras de bioingeniería veinte (20) Ha en áreas o zonas críticas de riesgo.</t>
  </si>
  <si>
    <t>Aumentar a 3000 hectareas el area recuperada  rehabilitada o restaurada  en el Departamento de acuerdo a las areas determinadas para tal efecto en el Plan Nacional de restauración.</t>
  </si>
  <si>
    <t xml:space="preserve">2730 (4.08%) </t>
  </si>
  <si>
    <t>3000 (4.48%)</t>
  </si>
  <si>
    <t>Desarrollar treinta y un (31) estrategias de educación ambiental  en los espacios participativos, comunitarios y educativos del departamento</t>
  </si>
  <si>
    <t>Capacitar a doscientos cincuenta (250)   jóvenes,  mujeres, población vulnerable y con enfoque diferencial como líderes ambientales en el departamento.</t>
  </si>
  <si>
    <t>Innovación para una caficultura sostenible en el departamento del Quindío</t>
  </si>
  <si>
    <t>5                  6                   7</t>
  </si>
  <si>
    <t xml:space="preserve">Igualar la tasa de desempleo del departamento al promedio nacional para el 2019                                                                                                                                                                                                                                                                         Equiparar el crecimiento del PIB del departamento  del Quindio al PIB Nacional .                                                                                                                                                                                                                                                                                            Disminuir el Procentajes de personas en situción de pobreza                                                                                                                                                       </t>
  </si>
  <si>
    <t>12.9                                     3.4                                               31.70</t>
  </si>
  <si>
    <t xml:space="preserve">8.9                                   4.6                            27                     </t>
  </si>
  <si>
    <t>Capacitar a cuatrocientos (400) caficultores del departamento en producción limpia y sostenible con producción de café con taza limpia, catación, tostión y barismo</t>
  </si>
  <si>
    <t>201663000-0072</t>
  </si>
  <si>
    <t>Fortalecimiento e innovación empresarial  de la caficultura en el Departamento del Quindio</t>
  </si>
  <si>
    <t>Crear (6) seis grupos multiplicadores de conocimiento en emprendimiento y calidad del café  para jóvenes y mujeres rurales, campesinas y cafeteras</t>
  </si>
  <si>
    <t>Crear (1) portafolio de café origen Quindío a través de la valoración de 6000 predios</t>
  </si>
  <si>
    <t>Formalizar (1) un convenio interinstitucional para la inserción de los cafés de origen Quindío en los mercados nacionales e internacionales</t>
  </si>
  <si>
    <t>Centros Agroindustriales Regionales para la Paz - CARPAZ</t>
  </si>
  <si>
    <t>Crear e implementar seis (6) núcleos de asistencia técnica y transferencia de tecnología en el sector agropecuario</t>
  </si>
  <si>
    <t>201663000-0176</t>
  </si>
  <si>
    <t>Creacion e implementacion de los centros agroindustriales para  la paz CAPAZ en el Deparamento del Quindio</t>
  </si>
  <si>
    <t>Apoyar cinco (5) sectores productivos agropecuarios del departamento en métodos de mercadeo que propicien innovación en los aspectos comerciales de los productos del Quindío</t>
  </si>
  <si>
    <t>Crear  seis (6) centros logísticos  para la transformación agroindustrial - CARPAZ</t>
  </si>
  <si>
    <t>Capacitar seis (6) unidades agro empresariales de jóvenes y mujeres rurales</t>
  </si>
  <si>
    <t>Crear e implementar el Fondo de Financiamiento de Desarrollo Rural - FIDER</t>
  </si>
  <si>
    <t>201663000-0177</t>
  </si>
  <si>
    <t>Creacion e implementacion del Fondo de Finaanciamiento de Desarrollo Rural FIDER</t>
  </si>
  <si>
    <t>Reactivar un instrumento de prevención por eventos naturales para productos agrícolas.</t>
  </si>
  <si>
    <t>201663000-0175</t>
  </si>
  <si>
    <t>Implementacion de un instrumento para la Prevención de eventos naturales productos agricolas en e Departamento del Quindio</t>
  </si>
  <si>
    <t>Emprendimiento y empleo rural</t>
  </si>
  <si>
    <t xml:space="preserve">Igualar la tasa de desempleo del departamento al promedio nacional para el 2019      </t>
  </si>
  <si>
    <t>Apoyar la formalización de empresas en cuatro (4)  sectores productivos agropecuarios del Departamento</t>
  </si>
  <si>
    <t>201663000-0075</t>
  </si>
  <si>
    <t xml:space="preserve">Fomento al emprendimiento y  al empleo rural en el Departamento del Quindío  </t>
  </si>
  <si>
    <t xml:space="preserve">Equiparar el crecimiento del PIB del departamento  del Quindio al PIB Nacional .                                                                                                                                                                                                                                   </t>
  </si>
  <si>
    <t>Generar un apalancamiento a 100  iniciativas productivas rurales</t>
  </si>
  <si>
    <t xml:space="preserve">      Disminuir el Procentajes de personas en situción de pobreza         </t>
  </si>
  <si>
    <t xml:space="preserve">Capacitar mil doscientos (1200)  jóvenes y mujeres rurales en actividades agrícolas y no agrícolas </t>
  </si>
  <si>
    <t>Beneficiar a  dos mil cuatrocientas  (2400) mujeres rurales campesinas, personas en condición de vulnerabilidad y con enfoque diferencial en formación para el trabajo y el desarrollo humano</t>
  </si>
  <si>
    <t>Impulso a la competitividad productiva y empresarial del sector Rural</t>
  </si>
  <si>
    <t>Apoyar (5) cinco sectores productivos del Departamento en ruedas de negocio</t>
  </si>
  <si>
    <t>201663000-0078</t>
  </si>
  <si>
    <t>Fortalecimiento a la competitividad productiva y empresarial del sector rural en el Departamento del Quindio</t>
  </si>
  <si>
    <t>Diseñar e implementar (1) un instrumento de planificación e información rural para la comercialización de productos transables</t>
  </si>
  <si>
    <t>.</t>
  </si>
  <si>
    <t xml:space="preserve"> INCLUSION SOCIAL</t>
  </si>
  <si>
    <t>Soberanía, seguridad alimentaria y nutricional</t>
  </si>
  <si>
    <t>Fomento a la Agricultura Familiar Campesina, agricultura urbana y mercados campesinos para la soberanía y  Seguridad alimentaria</t>
  </si>
  <si>
    <t>Reducir la proporción de los alimentos importados (frutas y verduras) de otros departamentos</t>
  </si>
  <si>
    <t>Diseñar e implementar un (1) programa de agricultura familiar campesina</t>
  </si>
  <si>
    <t xml:space="preserve">8. Agropecuario </t>
  </si>
  <si>
    <t>201663000-0079</t>
  </si>
  <si>
    <t>Fomento a la agricultura familiar , urbana y  mercados campesinos para la soberanía y  Seguridad alimentaria en el Departamento del Quindio.</t>
  </si>
  <si>
    <t>Apoyar la conformación de cuatro (4) alianzas para contratos de compra anticipada de productos de la agricultura familiar en el departamento del Quindío</t>
  </si>
  <si>
    <t>Sembrar quinientas (500) Ha de productos de la canasta básica familiar para aumentar la disponibilidad de alimentos</t>
  </si>
  <si>
    <t>Mejorar el estado nutricional de 1795 niños menor de 5 años y de 1531 niños de 6 a 18 años  en riesgo de desnutrición en el departamento</t>
  </si>
  <si>
    <t>Beneficiar a 2400 familias urbanas y periurbanas con parcelas de agricultura familiar para autoconsumo y comercio de excedentes</t>
  </si>
  <si>
    <t>313 Oficina Privada</t>
  </si>
  <si>
    <t xml:space="preserve">Elevar el promedio de participación de la ciudadania en los procesos de elección  popular en el cuatrenio </t>
  </si>
  <si>
    <t>54.61</t>
  </si>
  <si>
    <t xml:space="preserve">Realizar 40 eventos  de sensibilización en transparencia , participación, buen gobierno y valores éticos y morales  </t>
  </si>
  <si>
    <t xml:space="preserve">17. Fortalecimiento Institucional </t>
  </si>
  <si>
    <t>201663000-0082</t>
  </si>
  <si>
    <t>Desarrollar y fortalecer la cultura de la transparencia, participación, buen gobierno  y valores éticos y morales en el Departamento del Quindio</t>
  </si>
  <si>
    <t xml:space="preserve">Elevar el promedio de participación de la ciudadania en los procesos de lecció  popular en el cuatrenio </t>
  </si>
  <si>
    <t>Implementar una (1) sala de transparencia "Urna de Cristal" en el Departamento</t>
  </si>
  <si>
    <t>201663000-0083</t>
  </si>
  <si>
    <t>Implementacion de una (1) sala de transparencia "Urna de Cristal" en el Departamento del Quindio</t>
  </si>
  <si>
    <t xml:space="preserve">Desarrollar e implementar una (1) estrategía de comunicaciones </t>
  </si>
  <si>
    <t>201663000-0081</t>
  </si>
  <si>
    <t xml:space="preserve">Implementación de  la estrategia de comunicaciones para  la divulgación de  los programas, proyectos,  actividades y servicios del Departamento del Quindío </t>
  </si>
  <si>
    <t>314 Secretaría de Educación - 1404 Inversión</t>
  </si>
  <si>
    <t>Cobertura Educativa</t>
  </si>
  <si>
    <t>Acceso y Permanencia</t>
  </si>
  <si>
    <t>Aumentar la cobertura neta en la educación secundaria en el departamento del Quindio</t>
  </si>
  <si>
    <t>Implementar un (1) plan, programa y/o proyecto para el acceso de niños, niñas y jóvenes en las instituciones educativas</t>
  </si>
  <si>
    <t xml:space="preserve">1. Educación </t>
  </si>
  <si>
    <t>201663000-0084</t>
  </si>
  <si>
    <t xml:space="preserve"> Fortalecimiento de las estrategias para el acceso,  permanencia y seguridad  de los niños, niñas y jóvenes en el  sistema  educativo del Departamento del Quindio. </t>
  </si>
  <si>
    <t xml:space="preserve">Disminuir la proporción de niños que desertan en educación básica secundaria y media </t>
  </si>
  <si>
    <t xml:space="preserve">      8.06  EBS                                            5.77 EM </t>
  </si>
  <si>
    <t xml:space="preserve">     5  EBS                                                        4 EM</t>
  </si>
  <si>
    <t>Implementar el Programa de Alimentación Escolar (PAE) en el departamento del Quindío</t>
  </si>
  <si>
    <t>Declarar al Departamento  libre de analfabetismo</t>
  </si>
  <si>
    <t>Implementar el programa de transporte escolar en el departamento del Quindío</t>
  </si>
  <si>
    <t>Educación inclusiva con acceso y permanencia para poblaciones vulnerables - diferenciales</t>
  </si>
  <si>
    <t>Atender cuatro mil quinientos (4.500)  personas de la población adulta del departamento (jóvenes y adultos, madres cabeza de hogar)</t>
  </si>
  <si>
    <t>201663000-0086</t>
  </si>
  <si>
    <t>Implementación de estrategias de inclusión para garantizar la atención educativa a población vulnerable en el  Departamento del  Quindío.</t>
  </si>
  <si>
    <t>Diseñar e implementar una estrategia que permita disminuir la tasa de analfabetismo en los municipios del Departamento del Quindío</t>
  </si>
  <si>
    <t xml:space="preserve">                                            8.06   EBS                                5.77 EM </t>
  </si>
  <si>
    <t xml:space="preserve">                                    5 EBS                        4 EM</t>
  </si>
  <si>
    <t>Atender cuatrocientos noventa (490) personas de la población étnica (Afro descendientes e indígenas)  en el sistema educativo en los diferentes niveles.</t>
  </si>
  <si>
    <t xml:space="preserve">Aumentar la cobertura de adultos mayores atendidos </t>
  </si>
  <si>
    <t xml:space="preserve">Atender dos mil quinientos setenta estudiantes (2570) en condición de población  victima del conflicto, residentes en el departamento del Quindío </t>
  </si>
  <si>
    <t>Atender  cuatrocientos cincuenta y cinco (455)  menores y/o adultos  que se encuentran en riesgo social    en conflicto con la ley penal,  iletrados, habitantes de frontera y/o menores  trabajadores.</t>
  </si>
  <si>
    <t>Diseñar e implementar un plan para la caracterización y atención de la población en condiciones especiales y excepcionales del departamento</t>
  </si>
  <si>
    <t>Funcionamiento y prestación del servicio educativo de las instituciones educativas 1402-1403</t>
  </si>
  <si>
    <t xml:space="preserve">14                                        15                                19 </t>
  </si>
  <si>
    <t xml:space="preserve">Declarar al Departamento  libre de analfabetismo                                                                                                                                                                                                                                                                                                                                                     Aumentar la cobertura neta en la educación secundaria en el departamento del Quindio.                                                                                                                                                                                                                                                        Disminuir la proporción de niños que desertan en educación básica secundaria y media.                                                                                                      </t>
  </si>
  <si>
    <t xml:space="preserve">6.20                                               73.23                                                       8.06 EBS                                          5.77 EM         </t>
  </si>
  <si>
    <t xml:space="preserve">3                                                                                             78                                                                    5 EBS                                                                            4 EM </t>
  </si>
  <si>
    <t>Sostener dos mil doscientos treinta y dos (2.232) docentes, directivos docentes y administrativos viabilizados por el ministerio de educación nacional vinculados a la secretaria de educación departamental</t>
  </si>
  <si>
    <t>201663000-0087</t>
  </si>
  <si>
    <t>Aplicación funcionamiento y prestación del servicio educativo de las instituciones educativas</t>
  </si>
  <si>
    <t>Calidad Educativa</t>
  </si>
  <si>
    <t>Calidad Educativa para la Paz</t>
  </si>
  <si>
    <t xml:space="preserve">Mejorar el  índice sintético de calidad educativa (ISCE) en el nivel de básica primaria,  por encima del promedio nacional, en treinta  y seis  (36)  Instituciones Educativas oficiales </t>
  </si>
  <si>
    <t>201663000-0089</t>
  </si>
  <si>
    <t xml:space="preserve">
Implementación de  estrategias para el mejoramiento continuo del indice sintetico de calidad educativa en los niveles de básica primaria, básica secundaria y nivel de media en el Departamento del Quindio 
</t>
  </si>
  <si>
    <t>Capacitar a mil doscientos (1.200) docentes en estrategias para el mejoramiento del ISCE en el Departamento del Quindío</t>
  </si>
  <si>
    <t xml:space="preserve"> Duplicar el número de instituciones educativas oficiales del departamento con el índice sintetico de calidad educativa (ISCE) en el nivel de básica primaria, secundaria y media por encima del promedio nacional</t>
  </si>
  <si>
    <t>Beneficiar a ochenta (80) docentes  con becas de posgrado</t>
  </si>
  <si>
    <t xml:space="preserve">Apoyar quince (15) instituciones educativas participando en el programa todo a aprender </t>
  </si>
  <si>
    <t xml:space="preserve">Disminuir las Instituciones de Educación que fueron calificadas en el nivel C por resultados obtenidos en pruebas saber 11 </t>
  </si>
  <si>
    <t>Brindar acompañamiento a doscientos treinta (230) docentes con  tutores PTA</t>
  </si>
  <si>
    <t>Beneficiar a 4.700  estudiantes con el  Programas Todos  a Aprender</t>
  </si>
  <si>
    <t xml:space="preserve">Mejorar el  índice sintético de calidad educativa (ISCE) en el nivel de básica secundaria,  por encima del promedio nacional, en cuarenta  y un  (41)  Instituciones Educativas oficiales </t>
  </si>
  <si>
    <t xml:space="preserve">Mejorar el  índice sintético de calidad educativa (ISCE) en el nivel de media,  por encima del promedio nacional, en cuarenta  (40)  Instituciones Educativas oficiales </t>
  </si>
  <si>
    <t>Educación, Ambientes Escolares y Cultura para la Paz</t>
  </si>
  <si>
    <t xml:space="preserve">Fortalecer cincuenta y cuatro (54) comités de convivencia escolar de las instituciones educativas </t>
  </si>
  <si>
    <t>201663000-0090</t>
  </si>
  <si>
    <t>Mejoramiento de ambientes escolares y  fortalecimiento de modelos educativos articuladores de la ciencia, los lenguajes, las artes y el deporte en el Departamento del Quindio</t>
  </si>
  <si>
    <t>Diseñar y ejecutar treinta (30)  proyectos educativos institucionales resignificados en el contexto de la paz y la jornada única</t>
  </si>
  <si>
    <t xml:space="preserve">Diseñar e implementar la estrategia "escuela de padres" en treinta (30) instituciones educativas  </t>
  </si>
  <si>
    <t>Conformar y dotar   grupos culturales y artísticos en treinta (30)  instituciones educativas con  protagonismo en cada uno de los municipios</t>
  </si>
  <si>
    <t>Implementar el proyecto PRAE en treinta y seis (36)  instituciones educativas del departamento</t>
  </si>
  <si>
    <t xml:space="preserve">        8.06   EBS                                5.77 EM </t>
  </si>
  <si>
    <t xml:space="preserve">     5 EBS                                                                       4 EM</t>
  </si>
  <si>
    <t>Realizar ocho (8) eventos académicos, investigativos y culturales</t>
  </si>
  <si>
    <t xml:space="preserve">Implementar el  programa de  jornada única con el acceso y permanencia de veinte mil (20.000) estudiantes </t>
  </si>
  <si>
    <t xml:space="preserve">Mantener, adecuar y/o construir la infraestructura ciento treinta (130) sedes de las instituciones educativas  </t>
  </si>
  <si>
    <t xml:space="preserve">Dotar cincuenta y cuatro (54) instituciones educativas con material didáctico, mobiliario escolar y/o infraestructura tecnológica  </t>
  </si>
  <si>
    <t xml:space="preserve">Implementar la jornada complementaria y/o única que articule arte, deporte y cultura, en seis municipios declarados en el Sistema de Alertas Tempranas de la Defensoria del Pueblo </t>
  </si>
  <si>
    <t>Plan Departamental del Lectura y Escritura</t>
  </si>
  <si>
    <t xml:space="preserve">Implementar el programa "pásate a la biblioteca"  en treinta y seis (36)  instituciones educativas </t>
  </si>
  <si>
    <t>201663000-0091</t>
  </si>
  <si>
    <t>Implementación de  estrategias educativas en  lectura y escritura en las instituciones educativas en el Departamento del Quindío.</t>
  </si>
  <si>
    <t xml:space="preserve">Dotar ciento cuarenta (140) sedes educativas con la colección semilla </t>
  </si>
  <si>
    <t xml:space="preserve">   8.06   EBS                                5.77 EM </t>
  </si>
  <si>
    <t xml:space="preserve">       5   EBS                                                          4 EM</t>
  </si>
  <si>
    <t>Apoyar los  procesos de capacitación  de quinientos (500) docentes del departamento</t>
  </si>
  <si>
    <t xml:space="preserve">Realizar seis (6)  festivales o encuentros de literatura y escritura el departamento </t>
  </si>
  <si>
    <t>Funcionamiento de las Instituciones Educativas</t>
  </si>
  <si>
    <t xml:space="preserve">6.20                        73.23                                   8.06 EBS                  5.77 EM         </t>
  </si>
  <si>
    <t xml:space="preserve">3                                      78                              5 EBS                                       4 EM </t>
  </si>
  <si>
    <t xml:space="preserve">Contar con cincuenta y dos (52) instituciones educativas con  mayor eficiencia en la gestión de sus procesos y proyectos  ante la entidad  territorial y la Secretaria de Educación Departamental.
</t>
  </si>
  <si>
    <t>201663000-0093</t>
  </si>
  <si>
    <t>Mejoramiento de estrategias que permitan una mayor eficiencia en la gestion de procesos y proyectos de las instituciones educativas del Departamento del Quindio.</t>
  </si>
  <si>
    <t>Pertinencia e Innovación</t>
  </si>
  <si>
    <t>Quindío Bilingüe</t>
  </si>
  <si>
    <t>Apoyar cincuenta y cinco (55) docentes licenciados en lenguas modernas formados en ingles con  dominio B2</t>
  </si>
  <si>
    <t>201663000-0094</t>
  </si>
  <si>
    <t>Implementación de estrategias para el mejoramiento de las competencias en lengua extranjera en estudiantes y docentes de las instituciones educativas del Departamento del Quindío</t>
  </si>
  <si>
    <t xml:space="preserve"> Duplicar el número de instituciones educativas oficiales del departamento con el índice sintetico de calidad educativa (ISCE) en el nivel de básica primaria, secundaria y media por encima del promedio nacional.         </t>
  </si>
  <si>
    <t>Cualificar la formación de ciento cincuenta (150) docentes de preescolar y básica primaria en inglés con dominio A2 y B1 y metodología para la enseñanza</t>
  </si>
  <si>
    <t>Iniciar el proceso de bilinguismo  en niños  entre pre-escolar - quinto grado de primaria de colegios públicos en seis (6) municipios</t>
  </si>
  <si>
    <t>Dotar cincuenta y cuatro (54) instituciones educativas con herramientas audiovisuales para la enseñanza del ingles</t>
  </si>
  <si>
    <t>Realizar siete (7)  concursos  para evaluar las competencias comunicativas en ingles de los estudiantes</t>
  </si>
  <si>
    <t>Fortalecimiento de la Media Técnica</t>
  </si>
  <si>
    <t>Desarrollar doce (12) talleres para docentes en el uso de las TICs</t>
  </si>
  <si>
    <t>201663000-0095</t>
  </si>
  <si>
    <t xml:space="preserve">Fortalecimiento de los niveles de educación  básica y media para la articulación con la educación terciaria en el Departamento del Quindio </t>
  </si>
  <si>
    <t xml:space="preserve">Disminuir las Instituciones de Educación que fueron calificadas en el nivel C por resultados obtenidos en pruebas saber 11 .    </t>
  </si>
  <si>
    <t>Fortalecer cincuenta (50)   instituciones educativas en competencias básicas</t>
  </si>
  <si>
    <t xml:space="preserve"> Duplicar los programas en la educación superior acreditados en alta calidad.   </t>
  </si>
  <si>
    <t>Fortalecer cuarenta y siete (47) instituciones educativas con el programa de articulación con la educación superior y ETDH</t>
  </si>
  <si>
    <t xml:space="preserve">Disminuir la proporción de estudiantes que desertan en educación superior  </t>
  </si>
  <si>
    <t>8.8                                                                    DE CADA 100</t>
  </si>
  <si>
    <t>7                                                                   DE CADA 100</t>
  </si>
  <si>
    <t xml:space="preserve">Implementar un Programa de Alimentación Escolar Universitario PAEU para estudiantes universitarios </t>
  </si>
  <si>
    <t>7                                                                  DE CADA 100</t>
  </si>
  <si>
    <t>Implementar el programa de acceso y permanencia de la educación técnica, tecnologica y superior en el departamento del Quindío</t>
  </si>
  <si>
    <t>2017003630-122</t>
  </si>
  <si>
    <t>Implementación de un fondo de apoyo Departamental para el acceso y la permanencia de la educacion tecnica, tecnologica y superior en el Departamento del Quindio.</t>
  </si>
  <si>
    <t>Eficiencia educativa</t>
  </si>
  <si>
    <t>Eficiencia y modernización administrativa</t>
  </si>
  <si>
    <t>Fortalecer, hacer seguimiento y auditar cuatro (4)  procesos certificados con que cuenta la Secretaria de Educación Departamental</t>
  </si>
  <si>
    <t>201663000-0096</t>
  </si>
  <si>
    <t xml:space="preserve">Fortalecimiento de los niveles de eficiencia administrativa en la Secretaría de Educación Departamental del Quindío </t>
  </si>
  <si>
    <t>Crear e implementar  en cincuenta y dos (52) instituciones educativas procesos presupuestales y financieros integrados</t>
  </si>
  <si>
    <t>Otros proyectos de conectividad</t>
  </si>
  <si>
    <t>15           16                 17</t>
  </si>
  <si>
    <t xml:space="preserve">Aumentar la cobertura neta en educacion secundaria en el Departamento del Quindio                                                                                                                                                                                                                                                      Duplicar el número de instituciones educativas oficiales del departamento con el índice sintetico de calidad educativa (ISCE) en el nivel de básica primaria, secundaria y media por encima del promedio nacional.                                                                                                                                                    Disminuir las Instituciones de Educación que fueron calificadas en el nivel C por resultados obtenidos en pruebas saber 11 .  </t>
  </si>
  <si>
    <t>73.23%                                                                 45                                                              63.27%</t>
  </si>
  <si>
    <t>78%                                                                  90                                                            50%</t>
  </si>
  <si>
    <t>Implementar y/o mejorar el sistema de conectividad en 200 sedes educativas oficiales en el departamento.</t>
  </si>
  <si>
    <t>201663000-0097</t>
  </si>
  <si>
    <t xml:space="preserve">Fortalecimiento de las herramientas tecnológicas en las Instituciones Educativas del Departamento del Quindío </t>
  </si>
  <si>
    <t>Funcionamiento y prestación de servicios del sector educativo del nivel central 1400-1401</t>
  </si>
  <si>
    <t>Realizar el pago oportuno al 100% de los funcionarios de la planta de  administrativos, docentes y directivos docentes del sector central</t>
  </si>
  <si>
    <t>201663000-0098</t>
  </si>
  <si>
    <t>Funcionamiento y Prestación de Servicios del Sector Educativo del nivel Central  en el Departamento del Quindio</t>
  </si>
  <si>
    <t>Eficiencia administrativa y docente en la  gestión del bienestar laboral</t>
  </si>
  <si>
    <t>Realizar el reconocimiento a sesenta (60) docentes, directivos docentes y/o personal administrativo</t>
  </si>
  <si>
    <t>201663000-0100</t>
  </si>
  <si>
    <t>Mejoramiento  de la gestión admnistrativa y docente para la eficiencia del bienestar laboral   del Departamento del Quindio</t>
  </si>
  <si>
    <t>Realizar (ocho) 8 eventos y actividades culturales y recreativas, desarrolladas para los funcionarios del servicio educativo del departamento del Quindío</t>
  </si>
  <si>
    <t>Atención Integral a la Primera Infancia</t>
  </si>
  <si>
    <t xml:space="preserve">Educación Inicial Integral </t>
  </si>
  <si>
    <t>24                                                 25                                                 29                                    30                                         33</t>
  </si>
  <si>
    <t>Disminuir o mantener la proporción de niños menores de 5 años en riesgo de desnutrición moderada o severa aguda.                                                                                                                                                                                        Reducir la mortalidad de niños menores de 5 años por ERA.                                                                                                                                                                                                                                                                                                                Disminuir o mantener mortalidad en menores de 1 año.                                                                                                                                                                                                                                                                                                                                                                    Disminuir o mantener la mortalidad en menores de 5 años.                                                                                                                                                                                                                                                                                                                     Sostener la tasa de mortalidad materna por causas directas</t>
  </si>
  <si>
    <t xml:space="preserve">2.1/100                    13/100.000                                    8.8/1000                 11.34/1000                 0                      </t>
  </si>
  <si>
    <t xml:space="preserve"> 2.1/100                                         10/100.000                           8.8/1000                               11.34/1000                                 0</t>
  </si>
  <si>
    <t>Implementar  un (1)  programa de educación integral  a la primera infancia</t>
  </si>
  <si>
    <t>201663000-0101</t>
  </si>
  <si>
    <t xml:space="preserve">Implementación del modelo de atención integral de la educación inicial en el Departamento del  Quindio. </t>
  </si>
  <si>
    <t>316 Secretaría de Familia</t>
  </si>
  <si>
    <t>Niños y Niñas en entornos Protectores-semillas infantiles-</t>
  </si>
  <si>
    <t>Implementar  un modelo intersectorial  de atención  integral  y entornos protectores (hogar,  educativo, salud, espacio público e institucionales)   implementado.</t>
  </si>
  <si>
    <t xml:space="preserve">14. Atención a grupos vulnerables - Promoción Social </t>
  </si>
  <si>
    <t>201663000-0102</t>
  </si>
  <si>
    <t>Implementación de un modelo de atención integral a niños y niñas en entornos protectores en el Departamento del Quindìo</t>
  </si>
  <si>
    <t>Apoyar la creación y/o implementación de Rutas integrales de Atención a la primera infancia.</t>
  </si>
  <si>
    <t>Promoción y  Protección  de la Familia</t>
  </si>
  <si>
    <t xml:space="preserve">Familias para la Construcción  del Quindío como  territorio de paz. </t>
  </si>
  <si>
    <t>    Disminuir incidencia de violencia intrafamiliar</t>
  </si>
  <si>
    <t>174.7/100.000</t>
  </si>
  <si>
    <t>150/100.000</t>
  </si>
  <si>
    <t xml:space="preserve">Formular  e implementar  la política pública departamental de familias para la construcción  del Quindío como  territorio de paz. </t>
  </si>
  <si>
    <t>201663000-0103</t>
  </si>
  <si>
    <t>Formulación e implementación de  la politica pública  de la familia en el departamento del Quindio</t>
  </si>
  <si>
    <t xml:space="preserve">Quindío departamento de derechos  de niñas, niños y adolescentes </t>
  </si>
  <si>
    <t>22                31          32</t>
  </si>
  <si>
    <t>Disminuir incidencia de violencia intrafamiliar.                                                                                                                                                                                                                                                                                                                                               Disminuir la incidencia de embarazo en adolescentes                                                                                                                                                                                                                                                                                                                                                 Reducir la proporción de jóvenes en el sistema de responsabilidad penal con riesgo alto de reiincidencia en las conductas delicitivas</t>
  </si>
  <si>
    <t>174,7 x 100 mil habitantes.      24.90.                        6 de cada 10</t>
  </si>
  <si>
    <t>150 x 1000 habitantes.    20%     5 de cada 10</t>
  </si>
  <si>
    <t>Implementar la política pública de primera infancia, infancia y adolescencia</t>
  </si>
  <si>
    <t>201663000-0109</t>
  </si>
  <si>
    <t>Implementación de la  política de primera infancia, infancia y adolescencia en el Departamento del Quindio</t>
  </si>
  <si>
    <t>Implementar  una estrategia de prevención y atención de embarazos y segundos embarazos a temprana edad.</t>
  </si>
  <si>
    <t xml:space="preserve">Implementar una  estrategia  de prevención y atención de la erradicación del abuso, explotación sexual comercial, trabajo infantil y peores formas de trabajo, y actividades delictivas. </t>
  </si>
  <si>
    <t xml:space="preserve"> "Sí para ti" atención integral a adolescentes y jóvenes </t>
  </si>
  <si>
    <t>Disminuir incidencia de violencia intrafamiliar</t>
  </si>
  <si>
    <t>174,7 x 100 mil habitantes</t>
  </si>
  <si>
    <t>150 x 1000 habitantes</t>
  </si>
  <si>
    <t>Revisar, ajustar e implementar la política pública de juventud del departamento</t>
  </si>
  <si>
    <t>201663000-0110</t>
  </si>
  <si>
    <t>Desarrollo de acciones encaminadas a la atención integral  de los adolescentes y jóvenes del Departamento del Quindio</t>
  </si>
  <si>
    <t xml:space="preserve"> Disminuir la incidencia de embarazo en adolescentes</t>
  </si>
  <si>
    <t>Implementar  dos (2) estrategias de prevención para adolescentes y jóvenes en riesgo social y/o vinculados a la Ley de responsabilidad  penal</t>
  </si>
  <si>
    <t>6 de cada 10</t>
  </si>
  <si>
    <t xml:space="preserve">5 de cada 10 </t>
  </si>
  <si>
    <t>Desarrollar e implementar una estrategia de prevención del consumo de sustancias psico activas  (SPA)  dirigida a adolescentes y jóvenes del departamento.</t>
  </si>
  <si>
    <t xml:space="preserve">Capacidad sin limites. </t>
  </si>
  <si>
    <t xml:space="preserve"> Aumentar el % de personas discapacitadas atendidas</t>
  </si>
  <si>
    <t>Revisar, ajustar  e implementar   la política pública departamental de discapacidad  "Capacidad sin limites",</t>
  </si>
  <si>
    <t>201663000-0114</t>
  </si>
  <si>
    <t>Actualización e implementación  de   la política pública departamental de discapacidad  "Capacidad sin limites" en el Quindio.</t>
  </si>
  <si>
    <t>Genero, Poblaciones vulnerables y con enfoque diferencial</t>
  </si>
  <si>
    <t>Prevención y Atención a la población en estado de vulnerabilidad  extrema y migrantes.</t>
  </si>
  <si>
    <t>Diseñar e implementar una estrategia  para la atención de la población en situación de vulnerabilidad extrema del departamento. (habitantes de calle, trabajo sexual,    reincidencia delictiva, drogadicción, bandas delincuenciales, entre otras)</t>
  </si>
  <si>
    <t>201663000-0117</t>
  </si>
  <si>
    <t xml:space="preserve">Diseño e implementación  de una estrategia para la atención de la  población  en vulnerabiliada extrema  en el Departamento del Quindio  </t>
  </si>
  <si>
    <t>implementar  un  programa  departamental para la atención y acompañamiento a la población migrante  y de repatriación .</t>
  </si>
  <si>
    <t>201663000-0118</t>
  </si>
  <si>
    <t>Implementación del programa  para la atención y acompañamiento  del ciudadano migrante  y de repatración en el Departamento del Quindio.</t>
  </si>
  <si>
    <t xml:space="preserve">Pervivencia de los pueblos indígenas en el marco de la Paz </t>
  </si>
  <si>
    <t>Apoyar el plan de vida para el resguardo indígena Dachi Agore Drua del municipio de Calarcá</t>
  </si>
  <si>
    <t>201663000-0121</t>
  </si>
  <si>
    <t>Fortalecimiento resguardo  indígena DACHI AGORE DRUA del municipio de Calarcá del Departamento del Quindío.</t>
  </si>
  <si>
    <t>Apoyar   y fortalecer  la elaboración y puesta en marcha  de  planes de vida de los pueblos indígenas asentados en el Departamento del Quindío.</t>
  </si>
  <si>
    <t>201663000-0122</t>
  </si>
  <si>
    <t xml:space="preserve">Apoyo  a la elaboración y puesta marcha de Planes de Vida  de los cabildos indigenas en el departamento del Quindio  </t>
  </si>
  <si>
    <t xml:space="preserve">Población afro descendiente por el camino de la paz </t>
  </si>
  <si>
    <t xml:space="preserve">Elevar el promedio de la participación de la ciudadanía en los procesos de elección popular en el cuatrienio </t>
  </si>
  <si>
    <t xml:space="preserve">Implementar  un programa  articulado interinstitucional para la atención integral con enfoque diferencial  a la población afro descendiente del Departamento del Quindío en sus diferentes formas organizativas </t>
  </si>
  <si>
    <t>201663000-0124</t>
  </si>
  <si>
    <t xml:space="preserve">Implementación de un  programa de atención integral a la población  afrodescendiente en el Departamento del Quindio </t>
  </si>
  <si>
    <t>Sí a la diversidad sexual e identidad de género y su familia.</t>
  </si>
  <si>
    <t>21   22</t>
  </si>
  <si>
    <t>30.7%                                          174,7/1000</t>
  </si>
  <si>
    <t>27%                            150/1000</t>
  </si>
  <si>
    <t>Formular  la política pública departamental de diversidad sexual e identidad de género</t>
  </si>
  <si>
    <t>201663000-0125</t>
  </si>
  <si>
    <t>Fomulación e implementación de la politca pública  de diversidad sexual en el Departamento del Quindio</t>
  </si>
  <si>
    <t>Mujeres constructoras de Familia y de paz.</t>
  </si>
  <si>
    <t>30.7%</t>
  </si>
  <si>
    <t>Revisar, ajustar  e  implementar  la política publica de equidad de género para la  mujer del departamento</t>
  </si>
  <si>
    <t>201663000-0128</t>
  </si>
  <si>
    <t>Implementación de la polìtica pùblica de equidad de género para la mujer en el Departamento del Quindìo</t>
  </si>
  <si>
    <t>Atención integral al Adulto Mayor</t>
  </si>
  <si>
    <t xml:space="preserve">Quindío para todas las edades </t>
  </si>
  <si>
    <t>Aumentar la cobertura de adultos mayores atendidos</t>
  </si>
  <si>
    <t>23 mil adultos mayores atendidos</t>
  </si>
  <si>
    <t>24 mil adultos mayores atendidos</t>
  </si>
  <si>
    <t>Revisar, ajustar  e implementar  la política pública departamental "Un Quindío para todas las edades 2010-2020"</t>
  </si>
  <si>
    <t>201663000-0129</t>
  </si>
  <si>
    <t xml:space="preserve">Apoyo y bienestar integral a las personas mayores del Departamento del Quindio </t>
  </si>
  <si>
    <t>Crear el cabildo de adulto mayor del Departamento y apoyar la creación en once municipios del Quindío</t>
  </si>
  <si>
    <t xml:space="preserve">Apoyar 12 centros de bienestar del departamento </t>
  </si>
  <si>
    <t xml:space="preserve">Apoyar 14 centros vida del departamento </t>
  </si>
  <si>
    <t>317 Secretaría de Representación Judicial</t>
  </si>
  <si>
    <t xml:space="preserve"> Elevar el promedio de la participación de la ciudadanía en los procesos de elección popular en el cuatrienio </t>
  </si>
  <si>
    <t>Establecer y socializar veinte (20)  políticas desde la cultura de la legalidad y  la prevención de daño antijurídico en los municipios del departamento</t>
  </si>
  <si>
    <t>201663000-0131</t>
  </si>
  <si>
    <t>Formulación adopción e implementación de políticas de prevención del daño antijurídico en el Departamento del Quindío</t>
  </si>
  <si>
    <t>318 Secretaría de Salud - 1801- Régimen Subsidiado - 1802 Prestación de Servicios -1803 Salud Pública - 1804 Otros Gastos en Salud</t>
  </si>
  <si>
    <t xml:space="preserve">Fortalecimiento a la vigilancia en  la seguridad alimentaria y nutricional del Quindío. </t>
  </si>
  <si>
    <t>Implementar una estrategia que determine de forma oportuna el  número de brotes de enfermedades transmitidas por alimentos (ETA) con agente etiológico identificado en alimentos de mayor consumo.</t>
  </si>
  <si>
    <t xml:space="preserve">2. Salud </t>
  </si>
  <si>
    <t>201663000-0132</t>
  </si>
  <si>
    <t>Aprovechamiento biológico y consumo de  alimentos idóneos  en el Departamento del Quindio</t>
  </si>
  <si>
    <t xml:space="preserve"> Disminuir o mantener la proporción de niños menores de 5 años en riesgo de desnutrición moderada o severa aguda</t>
  </si>
  <si>
    <t>2,1 de cada 100</t>
  </si>
  <si>
    <t xml:space="preserve">Ejecutar el plan decenal de lactancia materna </t>
  </si>
  <si>
    <t>Fortalecer la atención integral  en seis (6) poblaciones vulnerables (etnias)  en menores de cinco años con casos de desnutrición</t>
  </si>
  <si>
    <t>Salud Pública para un Quindío saludable y posible</t>
  </si>
  <si>
    <t>Salud ambiental</t>
  </si>
  <si>
    <t>Formular, aprobar y divulgar  la Política Integral de Salud Ambiental (PISA)</t>
  </si>
  <si>
    <t>201663000-0133</t>
  </si>
  <si>
    <t>Control Salud Ambiental Departamento del Quindío.</t>
  </si>
  <si>
    <t xml:space="preserve">Generar los mapas de riesgo y vigilancia de la calidad de agua para consumo humano en  los doce (12) municipios del departamento </t>
  </si>
  <si>
    <t>Sexualidad, derechos sexuales y reproductivos</t>
  </si>
  <si>
    <t xml:space="preserve"> Disminuir incidencia de violencia intrafamiliar</t>
  </si>
  <si>
    <t>150 x 100 mil  habitantes</t>
  </si>
  <si>
    <t>Lograr que ocho (8) municipios del departamento operen el sistema de vigilancia en salud pública de la violencia intrafamiliar.</t>
  </si>
  <si>
    <t>201663000-0134</t>
  </si>
  <si>
    <t>Fortalecimiento de acciones de intervención inherentes a los derechos sexuales y reproductivos  en el Departamento del Quindio.</t>
  </si>
  <si>
    <t>Desarrollar acciones articuladas intersectorialmente en los doce (12) municipios del departamento, con enfoque de derechos en colectivos LGTBI, jóvenes, mujeres gestantes adolescentes.</t>
  </si>
  <si>
    <t>Sostener la tasa de Mortalidad Materna por causas directas.</t>
  </si>
  <si>
    <t>Vincular cuatro mil ochocientos (4.800) mujeres gestantes al programa de control prenatal antes de la semana 12 de edad gestacional.</t>
  </si>
  <si>
    <t>Canalizar acciones de promoción de la salud en el desarrollo de la política Nacional de sexualidad, derechos sexuales y reproductivos</t>
  </si>
  <si>
    <t>Convivencia social y salud mental</t>
  </si>
  <si>
    <t>Ajustar e implementar  la política de salud mental en los 12 municipios del Departamento, conforme a los lineamientos y desarrollos técnicos definidos por el Ministerio de Salud y Protección Social.</t>
  </si>
  <si>
    <t>201663000-0135</t>
  </si>
  <si>
    <t>Fortalecimiento, promoción de la salud y prevención primaria en salud mental en el Departamento del Quindío.</t>
  </si>
  <si>
    <t>Adoptar e implementar el modelo de Atención primaria en Salud Mental (APS) en todos los municipios Quindiano</t>
  </si>
  <si>
    <t>Adoptar  e implementar en los doce (12) municipios el plan departamental de la reducción del consumo de sustancias psicoactivas SPA conforme a lineamientos y desarrollos técnicos entorno a la demanda.</t>
  </si>
  <si>
    <t>Estilos de vida saludable y condiciones no-transmisibles</t>
  </si>
  <si>
    <t>Aumentar la utilización de escenarios deportivos como coliseos y canchas de fútbol</t>
  </si>
  <si>
    <t>Implementar la estrategia  denominada "Cuatro por cuatro" para la promoción de la alimentación saludable</t>
  </si>
  <si>
    <t>201663000-0138</t>
  </si>
  <si>
    <t xml:space="preserve">Control y vigilancia en las acciones de condiciones no transmisibles y promoción de estilos de vida saludable en el Quindio  </t>
  </si>
  <si>
    <t>PTS</t>
  </si>
  <si>
    <t>Implementar una estrategia de ambiente libres de humo de tabaco en los municipios del Quindío</t>
  </si>
  <si>
    <t>Implementar una estrategia de ambientes libres de humo de tabaco en los  municipios.</t>
  </si>
  <si>
    <t>Implementar una estrategia para mantener la edad de inicio de consumo de tabaco en los adolescentes escolarizados.</t>
  </si>
  <si>
    <t>Vida saludable y enfermedades transmisibles</t>
  </si>
  <si>
    <t>Incidencia de  afectados  por Enfermedad Diarreica Aguda –EDA-</t>
  </si>
  <si>
    <t>76, 1 x 1000 habitantes</t>
  </si>
  <si>
    <t>60 X 1000 habitantes</t>
  </si>
  <si>
    <t xml:space="preserve">Diseñar y desarrollar planes y/o programas en los doce (12) entes territoriales municipales de promoción y prevención de las enfermedades transmitidas por agua, suelo y alimentos </t>
  </si>
  <si>
    <t>201663000-0139</t>
  </si>
  <si>
    <t>Fortalecimiento de las acciones de la prevención y protección en la población infantil en el Departamento del Quindío</t>
  </si>
  <si>
    <t>Disminuir o mantener mortalidad en menores de 5 años</t>
  </si>
  <si>
    <t>11,34*1000</t>
  </si>
  <si>
    <t>Implementar una estrategia que permita garantizar el adecuado funcionamiento de la red de frío para el almacenamiento  de los biológicos del Programa ampliado de inmunización (PAI).</t>
  </si>
  <si>
    <t>Disminuir por debajo del 10% la Letalidad por dengue.</t>
  </si>
  <si>
    <t>&lt;10</t>
  </si>
  <si>
    <t>Implementar  la estrategia de gestión integral-enfermedades de transmisión vectorial (EGI ETV) en los 5 municipios hiperendémicos para enfermedades de transmisión vectorial</t>
  </si>
  <si>
    <t>201663000-0141</t>
  </si>
  <si>
    <t xml:space="preserve">Fortalecimiento de estrategia de gestión integral, vectores, cambio climático y zoonosis en el Departamento  del Quindio </t>
  </si>
  <si>
    <t>Alcanzar coberturas útiles de vacunación para rabia en animales (perros y gatos)</t>
  </si>
  <si>
    <t>60.1%</t>
  </si>
  <si>
    <t xml:space="preserve">Implementar la estrategia  para ampliar coberturas útiles de vacunación antirrábica en animales (perros y gatos). </t>
  </si>
  <si>
    <t>Incrementar  la proporción de personas curadas de tuberculosis pulmonar en un 5 %</t>
  </si>
  <si>
    <t>Implementar el plan estratégico hacia el fin de la tuberculosis</t>
  </si>
  <si>
    <t>201663000-0142</t>
  </si>
  <si>
    <t xml:space="preserve">Fortalecimiento de la inclusión social para la disminución de riesgos de contraer enfermedades transmisibles  en el Departamento del Quindio </t>
  </si>
  <si>
    <t>Salud publica en emergencias y desastres</t>
  </si>
  <si>
    <t>Realizar catorce (14) simulacros de atención a emergencias en la Red Pública Hospitalaria</t>
  </si>
  <si>
    <t>201663000-0143</t>
  </si>
  <si>
    <t>Prevención en emergencias y desastres de eventos relacionados con la salud pública en el Departamento del  Quindio</t>
  </si>
  <si>
    <t>Mejorar el índice de seguridad hospitalaria en once (11) empresas sociales del estado (ESE) del departamento del nivel  I y II.</t>
  </si>
  <si>
    <t>Salud en el entorno laboral</t>
  </si>
  <si>
    <t>Mantener la tasa de accidentalidad en el trabajo</t>
  </si>
  <si>
    <t>1.5</t>
  </si>
  <si>
    <t>1.7</t>
  </si>
  <si>
    <t>Fomentar en 8 municipios un programa de cultura preventiva en el trabajo formal e informal y entornos laborales saludables.</t>
  </si>
  <si>
    <t>201663000-0145</t>
  </si>
  <si>
    <t xml:space="preserve"> Prevención vigilancia y control de eventos de origen laboral en el Departamento del Quindío.</t>
  </si>
  <si>
    <t xml:space="preserve"> Incrementar el % IPS con seguimiento por parte del departamento</t>
  </si>
  <si>
    <t>Implementación en las 14 empresas sociales del estado (ESE) departamentales y de primer nivel, el Sistema de Gestión de la Seguridad y Salud en el Trabajo</t>
  </si>
  <si>
    <t>Fortalecimiento de la autoridad sanitaria</t>
  </si>
  <si>
    <t>Consolidación y desarrollo del sistema de vigilancia en salud públicaintegrado al sistema de vigilancia de control sanitario e inspección vigilancia y control de S.G.S.S.S.</t>
  </si>
  <si>
    <t>Consolidar y desarrollar en los 12 municipios del departamento el Sistema de Vigilancia en salud pública (SVSP), integrado al sistema de vigilancia y control sanitario e inspección vigilancia y control de (S.G.S.S.S).</t>
  </si>
  <si>
    <t>201663000-0146</t>
  </si>
  <si>
    <t xml:space="preserve">Fortalecimiento de la autoridad sanitaria en el Departamento del Quindio </t>
  </si>
  <si>
    <t>Implementar  una estrategia oportuna de atención a sujetos de atención,  objetos de procesos de  inspección, vigilancia y control sanitario</t>
  </si>
  <si>
    <t>Consolidación y desarrollo del Sistema de inspección vigilancia y control a los establecimientos farmacéuticos del departamento.</t>
  </si>
  <si>
    <t xml:space="preserve">Consolidar y desarrollar  el sistema de inspección vigilancia y control (SIVC)  en 150 establecimientos farmacéuticos del departamento. </t>
  </si>
  <si>
    <t>Promoción social y gestión diferencial de poblaciones vulnerables.</t>
  </si>
  <si>
    <t xml:space="preserve">Implementar  5  programas de participación social en salud, orientados a promover los derechos de las poblaciones vulnerables y diferenciales, acorde a las políticas públicas </t>
  </si>
  <si>
    <t>201663000-0148</t>
  </si>
  <si>
    <t>Implementación de programas de promoción social en poblaciones  especiales en el Departamento del Quindío.</t>
  </si>
  <si>
    <t>Implementar el  Programa de atención psicosocial y salud integral a víctimas del conflicto armado.</t>
  </si>
  <si>
    <t>24            25            26        29          30</t>
  </si>
  <si>
    <t>Disminuir o mantener la proporción de niños menores de 5 años en riesgo de desnutrición moderada o severa aguda                                                                                                                                                                                                     Reducir la mortalidad de niños menores de 5 años por ERA                                                                                                                                                                                                                                                                                                          Incidencia de  afectados  por Enfermedad Diarreica Aguda –EDA-                                                                                                                                                                                                                                                                                                                    Disminuir o mantener mortalidad en menores de 1 año                                                                                                                                                                                                                                                                                                                  Disminuir o mantener la mortalidad en menores de 5 años</t>
  </si>
  <si>
    <t>2,1 de cada 100              13 x 100 mil habitantes            76, 1 x 1000 habitantes                8,8 x 1000 nacidos             11,34 x 1000</t>
  </si>
  <si>
    <t>2,1 de cada 100     10 x 100 mil habitantes          60 X 1000 habitantes            8,8 x 1000 nacidos                11,34 x 1000</t>
  </si>
  <si>
    <t>Fortalecimiento de  la estrategia AIEPI en los 12 municipios del Departamento</t>
  </si>
  <si>
    <t>Fortalecer en los doce (12) municipios del departamento los  comités municipales de discapacidad</t>
  </si>
  <si>
    <t>Plan de intervenciones colectivas en el modelo de APS</t>
  </si>
  <si>
    <t>24            25            26        29                      30                  28</t>
  </si>
  <si>
    <t>Disminuir o mantener la proporción de niños menores de 5 años en riesgo de desnutrición moderada o severa aguda                                                                                                                                                                                                          Reducir la mortalidad de niños menores de 5 años por ERA                                                                                                                                                                                                                                                                                                                       Incidencia de  afectados  por Enfermedad Diarreica Aguda –EDA-                                                                                                                                                                                                                                                                                                           Disminuir o mantener mortalidad en menores de 1 año                                                                                                                                                                                                                                                                                                                            Disminuir o mantener la mortalidad en menores de 5 años                                                                                                                                                                                                    Incrementar el % IPS con seguimiento por parte del departamento</t>
  </si>
  <si>
    <t>2,1 de cada 100              13 x 100 mil habitantes            76, 1 x 1000 habitantes                8,8 x 1000 nacidos             11,34 x 1000                     50%</t>
  </si>
  <si>
    <t>2,1 de cada 100     10 x 100 mil habitantes                                60 X 1000 habitantes            8,8 x 1000 nacidos                        11,34 x 1000         100%</t>
  </si>
  <si>
    <t>Evaluar en  once (11)   empresas sociales del estado (ESE)  Municipales la implementación del Plan de intervenciones colectivas (PIC).</t>
  </si>
  <si>
    <t>201663000-0150</t>
  </si>
  <si>
    <t xml:space="preserve">Asistencia atención a las personas y prioridades en salud pública en el  Departamento del Quindío- Plan de Intervenciones Colectivas PIC. </t>
  </si>
  <si>
    <t>Auditoria a 8  planes de mejoramiento instaurados con la red pública ejecutora del Plan de Intervenciones Colectivas.</t>
  </si>
  <si>
    <t>Vigilancia en salud publica y del laboratorio departamental.</t>
  </si>
  <si>
    <t xml:space="preserve">Incidencia de  afectados  por Enfermedad Diarreica Aguda –EDA-                                                                                                                                               </t>
  </si>
  <si>
    <t xml:space="preserve"> 60 X 1000 habitantes     </t>
  </si>
  <si>
    <t xml:space="preserve">Realizar  la vigilancia sanitaria a 300 establecimientos de consumo (Aguas, Alimentos y Bebidas Alcohólicas) </t>
  </si>
  <si>
    <t>201663000-0151</t>
  </si>
  <si>
    <t xml:space="preserve">Fortalecimiento de las actividades de vigilancia y control del laboratorio de salud pública en el Departamento del Quindio </t>
  </si>
  <si>
    <t>24            25            26        29          30     PTS</t>
  </si>
  <si>
    <t xml:space="preserve">Disminuir o mantener la proporción de niños menores de 5 años en riesgo de desnutrición moderada o severa aguda 
Reducir la mortalidad de niños menores de 5 años por ERA
Incidencia de  afectados  por Enfermedad Diarreica Aguda –EDA-  
Disminuir o mantener mortalidad en menores de 1 año
Disminuir o mantener la mortalidad en menores de 5 años
Mantener el número de UPGD que integra el sistema de vigilancia en salud pública                                                                                                                                                                          </t>
  </si>
  <si>
    <t>2,1 de cada 100              13 x 100 mil habitantes            76, 1 x 1000 habitantes                8,8 x 1000 nacidos             11,34 x 1000                 83%</t>
  </si>
  <si>
    <t>2,1 de cada 100     10 x 100 mil habitantes   60 X 1000 habitantes            8,8 x 1000 nacidos        11,34 x 1000          83%</t>
  </si>
  <si>
    <t>Crear diez (10) y fortalecer noventa (90) Comités de Vigilancia 
Epidemiológica  Comunitaria 
(COVECOM) municipales.</t>
  </si>
  <si>
    <t>201663000-0152</t>
  </si>
  <si>
    <t>Fortalecimiento del sistema de vigilancia en salud pública en el Departamento del Quindío.</t>
  </si>
  <si>
    <t>Sostener 83 Unidades Primarias Generadoras de Datos (UPGD) que integran el sistema de Vigilancia en Salud Publica.</t>
  </si>
  <si>
    <t>Universalidad  del aseguramiento en salud para un bien común</t>
  </si>
  <si>
    <t>Garantizar  la promoción de la afiliación al sistema de seguridad social</t>
  </si>
  <si>
    <t>Incrementar cobertura de afiliación al sistema general de seguridad social en salud</t>
  </si>
  <si>
    <t>Fortalecer en los 12 municipios del departamento  los procesos de identificación de la población no sisbenizada y no afiliada.</t>
  </si>
  <si>
    <t>201663000-0153</t>
  </si>
  <si>
    <t>Subsidio afiliación al régimen subsidiado del Sistema General de Seguridad Social en Salud en el Departamento del Quindío.</t>
  </si>
  <si>
    <t xml:space="preserve">Garantizar la cofinanciación para el régimen subsidiado en el departamento del Quindío </t>
  </si>
  <si>
    <t>Cofinanciar la continuidad del  régimen subsidiado en salud en los 12 municipios del departamento, de conformidad con la directrices del Ministerio de Salud y Protección Social.</t>
  </si>
  <si>
    <t>Asistencia técnica  a los actores del sistema en el proceso de aseguramiento de la población</t>
  </si>
  <si>
    <t>Brindar asistencia técnica a 12 Municipios del departamento,  en los procesos del régimen subsidiado</t>
  </si>
  <si>
    <t>Inclusión social en la prestación y desarrollo de servicios de salud</t>
  </si>
  <si>
    <t>Mejoramiento del Sistema de Calidad  de los Servicios y la Atención de los Usuarios</t>
  </si>
  <si>
    <t>Implementar la estrategia de atención primaria en salud,  fortaleciendo los procesos de inspección , vigilancia y control en el acceso de los afiliados  a la red de servicios de salud.</t>
  </si>
  <si>
    <t>201663000-0154</t>
  </si>
  <si>
    <t>Prestación de Servicios a la Población no Afiliada al Sistema General de Seguridad Social en Salud  y en los no POS  a la Población Afiliada al Régimen Subsidiado.</t>
  </si>
  <si>
    <t>Mantener la contratación con la red pública y privada (15)  para la atención de la población no afiliada.</t>
  </si>
  <si>
    <t>Realizar asistencia técnica en la construcción y ejecución del plan bienal de inversiones, a catorce (14) Empresas sociales del estado (ESE) del departamento.</t>
  </si>
  <si>
    <t>Fortalecimiento de la  gestión de la entidad territorial municipal</t>
  </si>
  <si>
    <t>Incrementar la asistencia técnica de los municipios relacionada con la capacidad de gestión en salud.</t>
  </si>
  <si>
    <t>Realizar asistencia Técnica  en los 12 municipios, en la capacidad de gestión en salud</t>
  </si>
  <si>
    <t>201663000-0155</t>
  </si>
  <si>
    <t xml:space="preserve">Asistencia técnica para el fortalecimiento de la gestión de las entidades territoriales del Departamento del Quindio </t>
  </si>
  <si>
    <t>Garantizar red de servicios en eventos de emergencias</t>
  </si>
  <si>
    <t>Incrementar el % IPS con seguimiento por parte del departamento</t>
  </si>
  <si>
    <t xml:space="preserve">Ajustar los 14 planes de emergencia de las instituciones prestadoras de salud de todo el Departamento.  
</t>
  </si>
  <si>
    <t>201663000-0156</t>
  </si>
  <si>
    <t>Servicio de salud en alerta en el Departamento del Quindío</t>
  </si>
  <si>
    <t>Ajustar un (1) Plan de Emergencias en Salud Departamental.</t>
  </si>
  <si>
    <t>Atender en los doce  (12) municipios del Departamento, los eventos de emergencia y urgencia, y el sistema de refertencia y contrareferencia de la población no afiliada</t>
  </si>
  <si>
    <t>201663000-0157</t>
  </si>
  <si>
    <t xml:space="preserve">Fortalecimiento de la red de urgencias y emergencias en el Departamento del Quindio </t>
  </si>
  <si>
    <t>Garantizar el Sistema Obligatorio de Garantía de Calidad SOGC en las IPS del departamento</t>
  </si>
  <si>
    <t>Verificar el sistema de evaluación de los Plan de auditoria para el mejoramiento de la calidad (PAMEC)  de siete (7) instituciones prestadoras de salud (IPS) hospitalarias  en el departamento del Quindío.</t>
  </si>
  <si>
    <t>201663000-0158</t>
  </si>
  <si>
    <t>Apoyo al proceso del sistema obligatorio de garantía de calidad a los prestadores de salud en el Departamento del Quindio.</t>
  </si>
  <si>
    <t>Realizar visitas de verificación de los requisitos de habilitación a 150 prestadores de servicios de salud.</t>
  </si>
  <si>
    <t>Fortalecimiento financiero de la red de servicios publica</t>
  </si>
  <si>
    <t>Evaluar semestralmente los indicadores de monitoreo del sistema de catorce (14) ESE´s del nivel I, II y III</t>
  </si>
  <si>
    <t>201663000-0159</t>
  </si>
  <si>
    <t>Fortalecimiento de la red de prestación de servicios pública  del Departamento del Quindío</t>
  </si>
  <si>
    <t>Apoyar 2 programas  de saneamiento fiscal y financiero a las IPS categorizadas en riesgo por el Ministerio de Salud</t>
  </si>
  <si>
    <t>Gestión Posible</t>
  </si>
  <si>
    <t>Apoyo y Fortalecimiento Institucional</t>
  </si>
  <si>
    <t>Evaluar la totalidad de municipios certificados</t>
  </si>
  <si>
    <t>Evaluar los municipios de Armenia y Calarcá que se encuentran  certificados en salud</t>
  </si>
  <si>
    <t>201663000-0160</t>
  </si>
  <si>
    <t>Apoyo Operativo a la inversión social en salud en el Departamento del Quindio</t>
  </si>
  <si>
    <t>Lograr que los procesos misionales y estratégicos de la Secretaría de Salud, que así lo requieran cuente con el apoyo y gestión de la Dirección Estratégica.</t>
  </si>
  <si>
    <t>apoyar y gestionar  3 procesos administrativos y misionales por parte de la Dirección estratégica.</t>
  </si>
  <si>
    <t>Mejorar el % de ejecución presupuestal</t>
  </si>
  <si>
    <t>Seguimiento trimestral a la ejecución presupuestal de los recursos del Sector Salud</t>
  </si>
  <si>
    <t xml:space="preserve">324 -Secretaría de Tecnologías de la Información y las Comunicaciones </t>
  </si>
  <si>
    <t>Fortalecer el programa de  infraestructura tecnológica de la  Administración Departamental (hadware, aplicativos, redes, y capacitación)</t>
  </si>
  <si>
    <t>201663000-0003</t>
  </si>
  <si>
    <t>Actualización de la infraestructura tecnológica de la Gobernación del Quindío.</t>
  </si>
  <si>
    <t>TOTAL ADMINISTRACIÓN CENTRAL:</t>
  </si>
  <si>
    <t>319 Indeportes Quindío</t>
  </si>
  <si>
    <t>Apoyo al deporte asociado</t>
  </si>
  <si>
    <t>Ligas deportivas del departamento del Quindío</t>
  </si>
  <si>
    <t xml:space="preserve"> Aumentar la utilización de escenarios deportivos como coliseos y canchas de fútbol</t>
  </si>
  <si>
    <t xml:space="preserve">Apoyar  y fortalecer veintitrés (23) ligas deportivas   </t>
  </si>
  <si>
    <t xml:space="preserve">4. Deporte </t>
  </si>
  <si>
    <t>201663000-0161</t>
  </si>
  <si>
    <t>Apoyo al deporte asociado en el Departamento del Quindio</t>
  </si>
  <si>
    <t>apoyar  a veinte  (20) deportistas en nivel de talento, de proyección y de altos logros con el programa de incentivos económicos a deportistas.</t>
  </si>
  <si>
    <t xml:space="preserve">Apoyo a eventos deportivos </t>
  </si>
  <si>
    <t>Apoyar trece (13)  ligas en   los eventos deportivos de carácter federado  nacional y departamental.</t>
  </si>
  <si>
    <t xml:space="preserve">Juegos intercolegiados </t>
  </si>
  <si>
    <t>Desarrollar cuatro (4) juegos Intercolegiados  en sus diferentes fases.</t>
  </si>
  <si>
    <t>201663000-0162</t>
  </si>
  <si>
    <t>Apoyo a los juegos intercolegiados en el Deparrtamento del Quindìo</t>
  </si>
  <si>
    <t>Deporte formativo, deporte social comunitario y juegos  tradicionales.</t>
  </si>
  <si>
    <t>Asesorar  los doce (12) municipios del departamento del Quindío asesorados mediante   solicitudes de carácter técnico, administrativo y financiero para   las escuelas deportivas,  según los requerimientos.</t>
  </si>
  <si>
    <t>201663000-0163</t>
  </si>
  <si>
    <t>Apoyo al Deporte formativo, deporte social comunitario y juegos  tradicionales en el Departamento del Quindío</t>
  </si>
  <si>
    <t>Desarrollar  4 eventos de deporte social y comunitario.</t>
  </si>
  <si>
    <t>Apoyar  técnicamente un 1  evento de  Juegos Comunales en la fase Departamental</t>
  </si>
  <si>
    <t>Si Recreación y actividad física para ti</t>
  </si>
  <si>
    <t xml:space="preserve"> Recreación,  para el Bien Común</t>
  </si>
  <si>
    <t>Apoyar de forma articulada el desarrollo del programa (1) "Campamentos Juveniles"</t>
  </si>
  <si>
    <t>201663000-0164</t>
  </si>
  <si>
    <t xml:space="preserve"> Apoyo a la Recreación,  para el Bien Común en el Departamento del Quindío</t>
  </si>
  <si>
    <t>Apoyar de forma articulada el programa nuevo comienzo "Otro Motivo para Vivir" (1).</t>
  </si>
  <si>
    <t>Crear y desarrollar una estrategia para articular la actividad recreativa social comunitaria desde la primera infancia hasta las personas mayores.</t>
  </si>
  <si>
    <t>Actividad física, hábitos y estilos de vida saludables</t>
  </si>
  <si>
    <t xml:space="preserve">implementar un (1) programa que permita ejecutar proyectos  de actividad física para la promoción de hábitos y estilos de vida saludables </t>
  </si>
  <si>
    <t>201663000-0165</t>
  </si>
  <si>
    <t>Apoyo a la actividad fisica, salud y productividad en el Deptp del Quindio</t>
  </si>
  <si>
    <t>Deporte, recreación, actividad fisica en los municipios del departamento del Quindío</t>
  </si>
  <si>
    <t>Implementación y apoyo a los proyectos deportivos, recreativos y de actividad fisica en los municipios del Departamento del Quindío</t>
  </si>
  <si>
    <t>Apoyar doce (12) municipios en proyectos deportivos, recreactivos y de actividad fisica</t>
  </si>
  <si>
    <t>201663000-0166</t>
  </si>
  <si>
    <t>Apoyo a proyectos deportivos, recreativos y de actividad fisica, en el Departamento del Quindìo</t>
  </si>
  <si>
    <t>320 Promotora de Vivienda</t>
  </si>
  <si>
    <t>Disminuir el porcentaje de personas en situación de pobreza</t>
  </si>
  <si>
    <t>9. Transporte</t>
  </si>
  <si>
    <t>201663000-0171</t>
  </si>
  <si>
    <t xml:space="preserve">Apoyo en la formulación y ejecucion de proyectos de vivienda, infraestructura y equipamientos colectivos y comunitarios en el Departamento del Quindio </t>
  </si>
  <si>
    <t xml:space="preserve">                                                                                                  </t>
  </si>
  <si>
    <t xml:space="preserve">321 Instituto Departamental de Transito </t>
  </si>
  <si>
    <t xml:space="preserve"> SEGURIDAD HUMANA</t>
  </si>
  <si>
    <t>Fortalecimiento de la seguridad vial Departamental</t>
  </si>
  <si>
    <t xml:space="preserve"> Reducir lesiones fatales en accidente de tránsito</t>
  </si>
  <si>
    <t>95 x 100 mil</t>
  </si>
  <si>
    <t>80 x 100 mil</t>
  </si>
  <si>
    <t>Implementar un programa para disminuir la accidentalidad en las vías del departamento</t>
  </si>
  <si>
    <t>201663000-0172</t>
  </si>
  <si>
    <t>Fortalecimiento de la seguridad vial  en el Departamento del Quindío</t>
  </si>
  <si>
    <t xml:space="preserve">Formular e implementar el Plan de Seguridad Vial del Departamento </t>
  </si>
  <si>
    <t xml:space="preserve">Apoyar la implementación del programa: Ciclorutas en el departamento del Quindío </t>
  </si>
  <si>
    <t>TOTAL ENTIDADES DESCENTRALIZADAS</t>
  </si>
  <si>
    <t>GRAN TOTAL</t>
  </si>
  <si>
    <t>PROYECTOS DE INVERSION REGISTRADOS EN EL BANCO DE PROGRAMAS Y PROYECTOS, QUE FORMAN PARTE DEL PLAN OPERATIVO ANUAL DE INVERSIONES POAI DEL DEPARTAMENTO</t>
  </si>
  <si>
    <t>CÓDIGO BPPIN</t>
  </si>
  <si>
    <t>PRESUPUESTO 2019</t>
  </si>
  <si>
    <t>ADMINISTRACIÓN CENTRAL</t>
  </si>
  <si>
    <t>5. BUEN GOBIERNO</t>
  </si>
  <si>
    <t>28. Gestión Territorial</t>
  </si>
  <si>
    <t>89. Modernización tecnológica y Administrativa</t>
  </si>
  <si>
    <t>26. Quindío Transparente y Legal</t>
  </si>
  <si>
    <t>83.Quindío Ejemplar y Legal</t>
  </si>
  <si>
    <t>84. Veedurías y Rendición de Cuentas</t>
  </si>
  <si>
    <t xml:space="preserve">Realización procesos de Rendición Publica de Cuentas Departamentales enlos  entes territoriales municipales del Departamento del Quindio </t>
  </si>
  <si>
    <t>27. Poder Ciudadano</t>
  </si>
  <si>
    <t>85. Quindío Si, a la participación</t>
  </si>
  <si>
    <t>201763000-0007</t>
  </si>
  <si>
    <t xml:space="preserve">87. Los instrumentos  de planificación como  ruta para el cumplimiento de la gestión pública  </t>
  </si>
  <si>
    <t>88. Gestión Tributaria y Financiera</t>
  </si>
  <si>
    <t>2. PROSPERIDAD CON EQUIDAD</t>
  </si>
  <si>
    <t>4. Infraestructura Sostenible para la Paz</t>
  </si>
  <si>
    <t>14. Mejora de la Infraestructura Vial del Departamento del Quindío</t>
  </si>
  <si>
    <t>15. Mejora de la Infraestructura  Social del Departamento del Quindío</t>
  </si>
  <si>
    <t>1. DESARROLLO SOSTENIBLE</t>
  </si>
  <si>
    <t>1. Quindío territorio vital</t>
  </si>
  <si>
    <t>2. Manejo integral del agua y saneamiento básico</t>
  </si>
  <si>
    <t>4. SEGURIDAD HUMANA</t>
  </si>
  <si>
    <t xml:space="preserve">23. Seguridad humana como dinamizador de la vida, dignidad y libertad en el Quindío </t>
  </si>
  <si>
    <t>75. Seguridad ciudadana  para prevención y control del delito</t>
  </si>
  <si>
    <t>76. Convivencia, Justicia  y Cultura de Paz</t>
  </si>
  <si>
    <t>24. Construcción de paz y reconciliación en el Quindío</t>
  </si>
  <si>
    <t>78. Plan de Acción Territorial para las Víctimas del Conflicto</t>
  </si>
  <si>
    <t>79. Protección y Garantías de no Repetición</t>
  </si>
  <si>
    <t>80. Preparados para la Paz Territorial</t>
  </si>
  <si>
    <t xml:space="preserve">25. El Quindío Departamento Resiliente </t>
  </si>
  <si>
    <t>81.Quindío protegiendo el futuro</t>
  </si>
  <si>
    <t>82. Fortalecimiento Institucional para la Gestión del Riesgo de Desastres como una Estrategia de Desarrollo</t>
  </si>
  <si>
    <t>27.Poder Ciudadano</t>
  </si>
  <si>
    <t>86. Comunales comprometidos con el Desarrollo</t>
  </si>
  <si>
    <t>3. INCLUSION SOCIAL</t>
  </si>
  <si>
    <t>9. Cultura, Arte y educación para la Paz</t>
  </si>
  <si>
    <t>29. Arte para todos</t>
  </si>
  <si>
    <t xml:space="preserve">30. Emprendimiento Cultural </t>
  </si>
  <si>
    <t>31. Lectura, escritura y bibliotecas</t>
  </si>
  <si>
    <t>10.Patrimonio, paisaje cultural cafetero, ciudadanía y diversidad cultural</t>
  </si>
  <si>
    <t>32.Viviendo el patrimonio y el Paisaje Cultural Cafetero</t>
  </si>
  <si>
    <t>33. Comunicación, ciudadanía y Sistema Departamental de Cultura</t>
  </si>
  <si>
    <t>2.Quindío rural, inteligente, competitivo y empresarial</t>
  </si>
  <si>
    <t>8. Quindío Prospero y productivo</t>
  </si>
  <si>
    <t>9. Hacia el Emprendimiento, Empresarismo, asociatividad y generación de empleo en el Departamento del Quindío</t>
  </si>
  <si>
    <t>10.Quindío Sin Fronteras</t>
  </si>
  <si>
    <t>3.Quindío Potencia Turística de Naturaleza y Diversión</t>
  </si>
  <si>
    <t xml:space="preserve">11. Fortalecimiento de la oferta de productos y atractivos turísticos </t>
  </si>
  <si>
    <t>12. Mejoramiento de la competitividad del Quindío como destino turístico</t>
  </si>
  <si>
    <t>13.Promoción nacional e internacional del departamento como destino turístico</t>
  </si>
  <si>
    <t>1.Generación de entornos favorables y sostenibilidad ambiental</t>
  </si>
  <si>
    <t>2.Manejo integral del agua y saneamiento básico</t>
  </si>
  <si>
    <t>3.Bienes y servicios ambientales para las nuevas generaciones</t>
  </si>
  <si>
    <t>2.PROSPERIDAD CON EQUIDAD</t>
  </si>
  <si>
    <t>4.Innovación para una caficultura sostenible en el departamento del Quindío</t>
  </si>
  <si>
    <t>5.Centros Agroindustriales Regionales para la Paz - CARPAZ</t>
  </si>
  <si>
    <t>6.Emprendimiento y empleo rural</t>
  </si>
  <si>
    <t>7.Impulso a la competitividad productiva y empresarial del sector Rural</t>
  </si>
  <si>
    <t>11.Soberanía, seguridad alimentaria y nutricional</t>
  </si>
  <si>
    <t>34.Fomento a la Agricultura Familiar Campesina, agricultura urbana y mercados campesinos para la soberanía y  Seguridad alimentaria</t>
  </si>
  <si>
    <t>5.BUEN GOBIERNO</t>
  </si>
  <si>
    <t>89.Modernización tecnológica y Administrativa</t>
  </si>
  <si>
    <t>5.Cobertura Educativa</t>
  </si>
  <si>
    <t>16. Acceso y Permanencia</t>
  </si>
  <si>
    <t>17.Educación inclusiva con acceso y permanencia para poblaciones vulnerables - diferenciales</t>
  </si>
  <si>
    <t xml:space="preserve">18.Funcionamiento y prestación del servicio educativo de las instituciones educativas </t>
  </si>
  <si>
    <t>6. Calidad Educativa</t>
  </si>
  <si>
    <t>19.Calidad Educativa para la Paz</t>
  </si>
  <si>
    <t xml:space="preserve">Implementación de  estrategias para el mejoramiento continuo del indice sintetico de calidad educativa en los niveles de básica primaria, básica secundaria y nivel de media en el Departamento del Quindio 
</t>
  </si>
  <si>
    <t>20.Educación, Ambientes Escolares y Cultura para la Paz</t>
  </si>
  <si>
    <t>21.Plan Departamental del Lectura y Escritura</t>
  </si>
  <si>
    <t>22.Funcionamiento de las Instituciones Educativas</t>
  </si>
  <si>
    <t>7.Pertinencia e Innovación</t>
  </si>
  <si>
    <t>23.Quindío Bilingüe</t>
  </si>
  <si>
    <t>24.Fortalecimiento de la Media Técnica</t>
  </si>
  <si>
    <t>8.Eficiencia educativa</t>
  </si>
  <si>
    <t>25.Eficiencia y modernización administrativa</t>
  </si>
  <si>
    <t>26.Otros proyectos de conectividad</t>
  </si>
  <si>
    <t>27.Funcionamiento y prestación de servicios del sector educativo del nivel central 1400-1401</t>
  </si>
  <si>
    <t>28.Eficiencia administrativa y docente en la  gestión del bienestar laboral</t>
  </si>
  <si>
    <t>16.Atención Integral a la Primera Infancia</t>
  </si>
  <si>
    <t xml:space="preserve">57.Educación Inicial Integral </t>
  </si>
  <si>
    <t>3.INCLUSION SOCIAL</t>
  </si>
  <si>
    <t>56.Niños y Niñas en entornos Protectores-semillas infantiles-</t>
  </si>
  <si>
    <t>17.Promoción y  Protección  de la Familia</t>
  </si>
  <si>
    <t xml:space="preserve">58.Familias para la Construcción  del Quindío como  territorio de paz. </t>
  </si>
  <si>
    <t xml:space="preserve">59.Quindío departamento de derechos  de niñas, niños y adolescentes </t>
  </si>
  <si>
    <t xml:space="preserve">60. "Sí para ti" atención integral a adolescentes y jóvenes </t>
  </si>
  <si>
    <t xml:space="preserve">61.Capacidad sin limites. </t>
  </si>
  <si>
    <t>18.Genero, Poblaciones vulnerables y con enfoque diferencial</t>
  </si>
  <si>
    <t>62.Prevención y Atención a la población en estado de vulnerabilidad  extrema y migrantes.</t>
  </si>
  <si>
    <t xml:space="preserve">63.Pervivencia de los pueblos indígenas en el marco de la Paz </t>
  </si>
  <si>
    <t xml:space="preserve">64.Población afro descendiente por el camino de la paz </t>
  </si>
  <si>
    <t>65.Sí a la diversidad sexual e identidad de género y su familia.</t>
  </si>
  <si>
    <t>66.Mujeres constructoras de Familia y de paz.</t>
  </si>
  <si>
    <t>19.Atención integral al Adulto Mayor</t>
  </si>
  <si>
    <t xml:space="preserve">67.Quindío para todas las edades </t>
  </si>
  <si>
    <t>26.Quindío Transparente y Legal</t>
  </si>
  <si>
    <t>3.  INCLUSION SOCIAL</t>
  </si>
  <si>
    <t xml:space="preserve">35.Fortalecimiento a la vigilancia en  la seguridad alimentaria y nutricional del Quindío. </t>
  </si>
  <si>
    <t>12.Salud Pública para un Quindío saludable y posible</t>
  </si>
  <si>
    <t>36.Salud ambiental</t>
  </si>
  <si>
    <t>37.Sexualidad, derechos sexuales y reproductivos</t>
  </si>
  <si>
    <t>38.Convivencia social y salud mental</t>
  </si>
  <si>
    <t>39.Estilos de vida saludable y condiciones no-transmisibles</t>
  </si>
  <si>
    <t>40.Vida saludable y enfermedades transmisibles</t>
  </si>
  <si>
    <t>41.Salud publica en emergencias y desastres</t>
  </si>
  <si>
    <t>42.Salud en el entorno laboral</t>
  </si>
  <si>
    <t>43.Fortalecimiento de la autoridad sanitaria</t>
  </si>
  <si>
    <t>44.Promoción social y gestión diferencial de poblaciones vulnerables.</t>
  </si>
  <si>
    <t>45.Plan de intervenciones colectivas en el modelo de APS</t>
  </si>
  <si>
    <t>46.Vigilancia en salud publica y del laboratorio departamental.</t>
  </si>
  <si>
    <t>13.Universalidad  del aseguramiento en salud para un bien común</t>
  </si>
  <si>
    <t>47.Garantizar  la promoción de la afiliación al sistema de seguridad social</t>
  </si>
  <si>
    <t xml:space="preserve">48.Garantizar la cofinanciación para el régimen subsidiado en el departamento del Quindío </t>
  </si>
  <si>
    <t>49.Asistencia técnica  a los actores del sistema en el proceso de aseguramiento de la población</t>
  </si>
  <si>
    <t>14.Inclusión social en la prestación y desarrollo de servicios de salud</t>
  </si>
  <si>
    <t>50.Mejoramiento del Sistema de Calidad  de los Servicios y la Atención de los Usuarios</t>
  </si>
  <si>
    <t>51.Fortalecimiento de la  gestión de la entidad territorial municipal</t>
  </si>
  <si>
    <t>52.Garantizar red de servicios en eventos de emergencias</t>
  </si>
  <si>
    <t>53.Garantizar el Sistema Obligatorio de Garantía de Calidad SOGC en las IPS del departamento</t>
  </si>
  <si>
    <t>54.Fortalecimiento financiero de la red de servicios publica</t>
  </si>
  <si>
    <t>14.Gestión Posible</t>
  </si>
  <si>
    <t>55.Apoyo y Fortalecimiento Institucional</t>
  </si>
  <si>
    <t>5. BUEN GOBIERNO</t>
  </si>
  <si>
    <t>28.  Gestión Territorial</t>
  </si>
  <si>
    <t>TOTAL ADMINISTRACIÓN CENTRAL:</t>
  </si>
  <si>
    <t>ENTIDADES DESCENTRALIZADAS</t>
  </si>
  <si>
    <t>20.Apoyo al deporte asociado</t>
  </si>
  <si>
    <t>68.Ligas deportivas del departamento del Quindío</t>
  </si>
  <si>
    <t xml:space="preserve">69.Apoyo a eventos deportivos </t>
  </si>
  <si>
    <t xml:space="preserve">70.Juegos intercolegiados </t>
  </si>
  <si>
    <t>71.Deporte formativo, deporte social comunitario y juegos  tradicionales.</t>
  </si>
  <si>
    <t>21.Si Recreación y actividad física para ti</t>
  </si>
  <si>
    <t>72.Recreación,  para el Bien Común</t>
  </si>
  <si>
    <t>73.Actividad física, hábitos y estilos de vida saludables</t>
  </si>
  <si>
    <t>22.Deporte, recreación, actividad fisica en los municipios del departamento del Quindío</t>
  </si>
  <si>
    <t>74.Implementación y apoyo a los proyectos deportivos, recreativos y de actividad fisica en los municipios del Departamento del Quindío</t>
  </si>
  <si>
    <t>4.Infraestructura Sostenible para la Paz</t>
  </si>
  <si>
    <t>14.Mejora de la Infraestructura Vial del Departamento del Quindío</t>
  </si>
  <si>
    <t>15.Mejora de la Infraestructura  Social del Departamento del Quindío</t>
  </si>
  <si>
    <t xml:space="preserve">23.Seguridad humana como dinamizador de la vida, dignidad y libertad en el Quindío </t>
  </si>
  <si>
    <t>77.Fortalecimiento de la seguridad vial Departamental</t>
  </si>
  <si>
    <t>TOTAL ENTIDADES DESCENTRALIZADAS:</t>
  </si>
  <si>
    <t> TOTAL INVERSIÓN:</t>
  </si>
  <si>
    <t>JOSÉ IGNACIO ROJAS SEPÚLVEDA</t>
  </si>
  <si>
    <t>Secretario de Planeación Departamental</t>
  </si>
  <si>
    <t>Elaboró:  Norma Consuelo Mantilla Q., Profesional Universitario</t>
  </si>
  <si>
    <t>Revisó:     Juan José Jaramillo Pérez, Jefe de Proyectos y Cooperación</t>
  </si>
  <si>
    <t>  CONTRIBUCION ESPECIAL (FONDO DE SEGURIDAD 5%) (92(42)  </t>
  </si>
  <si>
    <t>ESTAMPILLA PRO - DESARROLLO (04 - 82)</t>
  </si>
  <si>
    <r>
      <t xml:space="preserve"> </t>
    </r>
    <r>
      <rPr>
        <sz val="7"/>
        <rFont val="Times New Roman"/>
        <family val="1"/>
      </rPr>
      <t xml:space="preserve"> </t>
    </r>
    <r>
      <rPr>
        <sz val="11"/>
        <rFont val="Calibri"/>
        <family val="2"/>
        <scheme val="minor"/>
      </rPr>
      <t>Reducir la proporción de jóvenes en el sistema de responsabilidad penal con riesgo alto de reincidencia en las conductas delictivas</t>
    </r>
  </si>
  <si>
    <r>
      <t xml:space="preserve"> </t>
    </r>
    <r>
      <rPr>
        <sz val="7"/>
        <rFont val="Times New Roman"/>
        <family val="1"/>
      </rPr>
      <t xml:space="preserve"> </t>
    </r>
    <r>
      <rPr>
        <sz val="11"/>
        <rFont val="Calibri"/>
        <family val="2"/>
        <scheme val="minor"/>
      </rPr>
      <t>Disminuir el porcentaje de mujeres amenazadas por sus compañeros sentimentales                                                                                             Disminuir incidencia de violencia intrafamiliar</t>
    </r>
  </si>
  <si>
    <r>
      <t xml:space="preserve"> </t>
    </r>
    <r>
      <rPr>
        <sz val="7"/>
        <rFont val="Times New Roman"/>
        <family val="1"/>
      </rPr>
      <t xml:space="preserve"> </t>
    </r>
    <r>
      <rPr>
        <sz val="11"/>
        <rFont val="Calibri"/>
        <family val="2"/>
        <scheme val="minor"/>
      </rPr>
      <t>Disminuir el porcentaje de mujeres amenazadas por sus compañeros sentimentales</t>
    </r>
  </si>
  <si>
    <r>
      <rPr>
        <sz val="7"/>
        <rFont val="Times New Roman"/>
        <family val="1"/>
      </rPr>
      <t xml:space="preserve"> </t>
    </r>
    <r>
      <rPr>
        <sz val="11"/>
        <rFont val="Calibri"/>
        <family val="2"/>
        <scheme val="minor"/>
      </rPr>
      <t>Disminuir la incidencia de embarazo en adolescentes</t>
    </r>
  </si>
  <si>
    <r>
      <rPr>
        <sz val="7"/>
        <rFont val="Times New Roman"/>
        <family val="1"/>
      </rPr>
      <t xml:space="preserve"> </t>
    </r>
    <r>
      <rPr>
        <sz val="11"/>
        <rFont val="Calibri"/>
        <family val="2"/>
        <scheme val="minor"/>
      </rPr>
      <t>Incrementar el % IPS con seguimiento por parte del departamento</t>
    </r>
  </si>
  <si>
    <r>
      <rPr>
        <sz val="7"/>
        <rFont val="Times New Roman"/>
        <family val="1"/>
      </rPr>
      <t xml:space="preserve"> </t>
    </r>
    <r>
      <rPr>
        <sz val="11"/>
        <rFont val="Calibri"/>
        <family val="2"/>
        <scheme val="minor"/>
      </rPr>
      <t>Aumentar el porcentaje de cumplimiento de la Ley 1448 del 2011 de atención a víctimas</t>
    </r>
  </si>
  <si>
    <r>
      <rPr>
        <sz val="7"/>
        <rFont val="Times New Roman"/>
        <family val="1"/>
      </rPr>
      <t xml:space="preserve">  </t>
    </r>
    <r>
      <rPr>
        <sz val="11"/>
        <rFont val="Calibri"/>
        <family val="2"/>
        <scheme val="minor"/>
      </rPr>
      <t>Aumentar el % de personas discapacitadas atendidas</t>
    </r>
  </si>
  <si>
    <t>III TRIMESTRE 2019</t>
  </si>
  <si>
    <t>   FONDO LOCAL DE SALUD  - MONOPOLIO RENTAS CEDIDAS -LOTERIAS-RIFAS-PREMIO  (58)(71)(72)(96)(154)(155)(148) </t>
  </si>
  <si>
    <t>   FONDO LOCAL DE SALUD  - ESTUPEFACIENTES -  LEY 1393  (100)(64) (99)    </t>
  </si>
  <si>
    <t>PLAN OPERATIVO ANUAL DE INVERSIONES  2019</t>
  </si>
  <si>
    <t>      NACIÓN  - COFINANCIACIÓN  (7)(110)(111)(113)(114)(145)(149)(151) (56)(107) (159) (65) (156) (102) (162)</t>
  </si>
  <si>
    <t>318 Secretaría de Salud</t>
  </si>
  <si>
    <t>314 Secretaría de Educación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</si>
</sst>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44" formatCode="_(&quot;$&quot;\ * #,##0.00_);_(&quot;$&quot;\ * \(#,##0.00\);_(&quot;$&quot;\ * &quot;-&quot;??_);_(@_)"/>
    <numFmt numFmtId="43" formatCode="_(* #,##0.00_);_(* \(#,##0.00\);_(* &quot;-&quot;??_);_(@_)"/>
    <numFmt numFmtId="164" formatCode="_-* #,##0.00_-;\-* #,##0.00_-;_-* &quot;-&quot;??_-;_-@_-"/>
    <numFmt numFmtId="165" formatCode="_-* #,##0.00\ &quot;€&quot;_-;\-* #,##0.00\ &quot;€&quot;_-;_-* &quot;-&quot;??\ &quot;€&quot;_-;_-@_-"/>
    <numFmt numFmtId="166" formatCode="_-* #,##0.00\ _€_-;\-* #,##0.00\ _€_-;_-* &quot;-&quot;??\ _€_-;_-@_-"/>
    <numFmt numFmtId="167" formatCode="00"/>
    <numFmt numFmtId="168" formatCode="_(* #,##0_);_(* \(#,##0\);_(* &quot;-&quot;??_);_(@_)"/>
    <numFmt numFmtId="169" formatCode="_-* #,##0_-;\-* #,##0_-;_-* &quot;-&quot;??_-;_-@_-"/>
    <numFmt numFmtId="170" formatCode="0.000"/>
    <numFmt numFmtId="171" formatCode="&quot;$&quot;#,##0"/>
    <numFmt numFmtId="172" formatCode="_(* #,##0.0_);_(* \(#,##0.0\);_(* &quot;-&quot;??_);_(@_)"/>
    <numFmt numFmtId="173" formatCode="#,##0.0"/>
    <numFmt numFmtId="174" formatCode="0.0"/>
    <numFmt numFmtId="175" formatCode="_-&quot;$&quot;* #,##0_-;\-&quot;$&quot;* #,##0_-;_-&quot;$&quot;* &quot;-&quot;_-;_-@_-"/>
    <numFmt numFmtId="176" formatCode="_-* #,##0_-;\-* #,##0_-;_-* &quot;-&quot;_-;_-@_-"/>
    <numFmt numFmtId="177" formatCode="_-&quot;$&quot;* #,##0.00_-;\-&quot;$&quot;* #,##0.00_-;_-&quot;$&quot;* &quot;-&quot;??_-;_-@_-"/>
    <numFmt numFmtId="178" formatCode="_ [$€-2]\ * #,##0.00_ ;_ [$€-2]\ * \-#,##0.00_ ;_ [$€-2]\ * &quot;-&quot;??_ "/>
  </numFmts>
  <fonts count="27" x14ac:knownFonts="1">
    <font>
      <sz val="11"/>
      <color theme="1"/>
      <name val="Calibri"/>
      <family val="2"/>
      <scheme val="minor"/>
    </font>
    <font>
      <sz val="11"/>
      <color theme="1"/>
      <name val="Calibri"/>
      <family val="2"/>
      <scheme val="minor"/>
    </font>
    <font>
      <b/>
      <sz val="11"/>
      <name val="Arial"/>
      <family val="2"/>
    </font>
    <font>
      <b/>
      <sz val="12"/>
      <name val="Arial"/>
      <family val="2"/>
    </font>
    <font>
      <sz val="11"/>
      <name val="Calibri"/>
      <family val="2"/>
      <scheme val="minor"/>
    </font>
    <font>
      <b/>
      <sz val="10"/>
      <name val="Arial"/>
      <family val="2"/>
    </font>
    <font>
      <sz val="11"/>
      <color indexed="8"/>
      <name val="Calibri"/>
      <family val="2"/>
    </font>
    <font>
      <sz val="11"/>
      <name val="Arial"/>
      <family val="2"/>
    </font>
    <font>
      <sz val="12"/>
      <name val="Arial"/>
      <family val="2"/>
    </font>
    <font>
      <sz val="10"/>
      <name val="Arial"/>
      <family val="2"/>
    </font>
    <font>
      <b/>
      <sz val="14"/>
      <name val="Arial"/>
      <family val="2"/>
    </font>
    <font>
      <b/>
      <sz val="11"/>
      <name val="Calibri"/>
      <family val="2"/>
      <scheme val="minor"/>
    </font>
    <font>
      <sz val="8"/>
      <color theme="1"/>
      <name val="Calibri"/>
      <family val="2"/>
      <scheme val="minor"/>
    </font>
    <font>
      <b/>
      <sz val="8"/>
      <name val="Calibri"/>
      <family val="2"/>
      <scheme val="minor"/>
    </font>
    <font>
      <sz val="10"/>
      <color indexed="8"/>
      <name val="MS Sans Serif"/>
    </font>
    <font>
      <b/>
      <sz val="12"/>
      <color indexed="8"/>
      <name val="Courier New"/>
      <family val="3"/>
    </font>
    <font>
      <b/>
      <sz val="12"/>
      <name val="Calibri"/>
      <family val="2"/>
      <scheme val="minor"/>
    </font>
    <font>
      <b/>
      <sz val="16"/>
      <name val="Arial"/>
      <family val="2"/>
    </font>
    <font>
      <sz val="11"/>
      <name val="Calibri"/>
      <family val="2"/>
    </font>
    <font>
      <sz val="10"/>
      <name val="Arial"/>
      <family val="1"/>
    </font>
    <font>
      <b/>
      <sz val="18"/>
      <name val="Arial"/>
      <family val="2"/>
    </font>
    <font>
      <sz val="8"/>
      <name val="Calibri"/>
      <family val="2"/>
      <scheme val="minor"/>
    </font>
    <font>
      <b/>
      <sz val="8"/>
      <name val="Arial"/>
      <family val="2"/>
    </font>
    <font>
      <sz val="8"/>
      <name val="Arial"/>
      <family val="2"/>
    </font>
    <font>
      <sz val="8"/>
      <name val="Calibri"/>
      <family val="2"/>
    </font>
    <font>
      <b/>
      <sz val="8"/>
      <name val="Arial"/>
      <family val="2"/>
    </font>
    <font>
      <sz val="7"/>
      <name val="Times New Roman"/>
      <family val="1"/>
    </font>
  </fonts>
  <fills count="1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9"/>
        <bgColor indexed="64"/>
      </patternFill>
    </fill>
    <fill>
      <patternFill patternType="solid">
        <fgColor indexed="46"/>
        <bgColor indexed="64"/>
      </patternFill>
    </fill>
    <fill>
      <patternFill patternType="solid">
        <fgColor rgb="FF00B0F0"/>
        <bgColor indexed="64"/>
      </patternFill>
    </fill>
    <fill>
      <patternFill patternType="solid">
        <fgColor indexed="47"/>
        <bgColor indexed="64"/>
      </patternFill>
    </fill>
    <fill>
      <patternFill patternType="solid">
        <fgColor indexed="29"/>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theme="2" tint="-0.249977111117893"/>
        <bgColor indexed="64"/>
      </patternFill>
    </fill>
    <fill>
      <patternFill patternType="solid">
        <fgColor indexed="31"/>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rgb="FFFFFFFF"/>
        <bgColor indexed="64"/>
      </patternFill>
    </fill>
    <fill>
      <patternFill patternType="solid">
        <fgColor theme="3" tint="0.59999389629810485"/>
        <bgColor indexed="64"/>
      </patternFill>
    </fill>
  </fills>
  <borders count="50">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auto="1"/>
      </right>
      <top style="thin">
        <color indexed="64"/>
      </top>
      <bottom/>
      <diagonal/>
    </border>
    <border>
      <left style="thin">
        <color auto="1"/>
      </left>
      <right style="thin">
        <color auto="1"/>
      </right>
      <top style="thin">
        <color auto="1"/>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indexed="64"/>
      </left>
      <right/>
      <top/>
      <bottom style="thin">
        <color auto="1"/>
      </bottom>
      <diagonal/>
    </border>
    <border>
      <left/>
      <right/>
      <top style="thin">
        <color indexed="64"/>
      </top>
      <bottom/>
      <diagonal/>
    </border>
    <border>
      <left style="thin">
        <color indexed="64"/>
      </left>
      <right/>
      <top/>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double">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thin">
        <color auto="1"/>
      </right>
      <top style="thin">
        <color indexed="64"/>
      </top>
      <bottom/>
      <diagonal/>
    </border>
    <border>
      <left style="medium">
        <color indexed="64"/>
      </left>
      <right style="thin">
        <color indexed="64"/>
      </right>
      <top/>
      <bottom/>
      <diagonal/>
    </border>
    <border>
      <left style="thin">
        <color auto="1"/>
      </left>
      <right style="medium">
        <color indexed="64"/>
      </right>
      <top style="thin">
        <color auto="1"/>
      </top>
      <bottom/>
      <diagonal/>
    </border>
    <border>
      <left/>
      <right style="medium">
        <color indexed="64"/>
      </right>
      <top style="thin">
        <color indexed="64"/>
      </top>
      <bottom/>
      <diagonal/>
    </border>
    <border>
      <left style="medium">
        <color indexed="64"/>
      </left>
      <right style="thin">
        <color auto="1"/>
      </right>
      <top/>
      <bottom style="thin">
        <color auto="1"/>
      </bottom>
      <diagonal/>
    </border>
    <border>
      <left/>
      <right style="medium">
        <color indexed="64"/>
      </right>
      <top/>
      <bottom style="thin">
        <color indexed="64"/>
      </bottom>
      <diagonal/>
    </border>
    <border>
      <left style="thin">
        <color auto="1"/>
      </left>
      <right style="medium">
        <color indexed="64"/>
      </right>
      <top/>
      <bottom style="thin">
        <color auto="1"/>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7">
    <xf numFmtId="0" fontId="0" fillId="0" borderId="0"/>
    <xf numFmtId="164" fontId="1"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165" fontId="6" fillId="0" borderId="0" applyFont="0" applyFill="0" applyBorder="0" applyAlignment="0" applyProtection="0"/>
    <xf numFmtId="0" fontId="14" fillId="0" borderId="0"/>
    <xf numFmtId="43" fontId="15" fillId="0" borderId="0" applyFont="0" applyFill="0" applyBorder="0" applyAlignment="0" applyProtection="0"/>
    <xf numFmtId="164"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9" fillId="0" borderId="0" applyFont="0" applyFill="0" applyBorder="0" applyAlignment="0" applyProtection="0"/>
    <xf numFmtId="164" fontId="6"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177" fontId="1" fillId="0" borderId="0" applyFont="0" applyFill="0" applyBorder="0" applyAlignment="0" applyProtection="0"/>
    <xf numFmtId="43" fontId="1" fillId="0" borderId="0" applyFont="0" applyFill="0" applyBorder="0" applyAlignment="0" applyProtection="0"/>
    <xf numFmtId="9" fontId="6" fillId="0" borderId="0" applyFont="0" applyFill="0" applyBorder="0" applyAlignment="0" applyProtection="0"/>
    <xf numFmtId="178" fontId="1" fillId="0" borderId="0"/>
    <xf numFmtId="175" fontId="1" fillId="0" borderId="0" applyFont="0" applyFill="0" applyBorder="0" applyAlignment="0" applyProtection="0"/>
    <xf numFmtId="176"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cellStyleXfs>
  <cellXfs count="1275">
    <xf numFmtId="0" fontId="0" fillId="0" borderId="0" xfId="0"/>
    <xf numFmtId="0" fontId="7" fillId="0" borderId="2" xfId="0" applyFont="1" applyBorder="1" applyAlignment="1">
      <alignment horizontal="center" vertical="center"/>
    </xf>
    <xf numFmtId="0" fontId="4" fillId="0" borderId="0" xfId="0" applyFont="1"/>
    <xf numFmtId="0" fontId="7" fillId="0" borderId="14" xfId="0" applyFont="1" applyBorder="1" applyAlignment="1">
      <alignment vertical="center" wrapText="1"/>
    </xf>
    <xf numFmtId="0" fontId="2" fillId="0" borderId="15" xfId="0" applyFont="1" applyBorder="1" applyAlignment="1">
      <alignment vertical="center" wrapText="1"/>
    </xf>
    <xf numFmtId="168" fontId="7" fillId="0" borderId="2" xfId="2" applyNumberFormat="1" applyFont="1" applyBorder="1" applyAlignment="1">
      <alignment horizontal="center" vertical="center" wrapText="1"/>
    </xf>
    <xf numFmtId="0" fontId="7" fillId="0" borderId="1" xfId="0" applyFont="1" applyBorder="1" applyAlignment="1">
      <alignment vertical="center" wrapText="1"/>
    </xf>
    <xf numFmtId="0" fontId="7" fillId="0" borderId="2" xfId="0" applyFont="1" applyBorder="1" applyAlignment="1">
      <alignment vertical="center" wrapText="1"/>
    </xf>
    <xf numFmtId="0" fontId="7" fillId="7" borderId="7" xfId="0" applyFont="1" applyFill="1" applyBorder="1" applyAlignment="1">
      <alignment horizontal="justify" vertical="center" wrapText="1"/>
    </xf>
    <xf numFmtId="43" fontId="7" fillId="0" borderId="2" xfId="2" applyFont="1" applyBorder="1" applyAlignment="1">
      <alignment horizontal="justify" vertical="center"/>
    </xf>
    <xf numFmtId="0" fontId="12" fillId="0" borderId="0" xfId="0" applyFont="1"/>
    <xf numFmtId="43" fontId="7" fillId="8" borderId="2" xfId="2" applyFont="1" applyFill="1" applyBorder="1" applyAlignment="1">
      <alignment horizontal="justify" vertical="center"/>
    </xf>
    <xf numFmtId="43" fontId="7" fillId="0" borderId="8" xfId="2" applyFont="1" applyBorder="1" applyAlignment="1">
      <alignment horizontal="justify" vertical="center"/>
    </xf>
    <xf numFmtId="0" fontId="3" fillId="4" borderId="8" xfId="0" applyFont="1" applyFill="1" applyBorder="1" applyAlignment="1">
      <alignment horizontal="center" vertical="center"/>
    </xf>
    <xf numFmtId="0" fontId="3" fillId="5" borderId="8" xfId="0" applyFont="1" applyFill="1" applyBorder="1" applyAlignment="1">
      <alignment horizontal="center" vertical="center"/>
    </xf>
    <xf numFmtId="0" fontId="3" fillId="6" borderId="8" xfId="0" applyFont="1" applyFill="1" applyBorder="1" applyAlignment="1">
      <alignment horizontal="center" vertical="center"/>
    </xf>
    <xf numFmtId="0" fontId="3" fillId="4" borderId="12" xfId="0" applyFont="1" applyFill="1" applyBorder="1" applyAlignment="1">
      <alignment horizontal="center" vertical="center"/>
    </xf>
    <xf numFmtId="0" fontId="3" fillId="6" borderId="12" xfId="0" applyFont="1" applyFill="1" applyBorder="1" applyAlignment="1">
      <alignment horizontal="center" vertical="center"/>
    </xf>
    <xf numFmtId="0" fontId="3" fillId="4" borderId="8" xfId="0" applyFont="1" applyFill="1" applyBorder="1" applyAlignment="1">
      <alignment horizontal="center" vertical="center" wrapText="1"/>
    </xf>
    <xf numFmtId="0" fontId="3" fillId="5" borderId="8" xfId="0" applyFont="1" applyFill="1" applyBorder="1" applyAlignment="1">
      <alignment horizontal="center" vertical="center" wrapText="1"/>
    </xf>
    <xf numFmtId="0" fontId="3" fillId="6" borderId="8" xfId="0" applyFont="1" applyFill="1" applyBorder="1" applyAlignment="1">
      <alignment horizontal="center" vertical="center" wrapText="1"/>
    </xf>
    <xf numFmtId="0" fontId="8" fillId="0" borderId="8" xfId="0" applyFont="1" applyBorder="1" applyAlignment="1">
      <alignment horizontal="center" vertical="center" wrapText="1"/>
    </xf>
    <xf numFmtId="0" fontId="17" fillId="4" borderId="8" xfId="0" applyFont="1" applyFill="1" applyBorder="1" applyAlignment="1">
      <alignment horizontal="left" vertical="center"/>
    </xf>
    <xf numFmtId="0" fontId="17" fillId="4" borderId="8" xfId="0" applyFont="1" applyFill="1" applyBorder="1" applyAlignment="1">
      <alignment horizontal="center" vertical="center"/>
    </xf>
    <xf numFmtId="0" fontId="17" fillId="0" borderId="0" xfId="0" applyFont="1" applyAlignment="1">
      <alignment vertical="center"/>
    </xf>
    <xf numFmtId="0" fontId="17" fillId="3" borderId="0" xfId="0" applyFont="1" applyFill="1" applyAlignment="1">
      <alignment vertical="center"/>
    </xf>
    <xf numFmtId="0" fontId="17" fillId="4" borderId="12" xfId="0" applyFont="1" applyFill="1" applyBorder="1" applyAlignment="1">
      <alignment horizontal="left" vertical="center"/>
    </xf>
    <xf numFmtId="0" fontId="17" fillId="4" borderId="12" xfId="0" applyFont="1" applyFill="1" applyBorder="1" applyAlignment="1">
      <alignment horizontal="center" vertical="center"/>
    </xf>
    <xf numFmtId="1" fontId="17" fillId="4" borderId="12" xfId="0" applyNumberFormat="1" applyFont="1" applyFill="1" applyBorder="1" applyAlignment="1">
      <alignment horizontal="left" vertical="center"/>
    </xf>
    <xf numFmtId="2" fontId="17" fillId="4" borderId="8" xfId="0" applyNumberFormat="1" applyFont="1" applyFill="1" applyBorder="1" applyAlignment="1">
      <alignment horizontal="left" vertical="center"/>
    </xf>
    <xf numFmtId="0" fontId="17" fillId="2" borderId="0" xfId="0" applyFont="1" applyFill="1" applyAlignment="1">
      <alignment vertical="center"/>
    </xf>
    <xf numFmtId="3" fontId="17" fillId="4" borderId="8" xfId="0" applyNumberFormat="1" applyFont="1" applyFill="1" applyBorder="1" applyAlignment="1">
      <alignment horizontal="left" vertical="center"/>
    </xf>
    <xf numFmtId="0" fontId="17" fillId="0" borderId="0" xfId="0" applyFont="1" applyAlignment="1">
      <alignment vertical="center" wrapText="1"/>
    </xf>
    <xf numFmtId="0" fontId="17" fillId="4" borderId="8" xfId="0" applyFont="1" applyFill="1" applyBorder="1" applyAlignment="1">
      <alignment horizontal="left" vertical="center" wrapText="1"/>
    </xf>
    <xf numFmtId="0" fontId="17" fillId="4" borderId="8" xfId="0" applyFont="1" applyFill="1" applyBorder="1" applyAlignment="1">
      <alignment horizontal="center" vertical="center" wrapText="1"/>
    </xf>
    <xf numFmtId="4" fontId="17" fillId="4" borderId="8" xfId="0" applyNumberFormat="1" applyFont="1" applyFill="1" applyBorder="1" applyAlignment="1">
      <alignment horizontal="left" vertical="center" wrapText="1"/>
    </xf>
    <xf numFmtId="1" fontId="17" fillId="4" borderId="8" xfId="0" applyNumberFormat="1" applyFont="1" applyFill="1" applyBorder="1" applyAlignment="1">
      <alignment horizontal="left" vertical="center"/>
    </xf>
    <xf numFmtId="0" fontId="17" fillId="0" borderId="0" xfId="0" applyFont="1" applyAlignment="1">
      <alignment horizontal="right" vertical="center"/>
    </xf>
    <xf numFmtId="0" fontId="18" fillId="0" borderId="0" xfId="0" applyFont="1"/>
    <xf numFmtId="0" fontId="19" fillId="0" borderId="2" xfId="0" applyFont="1" applyBorder="1" applyAlignment="1">
      <alignment horizontal="justify" vertical="center" wrapText="1"/>
    </xf>
    <xf numFmtId="0" fontId="20" fillId="4" borderId="8" xfId="0" applyFont="1" applyFill="1" applyBorder="1" applyAlignment="1">
      <alignment horizontal="left" vertical="center"/>
    </xf>
    <xf numFmtId="0" fontId="20" fillId="4" borderId="8" xfId="0" applyFont="1" applyFill="1" applyBorder="1" applyAlignment="1">
      <alignment horizontal="center" vertical="center"/>
    </xf>
    <xf numFmtId="1" fontId="20" fillId="4" borderId="8" xfId="0" applyNumberFormat="1" applyFont="1" applyFill="1" applyBorder="1" applyAlignment="1">
      <alignment horizontal="left" vertical="center"/>
    </xf>
    <xf numFmtId="0" fontId="17" fillId="4" borderId="2" xfId="0" applyFont="1" applyFill="1" applyBorder="1" applyAlignment="1">
      <alignment horizontal="left" vertical="center"/>
    </xf>
    <xf numFmtId="0" fontId="17" fillId="4" borderId="2" xfId="0" applyFont="1" applyFill="1" applyBorder="1" applyAlignment="1">
      <alignment horizontal="center" vertical="center"/>
    </xf>
    <xf numFmtId="43" fontId="7" fillId="7" borderId="8" xfId="0" applyNumberFormat="1" applyFont="1" applyFill="1" applyBorder="1" applyAlignment="1">
      <alignment vertical="center" wrapText="1"/>
    </xf>
    <xf numFmtId="43" fontId="9" fillId="0" borderId="2" xfId="0" applyNumberFormat="1" applyFont="1" applyBorder="1" applyAlignment="1">
      <alignment horizontal="right" vertical="center" wrapText="1"/>
    </xf>
    <xf numFmtId="43" fontId="9" fillId="0" borderId="2" xfId="2" applyFont="1" applyBorder="1" applyAlignment="1">
      <alignment horizontal="right" vertical="center"/>
    </xf>
    <xf numFmtId="43" fontId="9" fillId="0" borderId="2" xfId="2" applyFont="1" applyBorder="1" applyAlignment="1">
      <alignment horizontal="justify" vertical="center"/>
    </xf>
    <xf numFmtId="0" fontId="7" fillId="7" borderId="6" xfId="0" applyFont="1" applyFill="1" applyBorder="1" applyAlignment="1">
      <alignment vertical="center"/>
    </xf>
    <xf numFmtId="0" fontId="7" fillId="7" borderId="8" xfId="0" applyFont="1" applyFill="1" applyBorder="1" applyAlignment="1">
      <alignment vertical="center"/>
    </xf>
    <xf numFmtId="1" fontId="7" fillId="7" borderId="8" xfId="0" applyNumberFormat="1" applyFont="1" applyFill="1" applyBorder="1" applyAlignment="1">
      <alignment vertical="center"/>
    </xf>
    <xf numFmtId="43" fontId="7" fillId="7" borderId="8" xfId="0" applyNumberFormat="1" applyFont="1" applyFill="1" applyBorder="1" applyAlignment="1">
      <alignment vertical="center"/>
    </xf>
    <xf numFmtId="43" fontId="7" fillId="7" borderId="8" xfId="1" applyNumberFormat="1" applyFont="1" applyFill="1" applyBorder="1" applyAlignment="1">
      <alignment horizontal="center" vertical="center"/>
    </xf>
    <xf numFmtId="43" fontId="7" fillId="7" borderId="2" xfId="1" applyNumberFormat="1" applyFont="1" applyFill="1" applyBorder="1" applyAlignment="1">
      <alignment horizontal="center" vertical="center"/>
    </xf>
    <xf numFmtId="0" fontId="8" fillId="3" borderId="0" xfId="0" applyFont="1" applyFill="1" applyAlignment="1">
      <alignment horizontal="center"/>
    </xf>
    <xf numFmtId="0" fontId="8" fillId="0" borderId="0" xfId="0" applyFont="1" applyAlignment="1">
      <alignment horizontal="center"/>
    </xf>
    <xf numFmtId="0" fontId="8" fillId="0" borderId="12" xfId="0" applyFont="1" applyBorder="1" applyAlignment="1">
      <alignment horizontal="center" vertical="center" wrapText="1"/>
    </xf>
    <xf numFmtId="0" fontId="8" fillId="0" borderId="15" xfId="0" applyFont="1" applyBorder="1" applyAlignment="1">
      <alignment horizontal="center" vertical="center" wrapText="1"/>
    </xf>
    <xf numFmtId="1" fontId="7" fillId="0" borderId="2" xfId="0" applyNumberFormat="1" applyFont="1" applyBorder="1" applyAlignment="1">
      <alignment horizontal="center" vertical="center"/>
    </xf>
    <xf numFmtId="43" fontId="7" fillId="0" borderId="2" xfId="1" applyNumberFormat="1" applyFont="1" applyBorder="1" applyAlignment="1">
      <alignment horizontal="right" vertical="center" wrapText="1"/>
    </xf>
    <xf numFmtId="43" fontId="7" fillId="0" borderId="6" xfId="2" applyFont="1" applyBorder="1" applyAlignment="1">
      <alignment horizontal="justify" vertical="center"/>
    </xf>
    <xf numFmtId="43" fontId="7" fillId="0" borderId="12" xfId="2" applyFont="1" applyBorder="1" applyAlignment="1">
      <alignment horizontal="justify" vertical="center"/>
    </xf>
    <xf numFmtId="43" fontId="7" fillId="3" borderId="2" xfId="1" applyNumberFormat="1" applyFont="1" applyFill="1" applyBorder="1" applyAlignment="1">
      <alignment horizontal="right" vertical="center" wrapText="1"/>
    </xf>
    <xf numFmtId="43" fontId="3" fillId="0" borderId="8" xfId="1" applyNumberFormat="1" applyFont="1" applyBorder="1" applyAlignment="1">
      <alignment horizontal="center" vertical="center"/>
    </xf>
    <xf numFmtId="43" fontId="3" fillId="0" borderId="12" xfId="1" applyNumberFormat="1" applyFont="1" applyBorder="1" applyAlignment="1">
      <alignment horizontal="center" vertical="center"/>
    </xf>
    <xf numFmtId="0" fontId="7" fillId="5" borderId="2" xfId="0" applyFont="1" applyFill="1" applyBorder="1" applyAlignment="1">
      <alignment horizontal="left" vertical="center" wrapText="1"/>
    </xf>
    <xf numFmtId="0" fontId="7" fillId="5" borderId="2" xfId="0" applyFont="1" applyFill="1" applyBorder="1" applyAlignment="1">
      <alignment horizontal="center" vertical="center" wrapText="1"/>
    </xf>
    <xf numFmtId="0" fontId="7" fillId="5" borderId="2" xfId="0" applyFont="1" applyFill="1" applyBorder="1" applyAlignment="1">
      <alignment vertical="center" wrapText="1"/>
    </xf>
    <xf numFmtId="4" fontId="7" fillId="5" borderId="2" xfId="0" applyNumberFormat="1" applyFont="1" applyFill="1" applyBorder="1" applyAlignment="1">
      <alignment vertical="center" wrapText="1"/>
    </xf>
    <xf numFmtId="43" fontId="7" fillId="5" borderId="2" xfId="0" applyNumberFormat="1" applyFont="1" applyFill="1" applyBorder="1" applyAlignment="1">
      <alignment vertical="center" wrapText="1"/>
    </xf>
    <xf numFmtId="0" fontId="4" fillId="0" borderId="0" xfId="0" applyFont="1" applyAlignment="1">
      <alignment horizontal="center"/>
    </xf>
    <xf numFmtId="0" fontId="7" fillId="0" borderId="10" xfId="0" applyFont="1" applyBorder="1" applyAlignment="1">
      <alignment vertical="center" wrapText="1"/>
    </xf>
    <xf numFmtId="0" fontId="7" fillId="0" borderId="2" xfId="0" applyFont="1" applyBorder="1" applyAlignment="1">
      <alignment horizontal="justify" vertical="center"/>
    </xf>
    <xf numFmtId="0" fontId="4" fillId="3" borderId="0" xfId="0" applyFont="1" applyFill="1"/>
    <xf numFmtId="0" fontId="4" fillId="3" borderId="0" xfId="0" applyFont="1" applyFill="1" applyAlignment="1">
      <alignment vertical="center"/>
    </xf>
    <xf numFmtId="43" fontId="4" fillId="3" borderId="0" xfId="0" applyNumberFormat="1" applyFont="1" applyFill="1" applyAlignment="1">
      <alignment vertical="center"/>
    </xf>
    <xf numFmtId="0" fontId="2" fillId="5" borderId="8" xfId="0" applyFont="1" applyFill="1" applyBorder="1" applyAlignment="1">
      <alignment vertical="center"/>
    </xf>
    <xf numFmtId="0" fontId="2" fillId="7" borderId="8" xfId="0" applyFont="1" applyFill="1" applyBorder="1" applyAlignment="1">
      <alignment horizontal="left" vertical="center"/>
    </xf>
    <xf numFmtId="0" fontId="2" fillId="9" borderId="8" xfId="0" applyFont="1" applyFill="1" applyBorder="1" applyAlignment="1">
      <alignment horizontal="left" vertical="center"/>
    </xf>
    <xf numFmtId="0" fontId="2" fillId="10" borderId="6" xfId="0" applyFont="1" applyFill="1" applyBorder="1" applyAlignment="1">
      <alignment horizontal="left" vertical="center"/>
    </xf>
    <xf numFmtId="0" fontId="2" fillId="7" borderId="8" xfId="0" applyFont="1" applyFill="1" applyBorder="1" applyAlignment="1">
      <alignment vertical="center"/>
    </xf>
    <xf numFmtId="0" fontId="2" fillId="7" borderId="6" xfId="0" applyFont="1" applyFill="1" applyBorder="1" applyAlignment="1">
      <alignment horizontal="left" vertical="center"/>
    </xf>
    <xf numFmtId="0" fontId="2" fillId="7" borderId="5" xfId="0" applyFont="1" applyFill="1" applyBorder="1" applyAlignment="1">
      <alignment vertical="center"/>
    </xf>
    <xf numFmtId="0" fontId="2" fillId="10" borderId="8" xfId="0" applyFont="1" applyFill="1" applyBorder="1" applyAlignment="1">
      <alignment vertical="center"/>
    </xf>
    <xf numFmtId="0" fontId="2" fillId="7" borderId="6" xfId="0" applyFont="1" applyFill="1" applyBorder="1" applyAlignment="1">
      <alignment vertical="center"/>
    </xf>
    <xf numFmtId="0" fontId="2" fillId="6" borderId="12" xfId="0" applyFont="1" applyFill="1" applyBorder="1" applyAlignment="1">
      <alignment horizontal="center" vertical="center"/>
    </xf>
    <xf numFmtId="0" fontId="2" fillId="6" borderId="8" xfId="0" applyFont="1" applyFill="1" applyBorder="1" applyAlignment="1">
      <alignment vertical="center"/>
    </xf>
    <xf numFmtId="0" fontId="2" fillId="7" borderId="8" xfId="0" applyFont="1" applyFill="1" applyBorder="1" applyAlignment="1">
      <alignment horizontal="center" vertical="center"/>
    </xf>
    <xf numFmtId="0" fontId="2" fillId="5" borderId="2" xfId="0" applyFont="1" applyFill="1" applyBorder="1" applyAlignment="1">
      <alignment vertical="center"/>
    </xf>
    <xf numFmtId="0" fontId="2" fillId="6" borderId="2" xfId="0" applyFont="1" applyFill="1" applyBorder="1" applyAlignment="1">
      <alignment horizontal="left" vertical="center"/>
    </xf>
    <xf numFmtId="0" fontId="21" fillId="0" borderId="0" xfId="0" applyFont="1"/>
    <xf numFmtId="0" fontId="22" fillId="0" borderId="0" xfId="0" applyFont="1" applyAlignment="1">
      <alignment horizontal="center" vertical="center"/>
    </xf>
    <xf numFmtId="0" fontId="22" fillId="0" borderId="3" xfId="0" applyFont="1" applyBorder="1" applyAlignment="1">
      <alignment horizontal="center" vertical="center" wrapText="1"/>
    </xf>
    <xf numFmtId="0" fontId="22" fillId="0" borderId="0" xfId="0" applyFont="1" applyAlignment="1">
      <alignment vertical="center"/>
    </xf>
    <xf numFmtId="0" fontId="22" fillId="4" borderId="6" xfId="0" applyFont="1" applyFill="1" applyBorder="1" applyAlignment="1">
      <alignment horizontal="left" vertical="center"/>
    </xf>
    <xf numFmtId="0" fontId="22" fillId="4" borderId="8" xfId="0" applyFont="1" applyFill="1" applyBorder="1" applyAlignment="1">
      <alignment horizontal="left" vertical="center"/>
    </xf>
    <xf numFmtId="0" fontId="22" fillId="4" borderId="8" xfId="0" applyFont="1" applyFill="1" applyBorder="1" applyAlignment="1">
      <alignment horizontal="right" vertical="center"/>
    </xf>
    <xf numFmtId="168" fontId="22" fillId="4" borderId="7" xfId="0" applyNumberFormat="1" applyFont="1" applyFill="1" applyBorder="1" applyAlignment="1">
      <alignment horizontal="left" vertical="center"/>
    </xf>
    <xf numFmtId="0" fontId="21" fillId="0" borderId="0" xfId="0" applyFont="1" applyAlignment="1">
      <alignment horizontal="center" vertical="center"/>
    </xf>
    <xf numFmtId="0" fontId="23" fillId="0" borderId="2" xfId="0" applyFont="1" applyBorder="1" applyAlignment="1">
      <alignment horizontal="right" vertical="center"/>
    </xf>
    <xf numFmtId="43" fontId="21" fillId="0" borderId="2" xfId="0" applyNumberFormat="1" applyFont="1" applyBorder="1" applyAlignment="1">
      <alignment vertical="center"/>
    </xf>
    <xf numFmtId="0" fontId="22" fillId="4" borderId="2" xfId="0" applyFont="1" applyFill="1" applyBorder="1" applyAlignment="1">
      <alignment horizontal="left" vertical="center"/>
    </xf>
    <xf numFmtId="0" fontId="22" fillId="4" borderId="2" xfId="0" applyFont="1" applyFill="1" applyBorder="1" applyAlignment="1">
      <alignment horizontal="right" vertical="center"/>
    </xf>
    <xf numFmtId="43" fontId="22" fillId="4" borderId="2" xfId="0" applyNumberFormat="1" applyFont="1" applyFill="1" applyBorder="1" applyAlignment="1">
      <alignment horizontal="left" vertical="center"/>
    </xf>
    <xf numFmtId="0" fontId="23" fillId="0" borderId="2" xfId="0" applyFont="1" applyBorder="1" applyAlignment="1">
      <alignment horizontal="right" vertical="center" wrapText="1"/>
    </xf>
    <xf numFmtId="168" fontId="23" fillId="0" borderId="2" xfId="2" applyNumberFormat="1" applyFont="1" applyBorder="1" applyAlignment="1">
      <alignment horizontal="justify" vertical="center" wrapText="1"/>
    </xf>
    <xf numFmtId="43" fontId="12" fillId="0" borderId="2" xfId="0" applyNumberFormat="1" applyFont="1" applyBorder="1" applyAlignment="1">
      <alignment vertical="center"/>
    </xf>
    <xf numFmtId="0" fontId="22" fillId="4" borderId="2" xfId="0" applyFont="1" applyFill="1" applyBorder="1" applyAlignment="1">
      <alignment horizontal="justify" vertical="center" wrapText="1"/>
    </xf>
    <xf numFmtId="0" fontId="21" fillId="0" borderId="0" xfId="0" applyFont="1" applyAlignment="1">
      <alignment vertical="center"/>
    </xf>
    <xf numFmtId="0" fontId="22" fillId="4" borderId="2" xfId="0" applyFont="1" applyFill="1" applyBorder="1" applyAlignment="1">
      <alignment horizontal="left" vertical="center" wrapText="1"/>
    </xf>
    <xf numFmtId="0" fontId="22" fillId="4" borderId="2" xfId="0" applyFont="1" applyFill="1" applyBorder="1" applyAlignment="1">
      <alignment horizontal="right" vertical="center" wrapText="1"/>
    </xf>
    <xf numFmtId="43" fontId="22" fillId="4" borderId="2" xfId="0" applyNumberFormat="1" applyFont="1" applyFill="1" applyBorder="1" applyAlignment="1">
      <alignment horizontal="left" vertical="center" wrapText="1"/>
    </xf>
    <xf numFmtId="0" fontId="22" fillId="0" borderId="2" xfId="0" applyFont="1" applyBorder="1" applyAlignment="1">
      <alignment vertical="center" wrapText="1"/>
    </xf>
    <xf numFmtId="0" fontId="23" fillId="0" borderId="2" xfId="0" applyFont="1" applyBorder="1" applyAlignment="1">
      <alignment vertical="center" wrapText="1"/>
    </xf>
    <xf numFmtId="0" fontId="21" fillId="0" borderId="0" xfId="0" applyFont="1" applyAlignment="1">
      <alignment horizontal="left" vertical="center" wrapText="1"/>
    </xf>
    <xf numFmtId="1" fontId="23" fillId="0" borderId="2" xfId="0" applyNumberFormat="1" applyFont="1" applyBorder="1" applyAlignment="1">
      <alignment horizontal="right" vertical="center" wrapText="1"/>
    </xf>
    <xf numFmtId="0" fontId="21" fillId="0" borderId="2" xfId="0" applyFont="1" applyBorder="1" applyAlignment="1">
      <alignment horizontal="justify" vertical="center" wrapText="1"/>
    </xf>
    <xf numFmtId="3" fontId="23" fillId="0" borderId="2" xfId="3" applyNumberFormat="1" applyFont="1" applyBorder="1" applyAlignment="1">
      <alignment horizontal="right" vertical="center" wrapText="1"/>
    </xf>
    <xf numFmtId="0" fontId="23" fillId="4" borderId="2" xfId="0" applyFont="1" applyFill="1" applyBorder="1" applyAlignment="1">
      <alignment horizontal="justify" vertical="center" wrapText="1"/>
    </xf>
    <xf numFmtId="0" fontId="24" fillId="0" borderId="0" xfId="0" applyFont="1"/>
    <xf numFmtId="0" fontId="21" fillId="3" borderId="0" xfId="0" applyFont="1" applyFill="1"/>
    <xf numFmtId="3" fontId="23" fillId="0" borderId="2" xfId="0" applyNumberFormat="1" applyFont="1" applyBorder="1" applyAlignment="1">
      <alignment horizontal="justify" vertical="center"/>
    </xf>
    <xf numFmtId="0" fontId="21" fillId="0" borderId="2" xfId="0" applyFont="1" applyBorder="1" applyAlignment="1">
      <alignment horizontal="justify" vertical="center"/>
    </xf>
    <xf numFmtId="168" fontId="23" fillId="0" borderId="2" xfId="0" applyNumberFormat="1" applyFont="1" applyBorder="1" applyAlignment="1">
      <alignment horizontal="justify" vertical="center" wrapText="1"/>
    </xf>
    <xf numFmtId="0" fontId="13" fillId="0" borderId="0" xfId="0" applyFont="1"/>
    <xf numFmtId="0" fontId="22" fillId="14" borderId="2" xfId="0" applyFont="1" applyFill="1" applyBorder="1" applyAlignment="1">
      <alignment horizontal="right" vertical="center" wrapText="1"/>
    </xf>
    <xf numFmtId="0" fontId="13" fillId="14" borderId="2" xfId="0" applyFont="1" applyFill="1" applyBorder="1" applyAlignment="1">
      <alignment horizontal="justify" vertical="center" wrapText="1"/>
    </xf>
    <xf numFmtId="0" fontId="23" fillId="3" borderId="0" xfId="0" applyFont="1" applyFill="1" applyAlignment="1">
      <alignment horizontal="right"/>
    </xf>
    <xf numFmtId="164" fontId="21" fillId="3" borderId="0" xfId="0" applyNumberFormat="1" applyFont="1" applyFill="1" applyAlignment="1">
      <alignment vertical="center"/>
    </xf>
    <xf numFmtId="4" fontId="21" fillId="3" borderId="0" xfId="0" applyNumberFormat="1" applyFont="1" applyFill="1" applyAlignment="1">
      <alignment vertical="center" wrapText="1"/>
    </xf>
    <xf numFmtId="0" fontId="21" fillId="3" borderId="0" xfId="0" applyFont="1" applyFill="1" applyAlignment="1">
      <alignment vertical="center"/>
    </xf>
    <xf numFmtId="0" fontId="23" fillId="3" borderId="0" xfId="0" applyFont="1" applyFill="1"/>
    <xf numFmtId="0" fontId="23" fillId="0" borderId="0" xfId="0" applyFont="1" applyAlignment="1">
      <alignment horizontal="right"/>
    </xf>
    <xf numFmtId="43" fontId="21" fillId="3" borderId="0" xfId="0" applyNumberFormat="1" applyFont="1" applyFill="1"/>
    <xf numFmtId="171" fontId="21" fillId="3" borderId="0" xfId="0" applyNumberFormat="1" applyFont="1" applyFill="1"/>
    <xf numFmtId="164" fontId="21" fillId="3" borderId="0" xfId="0" applyNumberFormat="1" applyFont="1" applyFill="1"/>
    <xf numFmtId="0" fontId="7" fillId="0" borderId="0" xfId="0" applyFont="1"/>
    <xf numFmtId="0" fontId="2" fillId="4" borderId="8" xfId="0" applyFont="1" applyFill="1" applyBorder="1" applyAlignment="1">
      <alignment horizontal="center" vertical="center"/>
    </xf>
    <xf numFmtId="0" fontId="2" fillId="5" borderId="8" xfId="0" applyFont="1" applyFill="1" applyBorder="1" applyAlignment="1">
      <alignment horizontal="center" vertical="center"/>
    </xf>
    <xf numFmtId="0" fontId="2" fillId="0" borderId="12" xfId="0" applyFont="1" applyBorder="1" applyAlignment="1">
      <alignment vertical="center" wrapText="1"/>
    </xf>
    <xf numFmtId="0" fontId="2" fillId="0" borderId="6" xfId="0" applyFont="1" applyBorder="1" applyAlignment="1">
      <alignment horizontal="left" vertical="center"/>
    </xf>
    <xf numFmtId="0" fontId="2" fillId="0" borderId="8" xfId="0" applyFont="1" applyBorder="1" applyAlignment="1">
      <alignment horizontal="center" vertical="center"/>
    </xf>
    <xf numFmtId="0" fontId="2" fillId="0" borderId="8" xfId="0" applyFont="1" applyBorder="1" applyAlignment="1">
      <alignment vertical="center"/>
    </xf>
    <xf numFmtId="0" fontId="2" fillId="0" borderId="14" xfId="0" applyFont="1" applyBorder="1" applyAlignment="1">
      <alignment vertical="center" wrapText="1"/>
    </xf>
    <xf numFmtId="0" fontId="7" fillId="0" borderId="4" xfId="0" applyFont="1" applyBorder="1" applyAlignment="1">
      <alignment vertical="center" wrapText="1"/>
    </xf>
    <xf numFmtId="0" fontId="2" fillId="0" borderId="10" xfId="0" applyFont="1" applyBorder="1" applyAlignment="1">
      <alignment vertical="center" wrapText="1"/>
    </xf>
    <xf numFmtId="0" fontId="7" fillId="7" borderId="2" xfId="0" applyFont="1" applyFill="1" applyBorder="1" applyAlignment="1">
      <alignment horizontal="justify" vertical="center" wrapText="1"/>
    </xf>
    <xf numFmtId="0" fontId="7" fillId="7" borderId="2" xfId="0" applyFont="1" applyFill="1" applyBorder="1" applyAlignment="1">
      <alignment horizontal="center" vertical="center" wrapText="1"/>
    </xf>
    <xf numFmtId="0" fontId="7" fillId="7" borderId="2" xfId="0" applyFont="1" applyFill="1" applyBorder="1" applyAlignment="1">
      <alignment horizontal="center" vertical="center"/>
    </xf>
    <xf numFmtId="43" fontId="7" fillId="7" borderId="2" xfId="2" applyFont="1" applyFill="1" applyBorder="1" applyAlignment="1">
      <alignment horizontal="justify" vertical="center"/>
    </xf>
    <xf numFmtId="0" fontId="7" fillId="6" borderId="2" xfId="0" applyFont="1" applyFill="1" applyBorder="1" applyAlignment="1">
      <alignment horizontal="justify" vertical="center" wrapText="1"/>
    </xf>
    <xf numFmtId="0" fontId="7" fillId="6" borderId="2" xfId="0" applyFont="1" applyFill="1" applyBorder="1" applyAlignment="1">
      <alignment horizontal="center" vertical="center" wrapText="1"/>
    </xf>
    <xf numFmtId="0" fontId="7" fillId="6" borderId="2" xfId="0" applyFont="1" applyFill="1" applyBorder="1" applyAlignment="1">
      <alignment horizontal="center" vertical="center"/>
    </xf>
    <xf numFmtId="43" fontId="7" fillId="6" borderId="2" xfId="2" applyFont="1" applyFill="1" applyBorder="1" applyAlignment="1">
      <alignment horizontal="justify" vertical="center"/>
    </xf>
    <xf numFmtId="0" fontId="7" fillId="5" borderId="2" xfId="0" applyFont="1" applyFill="1" applyBorder="1" applyAlignment="1">
      <alignment horizontal="justify" vertical="center" wrapText="1"/>
    </xf>
    <xf numFmtId="0" fontId="7" fillId="5" borderId="2" xfId="0" applyFont="1" applyFill="1" applyBorder="1" applyAlignment="1">
      <alignment horizontal="center" vertical="center"/>
    </xf>
    <xf numFmtId="43" fontId="7" fillId="5" borderId="2" xfId="2" applyFont="1" applyFill="1" applyBorder="1" applyAlignment="1">
      <alignment horizontal="justify" vertical="center"/>
    </xf>
    <xf numFmtId="0" fontId="7" fillId="8" borderId="2" xfId="0" applyFont="1" applyFill="1" applyBorder="1" applyAlignment="1">
      <alignment horizontal="justify" vertical="center" wrapText="1"/>
    </xf>
    <xf numFmtId="0" fontId="7" fillId="8" borderId="2" xfId="0" applyFont="1" applyFill="1" applyBorder="1" applyAlignment="1">
      <alignment horizontal="center" vertical="center" wrapText="1"/>
    </xf>
    <xf numFmtId="0" fontId="7" fillId="8" borderId="2" xfId="0" applyFont="1" applyFill="1" applyBorder="1" applyAlignment="1">
      <alignment horizontal="center" vertical="center"/>
    </xf>
    <xf numFmtId="0" fontId="7" fillId="0" borderId="8" xfId="0" applyFont="1" applyBorder="1" applyAlignment="1">
      <alignment horizontal="justify" vertical="center" wrapText="1"/>
    </xf>
    <xf numFmtId="0" fontId="7" fillId="0" borderId="8" xfId="0" applyFont="1" applyBorder="1" applyAlignment="1">
      <alignment horizontal="center" vertical="center"/>
    </xf>
    <xf numFmtId="43" fontId="7" fillId="3" borderId="8" xfId="2" applyFont="1" applyFill="1" applyBorder="1" applyAlignment="1">
      <alignment horizontal="justify" vertical="center"/>
    </xf>
    <xf numFmtId="43" fontId="2" fillId="4" borderId="8" xfId="0" applyNumberFormat="1" applyFont="1" applyFill="1" applyBorder="1" applyAlignment="1">
      <alignment horizontal="left" vertical="center"/>
    </xf>
    <xf numFmtId="43" fontId="2" fillId="4" borderId="8" xfId="1" applyNumberFormat="1" applyFont="1" applyFill="1" applyBorder="1" applyAlignment="1">
      <alignment horizontal="center" vertical="center"/>
    </xf>
    <xf numFmtId="43" fontId="2" fillId="5" borderId="8" xfId="0" applyNumberFormat="1" applyFont="1" applyFill="1" applyBorder="1" applyAlignment="1">
      <alignment vertical="center"/>
    </xf>
    <xf numFmtId="43" fontId="2" fillId="5" borderId="8" xfId="1" applyNumberFormat="1" applyFont="1" applyFill="1" applyBorder="1" applyAlignment="1">
      <alignment horizontal="center" vertical="center"/>
    </xf>
    <xf numFmtId="0" fontId="2" fillId="0" borderId="3" xfId="0" applyFont="1" applyBorder="1" applyAlignment="1">
      <alignment vertical="center" wrapText="1"/>
    </xf>
    <xf numFmtId="43" fontId="2" fillId="6" borderId="8" xfId="0" applyNumberFormat="1" applyFont="1" applyFill="1" applyBorder="1" applyAlignment="1">
      <alignment vertical="center"/>
    </xf>
    <xf numFmtId="43" fontId="2" fillId="6" borderId="8" xfId="1" applyNumberFormat="1" applyFont="1" applyFill="1" applyBorder="1" applyAlignment="1">
      <alignment horizontal="center" vertical="center"/>
    </xf>
    <xf numFmtId="0" fontId="2" fillId="0" borderId="1" xfId="0" applyFont="1" applyBorder="1" applyAlignment="1">
      <alignment vertical="center" wrapText="1"/>
    </xf>
    <xf numFmtId="0" fontId="2" fillId="0" borderId="4" xfId="0" applyFont="1" applyBorder="1" applyAlignment="1">
      <alignment vertical="center" wrapText="1"/>
    </xf>
    <xf numFmtId="0" fontId="2" fillId="0" borderId="8" xfId="0" applyFont="1" applyBorder="1" applyAlignment="1">
      <alignment vertical="center" wrapText="1"/>
    </xf>
    <xf numFmtId="0" fontId="2" fillId="0" borderId="7" xfId="0" applyFont="1" applyBorder="1" applyAlignment="1">
      <alignment vertical="center" wrapText="1"/>
    </xf>
    <xf numFmtId="0" fontId="2" fillId="7" borderId="6" xfId="0" applyFont="1" applyFill="1" applyBorder="1" applyAlignment="1">
      <alignment horizontal="justify" vertical="center" wrapText="1"/>
    </xf>
    <xf numFmtId="43" fontId="2" fillId="7" borderId="8" xfId="0" applyNumberFormat="1" applyFont="1" applyFill="1" applyBorder="1" applyAlignment="1">
      <alignment vertical="center"/>
    </xf>
    <xf numFmtId="43" fontId="2" fillId="7" borderId="8" xfId="1" applyNumberFormat="1" applyFont="1" applyFill="1" applyBorder="1" applyAlignment="1">
      <alignment horizontal="center" vertical="center"/>
    </xf>
    <xf numFmtId="0" fontId="7" fillId="0" borderId="7" xfId="0" applyFont="1" applyBorder="1" applyAlignment="1">
      <alignment horizontal="justify" vertical="center" wrapText="1"/>
    </xf>
    <xf numFmtId="0" fontId="9" fillId="0" borderId="4" xfId="0" applyFont="1" applyBorder="1" applyAlignment="1">
      <alignment horizontal="center" vertical="center"/>
    </xf>
    <xf numFmtId="9" fontId="7" fillId="0" borderId="4" xfId="0" applyNumberFormat="1" applyFont="1" applyBorder="1" applyAlignment="1">
      <alignment horizontal="center" vertical="center"/>
    </xf>
    <xf numFmtId="0" fontId="7" fillId="9" borderId="6" xfId="0" applyFont="1" applyFill="1" applyBorder="1" applyAlignment="1">
      <alignment horizontal="justify" vertical="center" wrapText="1"/>
    </xf>
    <xf numFmtId="0" fontId="7" fillId="9" borderId="8" xfId="0" applyFont="1" applyFill="1" applyBorder="1" applyAlignment="1">
      <alignment horizontal="center" vertical="center" wrapText="1"/>
    </xf>
    <xf numFmtId="0" fontId="7" fillId="9" borderId="8" xfId="0" applyFont="1" applyFill="1" applyBorder="1" applyAlignment="1">
      <alignment horizontal="justify" vertical="center" wrapText="1"/>
    </xf>
    <xf numFmtId="0" fontId="7" fillId="9" borderId="8" xfId="0" applyFont="1" applyFill="1" applyBorder="1" applyAlignment="1">
      <alignment horizontal="center" vertical="center"/>
    </xf>
    <xf numFmtId="2" fontId="7" fillId="9" borderId="8" xfId="0" applyNumberFormat="1" applyFont="1" applyFill="1" applyBorder="1" applyAlignment="1">
      <alignment horizontal="center" vertical="center"/>
    </xf>
    <xf numFmtId="0" fontId="7" fillId="9" borderId="8" xfId="0" applyFont="1" applyFill="1" applyBorder="1" applyAlignment="1">
      <alignment horizontal="justify" vertical="center"/>
    </xf>
    <xf numFmtId="43" fontId="7" fillId="9" borderId="2" xfId="2" applyFont="1" applyFill="1" applyBorder="1" applyAlignment="1">
      <alignment horizontal="justify" vertical="center"/>
    </xf>
    <xf numFmtId="2" fontId="7" fillId="0" borderId="8" xfId="0" applyNumberFormat="1" applyFont="1" applyBorder="1" applyAlignment="1">
      <alignment horizontal="center" vertical="center"/>
    </xf>
    <xf numFmtId="43" fontId="7" fillId="0" borderId="8" xfId="1" applyNumberFormat="1" applyFont="1" applyBorder="1" applyAlignment="1">
      <alignment horizontal="center" vertical="center"/>
    </xf>
    <xf numFmtId="43" fontId="7" fillId="0" borderId="7" xfId="2" applyFont="1" applyBorder="1" applyAlignment="1">
      <alignment horizontal="justify" vertical="center"/>
    </xf>
    <xf numFmtId="0" fontId="2" fillId="9" borderId="8" xfId="0" applyFont="1" applyFill="1" applyBorder="1" applyAlignment="1">
      <alignment horizontal="justify" vertical="center" wrapText="1"/>
    </xf>
    <xf numFmtId="0" fontId="2" fillId="9" borderId="8" xfId="0" applyFont="1" applyFill="1" applyBorder="1" applyAlignment="1">
      <alignment vertical="center"/>
    </xf>
    <xf numFmtId="2" fontId="2" fillId="9" borderId="8" xfId="0" applyNumberFormat="1" applyFont="1" applyFill="1" applyBorder="1" applyAlignment="1">
      <alignment vertical="center"/>
    </xf>
    <xf numFmtId="43" fontId="2" fillId="9" borderId="8" xfId="0" applyNumberFormat="1" applyFont="1" applyFill="1" applyBorder="1" applyAlignment="1">
      <alignment vertical="center"/>
    </xf>
    <xf numFmtId="43" fontId="2" fillId="9" borderId="8" xfId="1" applyNumberFormat="1" applyFont="1" applyFill="1" applyBorder="1" applyAlignment="1">
      <alignment horizontal="center" vertical="center"/>
    </xf>
    <xf numFmtId="2" fontId="7" fillId="7" borderId="2" xfId="0" applyNumberFormat="1" applyFont="1" applyFill="1" applyBorder="1" applyAlignment="1">
      <alignment horizontal="center" vertical="center"/>
    </xf>
    <xf numFmtId="0" fontId="7" fillId="6" borderId="8" xfId="0" applyFont="1" applyFill="1" applyBorder="1" applyAlignment="1">
      <alignment horizontal="justify" vertical="center" wrapText="1"/>
    </xf>
    <xf numFmtId="0" fontId="7" fillId="6" borderId="8" xfId="0" applyFont="1" applyFill="1" applyBorder="1" applyAlignment="1">
      <alignment horizontal="center" vertical="center" wrapText="1"/>
    </xf>
    <xf numFmtId="0" fontId="7" fillId="6" borderId="8" xfId="0" applyFont="1" applyFill="1" applyBorder="1" applyAlignment="1">
      <alignment horizontal="center" vertical="center"/>
    </xf>
    <xf numFmtId="2" fontId="7" fillId="6" borderId="8" xfId="0" applyNumberFormat="1" applyFont="1" applyFill="1" applyBorder="1" applyAlignment="1">
      <alignment horizontal="center" vertical="center"/>
    </xf>
    <xf numFmtId="0" fontId="7" fillId="6" borderId="8" xfId="0" applyFont="1" applyFill="1" applyBorder="1" applyAlignment="1">
      <alignment horizontal="justify" vertical="center"/>
    </xf>
    <xf numFmtId="43" fontId="7" fillId="6" borderId="8" xfId="2" applyFont="1" applyFill="1" applyBorder="1" applyAlignment="1">
      <alignment horizontal="justify" vertical="center"/>
    </xf>
    <xf numFmtId="0" fontId="7" fillId="0" borderId="8" xfId="0" applyFont="1" applyBorder="1" applyAlignment="1">
      <alignment horizontal="justify" vertical="center"/>
    </xf>
    <xf numFmtId="2" fontId="2" fillId="6" borderId="8" xfId="0" applyNumberFormat="1" applyFont="1" applyFill="1" applyBorder="1" applyAlignment="1">
      <alignment vertical="center"/>
    </xf>
    <xf numFmtId="0" fontId="7" fillId="0" borderId="8" xfId="0" applyFont="1" applyBorder="1" applyAlignment="1">
      <alignment vertical="center" wrapText="1"/>
    </xf>
    <xf numFmtId="0" fontId="7" fillId="0" borderId="7" xfId="0" applyFont="1" applyBorder="1" applyAlignment="1">
      <alignment vertical="center" wrapText="1"/>
    </xf>
    <xf numFmtId="2" fontId="2" fillId="7" borderId="8" xfId="0" applyNumberFormat="1" applyFont="1" applyFill="1" applyBorder="1" applyAlignment="1">
      <alignment vertical="center"/>
    </xf>
    <xf numFmtId="0" fontId="7" fillId="7" borderId="4" xfId="0" applyFont="1" applyFill="1" applyBorder="1" applyAlignment="1">
      <alignment horizontal="justify" vertical="center" wrapText="1"/>
    </xf>
    <xf numFmtId="0" fontId="7" fillId="7" borderId="4" xfId="0" applyFont="1" applyFill="1" applyBorder="1" applyAlignment="1">
      <alignment horizontal="center" vertical="center" wrapText="1"/>
    </xf>
    <xf numFmtId="0" fontId="7" fillId="6" borderId="7" xfId="0" applyFont="1" applyFill="1" applyBorder="1" applyAlignment="1">
      <alignment horizontal="justify" vertical="center" wrapText="1"/>
    </xf>
    <xf numFmtId="0" fontId="7" fillId="6" borderId="6" xfId="0" applyFont="1" applyFill="1" applyBorder="1" applyAlignment="1">
      <alignment horizontal="center" vertical="center" wrapText="1"/>
    </xf>
    <xf numFmtId="0" fontId="7" fillId="6" borderId="7" xfId="0" applyFont="1" applyFill="1" applyBorder="1" applyAlignment="1">
      <alignment horizontal="center" vertical="center" wrapText="1"/>
    </xf>
    <xf numFmtId="0" fontId="7" fillId="6" borderId="4" xfId="0" applyFont="1" applyFill="1" applyBorder="1" applyAlignment="1">
      <alignment horizontal="justify" vertical="center" wrapText="1"/>
    </xf>
    <xf numFmtId="0" fontId="7" fillId="6" borderId="4" xfId="0" applyFont="1" applyFill="1" applyBorder="1" applyAlignment="1">
      <alignment horizontal="center" vertical="center" wrapText="1"/>
    </xf>
    <xf numFmtId="2" fontId="7" fillId="6" borderId="2" xfId="0" applyNumberFormat="1" applyFont="1" applyFill="1" applyBorder="1" applyAlignment="1">
      <alignment horizontal="center" vertical="center"/>
    </xf>
    <xf numFmtId="0" fontId="7" fillId="0" borderId="12" xfId="0" applyFont="1" applyBorder="1" applyAlignment="1">
      <alignment horizontal="justify" vertical="center" wrapText="1"/>
    </xf>
    <xf numFmtId="0" fontId="2" fillId="6" borderId="7" xfId="0" applyFont="1" applyFill="1" applyBorder="1" applyAlignment="1">
      <alignment horizontal="justify" vertical="center" wrapText="1"/>
    </xf>
    <xf numFmtId="0" fontId="2" fillId="10" borderId="4" xfId="0" applyFont="1" applyFill="1" applyBorder="1" applyAlignment="1">
      <alignment horizontal="justify" vertical="center" wrapText="1"/>
    </xf>
    <xf numFmtId="2" fontId="2" fillId="10" borderId="8" xfId="0" applyNumberFormat="1" applyFont="1" applyFill="1" applyBorder="1" applyAlignment="1">
      <alignment vertical="center"/>
    </xf>
    <xf numFmtId="43" fontId="2" fillId="10" borderId="8" xfId="0" applyNumberFormat="1" applyFont="1" applyFill="1" applyBorder="1" applyAlignment="1">
      <alignment vertical="center"/>
    </xf>
    <xf numFmtId="43" fontId="2" fillId="10" borderId="8" xfId="1" applyNumberFormat="1" applyFont="1" applyFill="1" applyBorder="1" applyAlignment="1">
      <alignment horizontal="center" vertical="center"/>
    </xf>
    <xf numFmtId="1" fontId="7" fillId="0" borderId="2" xfId="0" applyNumberFormat="1" applyFont="1" applyBorder="1" applyAlignment="1">
      <alignment horizontal="center" vertical="center" wrapText="1"/>
    </xf>
    <xf numFmtId="0" fontId="7" fillId="7" borderId="4" xfId="0" applyFont="1" applyFill="1" applyBorder="1" applyAlignment="1">
      <alignment horizontal="center" vertical="center"/>
    </xf>
    <xf numFmtId="1" fontId="7" fillId="7" borderId="4" xfId="0" applyNumberFormat="1" applyFont="1" applyFill="1" applyBorder="1" applyAlignment="1">
      <alignment horizontal="center" vertical="center"/>
    </xf>
    <xf numFmtId="43" fontId="7" fillId="7" borderId="4" xfId="2" applyFont="1" applyFill="1" applyBorder="1" applyAlignment="1">
      <alignment horizontal="justify" vertical="center"/>
    </xf>
    <xf numFmtId="1" fontId="7" fillId="6" borderId="2" xfId="0" applyNumberFormat="1" applyFont="1" applyFill="1" applyBorder="1" applyAlignment="1">
      <alignment horizontal="center" vertical="center"/>
    </xf>
    <xf numFmtId="1" fontId="7" fillId="5" borderId="2" xfId="0" applyNumberFormat="1" applyFont="1" applyFill="1" applyBorder="1" applyAlignment="1">
      <alignment horizontal="center" vertical="center"/>
    </xf>
    <xf numFmtId="1" fontId="7" fillId="8" borderId="2" xfId="0" applyNumberFormat="1" applyFont="1" applyFill="1" applyBorder="1" applyAlignment="1">
      <alignment horizontal="center" vertical="center"/>
    </xf>
    <xf numFmtId="43" fontId="2" fillId="4" borderId="12" xfId="0" applyNumberFormat="1" applyFont="1" applyFill="1" applyBorder="1" applyAlignment="1">
      <alignment horizontal="left" vertical="center"/>
    </xf>
    <xf numFmtId="43" fontId="2" fillId="4" borderId="12" xfId="1" applyNumberFormat="1" applyFont="1" applyFill="1" applyBorder="1" applyAlignment="1">
      <alignment horizontal="center" vertical="center"/>
    </xf>
    <xf numFmtId="1" fontId="2" fillId="5" borderId="8" xfId="0" applyNumberFormat="1" applyFont="1" applyFill="1" applyBorder="1" applyAlignment="1">
      <alignment vertical="center"/>
    </xf>
    <xf numFmtId="0" fontId="2" fillId="6" borderId="8" xfId="0" applyFont="1" applyFill="1" applyBorder="1" applyAlignment="1">
      <alignment horizontal="justify" vertical="center" wrapText="1"/>
    </xf>
    <xf numFmtId="1" fontId="2" fillId="6" borderId="8" xfId="0" applyNumberFormat="1" applyFont="1" applyFill="1" applyBorder="1" applyAlignment="1">
      <alignment vertical="center"/>
    </xf>
    <xf numFmtId="0" fontId="2" fillId="0" borderId="8" xfId="0" applyFont="1" applyBorder="1" applyAlignment="1">
      <alignment horizontal="center" vertical="center" wrapText="1"/>
    </xf>
    <xf numFmtId="1" fontId="2" fillId="7" borderId="8" xfId="0" applyNumberFormat="1" applyFont="1" applyFill="1" applyBorder="1" applyAlignment="1">
      <alignment vertical="center"/>
    </xf>
    <xf numFmtId="43" fontId="7" fillId="0" borderId="6" xfId="1" applyNumberFormat="1" applyFont="1" applyBorder="1" applyAlignment="1">
      <alignment horizontal="center" vertical="center"/>
    </xf>
    <xf numFmtId="0" fontId="2" fillId="0" borderId="9" xfId="0" applyFont="1" applyBorder="1" applyAlignment="1">
      <alignment vertical="center" wrapText="1"/>
    </xf>
    <xf numFmtId="43" fontId="7" fillId="6" borderId="2" xfId="1" applyNumberFormat="1" applyFont="1" applyFill="1" applyBorder="1" applyAlignment="1">
      <alignment horizontal="center" vertical="center"/>
    </xf>
    <xf numFmtId="2" fontId="7" fillId="5" borderId="2" xfId="0" applyNumberFormat="1" applyFont="1" applyFill="1" applyBorder="1" applyAlignment="1">
      <alignment horizontal="center" vertical="center"/>
    </xf>
    <xf numFmtId="43" fontId="7" fillId="5" borderId="2" xfId="1" applyNumberFormat="1" applyFont="1" applyFill="1" applyBorder="1" applyAlignment="1">
      <alignment horizontal="center" vertical="center"/>
    </xf>
    <xf numFmtId="2" fontId="7" fillId="8" borderId="2" xfId="0" applyNumberFormat="1" applyFont="1" applyFill="1" applyBorder="1" applyAlignment="1">
      <alignment horizontal="center" vertical="center"/>
    </xf>
    <xf numFmtId="43" fontId="7" fillId="8" borderId="2" xfId="1" applyNumberFormat="1" applyFont="1" applyFill="1" applyBorder="1" applyAlignment="1">
      <alignment horizontal="center" vertical="center"/>
    </xf>
    <xf numFmtId="2" fontId="2" fillId="5" borderId="8" xfId="0" applyNumberFormat="1" applyFont="1" applyFill="1" applyBorder="1" applyAlignment="1">
      <alignment vertical="center"/>
    </xf>
    <xf numFmtId="0" fontId="7" fillId="0" borderId="2" xfId="1" applyNumberFormat="1" applyFont="1" applyBorder="1" applyAlignment="1">
      <alignment horizontal="center" vertical="center" wrapText="1"/>
    </xf>
    <xf numFmtId="43" fontId="7" fillId="0" borderId="2" xfId="1" applyNumberFormat="1" applyFont="1" applyBorder="1" applyAlignment="1">
      <alignment horizontal="center" vertical="center" wrapText="1"/>
    </xf>
    <xf numFmtId="43" fontId="7" fillId="3" borderId="6" xfId="2" applyFont="1" applyFill="1" applyBorder="1" applyAlignment="1">
      <alignment horizontal="justify" vertical="center"/>
    </xf>
    <xf numFmtId="1" fontId="7" fillId="7" borderId="2" xfId="0" applyNumberFormat="1" applyFont="1" applyFill="1" applyBorder="1" applyAlignment="1">
      <alignment horizontal="center" vertical="center" wrapText="1"/>
    </xf>
    <xf numFmtId="43" fontId="7" fillId="3" borderId="2" xfId="2" applyFont="1" applyFill="1" applyBorder="1" applyAlignment="1">
      <alignment horizontal="justify" vertical="center"/>
    </xf>
    <xf numFmtId="43" fontId="7" fillId="0" borderId="2" xfId="1" applyNumberFormat="1" applyFont="1" applyBorder="1" applyAlignment="1">
      <alignment horizontal="center" vertical="center"/>
    </xf>
    <xf numFmtId="0" fontId="7" fillId="0" borderId="6" xfId="0" applyFont="1" applyBorder="1" applyAlignment="1">
      <alignment horizontal="center" vertical="center" wrapText="1"/>
    </xf>
    <xf numFmtId="0" fontId="2" fillId="7" borderId="2" xfId="0" applyFont="1" applyFill="1" applyBorder="1" applyAlignment="1">
      <alignment horizontal="justify" vertical="center" wrapText="1"/>
    </xf>
    <xf numFmtId="43" fontId="7" fillId="0" borderId="6" xfId="2" applyFont="1" applyBorder="1"/>
    <xf numFmtId="43" fontId="7" fillId="0" borderId="6" xfId="1" applyNumberFormat="1" applyFont="1" applyBorder="1" applyAlignment="1">
      <alignment horizontal="center" vertical="center" wrapText="1"/>
    </xf>
    <xf numFmtId="43" fontId="7" fillId="0" borderId="2" xfId="0" applyNumberFormat="1" applyFont="1" applyBorder="1"/>
    <xf numFmtId="168" fontId="7" fillId="7" borderId="2" xfId="0" applyNumberFormat="1" applyFont="1" applyFill="1" applyBorder="1" applyAlignment="1">
      <alignment horizontal="justify" vertical="center" wrapText="1"/>
    </xf>
    <xf numFmtId="168" fontId="7" fillId="7" borderId="2" xfId="0" applyNumberFormat="1" applyFont="1" applyFill="1" applyBorder="1" applyAlignment="1">
      <alignment horizontal="center" vertical="center" wrapText="1"/>
    </xf>
    <xf numFmtId="1" fontId="7" fillId="6" borderId="2" xfId="0" applyNumberFormat="1" applyFont="1" applyFill="1" applyBorder="1" applyAlignment="1">
      <alignment horizontal="center" vertical="center" wrapText="1"/>
    </xf>
    <xf numFmtId="0" fontId="7" fillId="5" borderId="7" xfId="0" applyFont="1" applyFill="1" applyBorder="1" applyAlignment="1">
      <alignment horizontal="justify" vertical="center" wrapText="1"/>
    </xf>
    <xf numFmtId="1" fontId="7" fillId="5" borderId="2" xfId="0" applyNumberFormat="1" applyFont="1" applyFill="1" applyBorder="1" applyAlignment="1">
      <alignment horizontal="center" vertical="center" wrapText="1"/>
    </xf>
    <xf numFmtId="1" fontId="7" fillId="0" borderId="8" xfId="0" applyNumberFormat="1" applyFont="1" applyBorder="1" applyAlignment="1">
      <alignment horizontal="center" vertical="center" wrapText="1"/>
    </xf>
    <xf numFmtId="0" fontId="2" fillId="6" borderId="2" xfId="0" applyFont="1" applyFill="1" applyBorder="1" applyAlignment="1">
      <alignment horizontal="justify" vertical="center" wrapText="1"/>
    </xf>
    <xf numFmtId="43" fontId="7" fillId="0" borderId="2" xfId="0" applyNumberFormat="1" applyFont="1" applyBorder="1" applyAlignment="1">
      <alignment horizontal="right" vertical="center" wrapText="1"/>
    </xf>
    <xf numFmtId="0" fontId="7" fillId="0" borderId="2" xfId="2" applyNumberFormat="1" applyFont="1" applyBorder="1" applyAlignment="1">
      <alignment horizontal="center" vertical="center" wrapText="1"/>
    </xf>
    <xf numFmtId="1" fontId="7" fillId="0" borderId="2" xfId="2" applyNumberFormat="1" applyFont="1" applyBorder="1" applyAlignment="1">
      <alignment horizontal="center" vertical="center" wrapText="1"/>
    </xf>
    <xf numFmtId="0" fontId="9" fillId="0" borderId="2" xfId="0" applyFont="1" applyBorder="1" applyAlignment="1">
      <alignment horizontal="justify" vertical="center" wrapText="1"/>
    </xf>
    <xf numFmtId="3" fontId="7" fillId="0" borderId="2" xfId="0" applyNumberFormat="1" applyFont="1" applyBorder="1" applyAlignment="1">
      <alignment horizontal="center" vertical="center" wrapText="1"/>
    </xf>
    <xf numFmtId="43" fontId="7" fillId="0" borderId="6" xfId="2" applyFont="1" applyBorder="1" applyAlignment="1">
      <alignment vertical="center"/>
    </xf>
    <xf numFmtId="43" fontId="7" fillId="0" borderId="4" xfId="2" applyFont="1" applyBorder="1" applyAlignment="1">
      <alignment horizontal="justify" vertical="center"/>
    </xf>
    <xf numFmtId="1" fontId="4" fillId="0" borderId="6" xfId="0" applyNumberFormat="1" applyFont="1" applyBorder="1" applyAlignment="1">
      <alignment horizontal="center" vertical="center" wrapText="1"/>
    </xf>
    <xf numFmtId="0" fontId="7" fillId="0" borderId="12" xfId="0" applyFont="1" applyBorder="1" applyAlignment="1">
      <alignment horizontal="center" vertical="center"/>
    </xf>
    <xf numFmtId="0" fontId="2" fillId="7" borderId="12" xfId="0" applyFont="1" applyFill="1" applyBorder="1" applyAlignment="1">
      <alignment vertical="center"/>
    </xf>
    <xf numFmtId="2" fontId="2" fillId="7" borderId="12" xfId="0" applyNumberFormat="1" applyFont="1" applyFill="1" applyBorder="1" applyAlignment="1">
      <alignment vertical="center"/>
    </xf>
    <xf numFmtId="43" fontId="2" fillId="7" borderId="8" xfId="0" applyNumberFormat="1" applyFont="1" applyFill="1" applyBorder="1" applyAlignment="1">
      <alignment vertical="center" wrapText="1"/>
    </xf>
    <xf numFmtId="0" fontId="7" fillId="0" borderId="8" xfId="0" applyFont="1" applyBorder="1" applyAlignment="1">
      <alignment horizontal="left" vertical="center" wrapText="1"/>
    </xf>
    <xf numFmtId="0" fontId="2" fillId="10" borderId="8" xfId="0" applyFont="1" applyFill="1" applyBorder="1" applyAlignment="1">
      <alignment horizontal="left" vertical="center" wrapText="1"/>
    </xf>
    <xf numFmtId="2" fontId="7" fillId="7" borderId="10" xfId="2" applyNumberFormat="1" applyFont="1" applyFill="1" applyBorder="1" applyAlignment="1">
      <alignment horizontal="center" vertical="center"/>
    </xf>
    <xf numFmtId="0" fontId="7" fillId="7" borderId="2" xfId="2" applyNumberFormat="1" applyFont="1" applyFill="1" applyBorder="1" applyAlignment="1">
      <alignment horizontal="center" vertical="center"/>
    </xf>
    <xf numFmtId="2" fontId="7" fillId="0" borderId="8" xfId="2" applyNumberFormat="1" applyFont="1" applyBorder="1" applyAlignment="1">
      <alignment horizontal="center" vertical="center"/>
    </xf>
    <xf numFmtId="0" fontId="7" fillId="0" borderId="12" xfId="2" applyNumberFormat="1" applyFont="1" applyBorder="1" applyAlignment="1">
      <alignment horizontal="center" vertical="center"/>
    </xf>
    <xf numFmtId="43" fontId="7" fillId="0" borderId="15" xfId="2" applyFont="1" applyBorder="1" applyAlignment="1">
      <alignment horizontal="justify" vertical="center"/>
    </xf>
    <xf numFmtId="43" fontId="7" fillId="0" borderId="15" xfId="1" applyNumberFormat="1" applyFont="1" applyBorder="1" applyAlignment="1">
      <alignment horizontal="center" vertical="center"/>
    </xf>
    <xf numFmtId="43" fontId="2" fillId="7" borderId="12" xfId="0" applyNumberFormat="1" applyFont="1" applyFill="1" applyBorder="1" applyAlignment="1">
      <alignment vertical="center"/>
    </xf>
    <xf numFmtId="43" fontId="2" fillId="7" borderId="12" xfId="1" applyNumberFormat="1" applyFont="1" applyFill="1" applyBorder="1" applyAlignment="1">
      <alignment horizontal="center" vertical="center"/>
    </xf>
    <xf numFmtId="0" fontId="2" fillId="6" borderId="12" xfId="0" applyFont="1" applyFill="1" applyBorder="1" applyAlignment="1">
      <alignment vertical="center"/>
    </xf>
    <xf numFmtId="2" fontId="2" fillId="6" borderId="12" xfId="0" applyNumberFormat="1" applyFont="1" applyFill="1" applyBorder="1" applyAlignment="1">
      <alignment vertical="center"/>
    </xf>
    <xf numFmtId="43" fontId="2" fillId="6" borderId="12" xfId="0" applyNumberFormat="1" applyFont="1" applyFill="1" applyBorder="1" applyAlignment="1">
      <alignment vertical="center"/>
    </xf>
    <xf numFmtId="43" fontId="2" fillId="6" borderId="12" xfId="1" applyNumberFormat="1" applyFont="1" applyFill="1" applyBorder="1" applyAlignment="1">
      <alignment horizontal="center" vertical="center"/>
    </xf>
    <xf numFmtId="0" fontId="2" fillId="0" borderId="12" xfId="0" applyFont="1" applyBorder="1" applyAlignment="1">
      <alignment horizontal="center" vertical="center" wrapText="1"/>
    </xf>
    <xf numFmtId="0" fontId="2" fillId="0" borderId="12" xfId="0" applyFont="1" applyBorder="1" applyAlignment="1">
      <alignment horizontal="left" vertical="center" wrapText="1"/>
    </xf>
    <xf numFmtId="2" fontId="2" fillId="7" borderId="8" xfId="0" applyNumberFormat="1" applyFont="1" applyFill="1" applyBorder="1" applyAlignment="1">
      <alignment horizontal="left" vertical="center"/>
    </xf>
    <xf numFmtId="0" fontId="7" fillId="5" borderId="4" xfId="0" applyFont="1" applyFill="1" applyBorder="1" applyAlignment="1">
      <alignment horizontal="justify" vertical="center" wrapText="1"/>
    </xf>
    <xf numFmtId="0" fontId="7" fillId="5" borderId="4" xfId="0" applyFont="1" applyFill="1" applyBorder="1" applyAlignment="1">
      <alignment horizontal="center" vertical="center" wrapText="1"/>
    </xf>
    <xf numFmtId="2" fontId="7" fillId="7" borderId="4" xfId="0" applyNumberFormat="1" applyFont="1" applyFill="1" applyBorder="1" applyAlignment="1">
      <alignment horizontal="center" vertical="center"/>
    </xf>
    <xf numFmtId="0" fontId="7" fillId="0" borderId="15" xfId="0" applyFont="1" applyBorder="1" applyAlignment="1">
      <alignment horizontal="justify" vertical="center" wrapText="1"/>
    </xf>
    <xf numFmtId="0" fontId="7" fillId="0" borderId="15" xfId="0" applyFont="1" applyBorder="1" applyAlignment="1">
      <alignment horizontal="center" vertical="center"/>
    </xf>
    <xf numFmtId="2" fontId="7" fillId="0" borderId="15" xfId="0" applyNumberFormat="1" applyFont="1" applyBorder="1" applyAlignment="1">
      <alignment horizontal="center" vertical="center"/>
    </xf>
    <xf numFmtId="43" fontId="7" fillId="3" borderId="15" xfId="2" applyFont="1" applyFill="1" applyBorder="1" applyAlignment="1">
      <alignment horizontal="justify" vertical="center"/>
    </xf>
    <xf numFmtId="0" fontId="2" fillId="6" borderId="2" xfId="0" applyFont="1" applyFill="1" applyBorder="1" applyAlignment="1">
      <alignment horizontal="center" vertical="center" wrapText="1"/>
    </xf>
    <xf numFmtId="0" fontId="7" fillId="7" borderId="2" xfId="0" applyFont="1" applyFill="1" applyBorder="1" applyAlignment="1">
      <alignment horizontal="justify" vertical="center"/>
    </xf>
    <xf numFmtId="0" fontId="7" fillId="0" borderId="5" xfId="0" applyFont="1" applyBorder="1" applyAlignment="1">
      <alignment horizontal="center" vertical="center" wrapText="1"/>
    </xf>
    <xf numFmtId="0" fontId="7" fillId="8" borderId="6" xfId="0" applyFont="1" applyFill="1" applyBorder="1" applyAlignment="1">
      <alignment horizontal="center" vertical="center" wrapText="1"/>
    </xf>
    <xf numFmtId="43" fontId="7" fillId="3" borderId="12" xfId="2" applyFont="1" applyFill="1" applyBorder="1" applyAlignment="1">
      <alignment horizontal="justify" vertical="center"/>
    </xf>
    <xf numFmtId="0" fontId="2" fillId="6" borderId="8" xfId="0" applyFont="1" applyFill="1" applyBorder="1" applyAlignment="1">
      <alignment horizontal="center" vertical="center" wrapText="1"/>
    </xf>
    <xf numFmtId="43" fontId="2" fillId="13" borderId="8" xfId="0" applyNumberFormat="1" applyFont="1" applyFill="1" applyBorder="1" applyAlignment="1">
      <alignment vertical="center"/>
    </xf>
    <xf numFmtId="0" fontId="2" fillId="0" borderId="2" xfId="0" applyFont="1" applyBorder="1" applyAlignment="1">
      <alignment horizontal="justify" vertical="center"/>
    </xf>
    <xf numFmtId="0" fontId="2" fillId="0" borderId="2" xfId="0" applyFont="1" applyBorder="1" applyAlignment="1">
      <alignment horizontal="center" vertical="center"/>
    </xf>
    <xf numFmtId="3" fontId="7" fillId="7" borderId="2" xfId="0" applyNumberFormat="1" applyFont="1" applyFill="1" applyBorder="1" applyAlignment="1">
      <alignment horizontal="center" vertical="center" wrapText="1"/>
    </xf>
    <xf numFmtId="0" fontId="2" fillId="0" borderId="15" xfId="0" applyFont="1" applyBorder="1" applyAlignment="1">
      <alignment horizontal="justify" vertical="center"/>
    </xf>
    <xf numFmtId="3" fontId="7" fillId="0" borderId="8" xfId="0" applyNumberFormat="1" applyFont="1" applyBorder="1" applyAlignment="1">
      <alignment horizontal="center" vertical="center" wrapText="1"/>
    </xf>
    <xf numFmtId="0" fontId="2" fillId="0" borderId="10" xfId="0" applyFont="1" applyBorder="1" applyAlignment="1">
      <alignment horizontal="justify" vertical="center"/>
    </xf>
    <xf numFmtId="0" fontId="2" fillId="0" borderId="10" xfId="0" applyFont="1" applyBorder="1" applyAlignment="1">
      <alignment horizontal="center" vertical="center"/>
    </xf>
    <xf numFmtId="3" fontId="2" fillId="7" borderId="8" xfId="0" applyNumberFormat="1" applyFont="1" applyFill="1" applyBorder="1" applyAlignment="1">
      <alignment vertical="center"/>
    </xf>
    <xf numFmtId="3" fontId="7" fillId="0" borderId="2" xfId="0" applyNumberFormat="1" applyFont="1" applyBorder="1" applyAlignment="1">
      <alignment horizontal="center" vertical="center"/>
    </xf>
    <xf numFmtId="3" fontId="7" fillId="7" borderId="2" xfId="0" applyNumberFormat="1" applyFont="1" applyFill="1" applyBorder="1" applyAlignment="1">
      <alignment horizontal="center" vertical="center"/>
    </xf>
    <xf numFmtId="3" fontId="7" fillId="0" borderId="8" xfId="0" applyNumberFormat="1" applyFont="1" applyBorder="1" applyAlignment="1">
      <alignment horizontal="center" vertical="center"/>
    </xf>
    <xf numFmtId="0" fontId="2" fillId="6" borderId="2" xfId="0" applyFont="1" applyFill="1" applyBorder="1" applyAlignment="1">
      <alignment horizontal="justify" vertical="center"/>
    </xf>
    <xf numFmtId="0" fontId="2" fillId="6" borderId="2" xfId="0" applyFont="1" applyFill="1" applyBorder="1" applyAlignment="1">
      <alignment horizontal="center" vertical="center"/>
    </xf>
    <xf numFmtId="3" fontId="7" fillId="6" borderId="2" xfId="0" applyNumberFormat="1" applyFont="1" applyFill="1" applyBorder="1" applyAlignment="1">
      <alignment horizontal="center" vertical="center"/>
    </xf>
    <xf numFmtId="3" fontId="2" fillId="6" borderId="8" xfId="0" applyNumberFormat="1" applyFont="1" applyFill="1" applyBorder="1" applyAlignment="1">
      <alignment vertical="center"/>
    </xf>
    <xf numFmtId="0" fontId="2" fillId="0" borderId="5" xfId="0" applyFont="1" applyBorder="1" applyAlignment="1">
      <alignment vertical="center" wrapText="1"/>
    </xf>
    <xf numFmtId="0" fontId="2" fillId="0" borderId="11" xfId="0" applyFont="1" applyBorder="1" applyAlignment="1">
      <alignment horizontal="center" vertical="center" wrapText="1"/>
    </xf>
    <xf numFmtId="0" fontId="2" fillId="0" borderId="15" xfId="0" applyFont="1" applyBorder="1" applyAlignment="1">
      <alignment horizontal="left" vertical="center" wrapText="1"/>
    </xf>
    <xf numFmtId="0" fontId="2" fillId="10" borderId="6" xfId="0" applyFont="1" applyFill="1" applyBorder="1" applyAlignment="1">
      <alignment horizontal="left" vertical="center" wrapText="1"/>
    </xf>
    <xf numFmtId="3" fontId="2" fillId="10" borderId="8" xfId="0" applyNumberFormat="1" applyFont="1" applyFill="1" applyBorder="1" applyAlignment="1">
      <alignment vertical="center"/>
    </xf>
    <xf numFmtId="0" fontId="2" fillId="0" borderId="13" xfId="0" applyFont="1" applyBorder="1" applyAlignment="1">
      <alignment vertical="center" wrapText="1"/>
    </xf>
    <xf numFmtId="0" fontId="2" fillId="0" borderId="11" xfId="0" applyFont="1" applyBorder="1" applyAlignment="1">
      <alignment vertical="center" wrapText="1"/>
    </xf>
    <xf numFmtId="3" fontId="7" fillId="6" borderId="2" xfId="0" applyNumberFormat="1" applyFont="1" applyFill="1" applyBorder="1" applyAlignment="1">
      <alignment horizontal="center" vertical="center" wrapText="1"/>
    </xf>
    <xf numFmtId="0" fontId="2" fillId="5" borderId="2" xfId="0" applyFont="1" applyFill="1" applyBorder="1" applyAlignment="1">
      <alignment horizontal="justify" vertical="center"/>
    </xf>
    <xf numFmtId="0" fontId="2" fillId="5" borderId="2" xfId="0" applyFont="1" applyFill="1" applyBorder="1" applyAlignment="1">
      <alignment horizontal="center" vertical="center"/>
    </xf>
    <xf numFmtId="3" fontId="7" fillId="5" borderId="2" xfId="0" applyNumberFormat="1" applyFont="1" applyFill="1" applyBorder="1" applyAlignment="1">
      <alignment horizontal="center" vertical="center" wrapText="1"/>
    </xf>
    <xf numFmtId="0" fontId="2" fillId="8" borderId="2" xfId="0" applyFont="1" applyFill="1" applyBorder="1" applyAlignment="1">
      <alignment horizontal="justify" vertical="center"/>
    </xf>
    <xf numFmtId="0" fontId="2" fillId="8" borderId="2" xfId="0" applyFont="1" applyFill="1" applyBorder="1" applyAlignment="1">
      <alignment horizontal="center" vertical="center"/>
    </xf>
    <xf numFmtId="3" fontId="7" fillId="8" borderId="2" xfId="0" applyNumberFormat="1" applyFont="1" applyFill="1" applyBorder="1" applyAlignment="1">
      <alignment horizontal="center" vertical="center" wrapText="1"/>
    </xf>
    <xf numFmtId="0" fontId="2" fillId="0" borderId="8" xfId="0" applyFont="1" applyBorder="1" applyAlignment="1">
      <alignment horizontal="justify" vertical="center"/>
    </xf>
    <xf numFmtId="3" fontId="2" fillId="5" borderId="8" xfId="0" applyNumberFormat="1" applyFont="1" applyFill="1" applyBorder="1" applyAlignment="1">
      <alignment vertical="center"/>
    </xf>
    <xf numFmtId="0" fontId="2" fillId="7" borderId="8" xfId="0" applyFont="1" applyFill="1" applyBorder="1" applyAlignment="1">
      <alignment horizontal="justify" vertical="center" wrapText="1"/>
    </xf>
    <xf numFmtId="4" fontId="7" fillId="0" borderId="2" xfId="0" applyNumberFormat="1" applyFont="1" applyBorder="1" applyAlignment="1">
      <alignment horizontal="center" vertical="center" wrapText="1"/>
    </xf>
    <xf numFmtId="43" fontId="7" fillId="0" borderId="4" xfId="1" applyNumberFormat="1" applyFont="1" applyBorder="1" applyAlignment="1">
      <alignment horizontal="center" vertical="center"/>
    </xf>
    <xf numFmtId="4" fontId="2" fillId="7" borderId="8" xfId="0" applyNumberFormat="1" applyFont="1" applyFill="1" applyBorder="1" applyAlignment="1">
      <alignment vertical="center"/>
    </xf>
    <xf numFmtId="4" fontId="7" fillId="7" borderId="2" xfId="0" applyNumberFormat="1" applyFont="1" applyFill="1" applyBorder="1" applyAlignment="1">
      <alignment horizontal="center" vertical="center" wrapText="1"/>
    </xf>
    <xf numFmtId="0" fontId="7" fillId="0" borderId="11" xfId="0" applyFont="1" applyBorder="1" applyAlignment="1">
      <alignment horizontal="center" vertical="center" wrapText="1"/>
    </xf>
    <xf numFmtId="4" fontId="7" fillId="6" borderId="2" xfId="0" applyNumberFormat="1" applyFont="1" applyFill="1" applyBorder="1" applyAlignment="1">
      <alignment horizontal="center" vertical="center" wrapText="1"/>
    </xf>
    <xf numFmtId="4" fontId="2" fillId="6" borderId="8" xfId="0" applyNumberFormat="1" applyFont="1" applyFill="1" applyBorder="1" applyAlignment="1">
      <alignment vertical="center"/>
    </xf>
    <xf numFmtId="4" fontId="2" fillId="10" borderId="8" xfId="0" applyNumberFormat="1" applyFont="1" applyFill="1" applyBorder="1" applyAlignment="1">
      <alignment vertical="center"/>
    </xf>
    <xf numFmtId="164" fontId="2" fillId="7" borderId="8" xfId="1" applyFont="1" applyFill="1" applyBorder="1" applyAlignment="1">
      <alignment vertical="center"/>
    </xf>
    <xf numFmtId="4" fontId="7" fillId="0" borderId="8" xfId="0" applyNumberFormat="1" applyFont="1" applyBorder="1" applyAlignment="1">
      <alignment horizontal="center" vertical="center" wrapText="1"/>
    </xf>
    <xf numFmtId="4" fontId="7" fillId="5" borderId="2" xfId="0" applyNumberFormat="1" applyFont="1" applyFill="1" applyBorder="1" applyAlignment="1">
      <alignment horizontal="center" vertical="center" wrapText="1"/>
    </xf>
    <xf numFmtId="4" fontId="7" fillId="8" borderId="2" xfId="0" applyNumberFormat="1" applyFont="1" applyFill="1" applyBorder="1" applyAlignment="1">
      <alignment horizontal="center" vertical="center" wrapText="1"/>
    </xf>
    <xf numFmtId="43" fontId="7" fillId="0" borderId="8" xfId="2" applyFont="1" applyBorder="1" applyAlignment="1">
      <alignment vertical="center"/>
    </xf>
    <xf numFmtId="43" fontId="2" fillId="4" borderId="8" xfId="0" applyNumberFormat="1" applyFont="1" applyFill="1" applyBorder="1" applyAlignment="1">
      <alignment horizontal="left" vertical="center" wrapText="1"/>
    </xf>
    <xf numFmtId="43" fontId="2" fillId="4" borderId="8" xfId="1" applyNumberFormat="1" applyFont="1" applyFill="1" applyBorder="1" applyAlignment="1">
      <alignment horizontal="center" vertical="center" wrapText="1"/>
    </xf>
    <xf numFmtId="4" fontId="2" fillId="5" borderId="8" xfId="0" applyNumberFormat="1" applyFont="1" applyFill="1" applyBorder="1" applyAlignment="1">
      <alignment vertical="center"/>
    </xf>
    <xf numFmtId="0" fontId="7" fillId="0" borderId="3" xfId="0" applyFont="1" applyBorder="1" applyAlignment="1">
      <alignment vertical="center" wrapText="1"/>
    </xf>
    <xf numFmtId="0" fontId="7" fillId="0" borderId="9" xfId="0" applyFont="1" applyBorder="1" applyAlignment="1">
      <alignment vertical="center" wrapText="1"/>
    </xf>
    <xf numFmtId="43" fontId="7" fillId="0" borderId="2" xfId="0" applyNumberFormat="1" applyFont="1" applyBorder="1" applyAlignment="1">
      <alignment horizontal="center" vertical="center"/>
    </xf>
    <xf numFmtId="4" fontId="7" fillId="7" borderId="2" xfId="0" applyNumberFormat="1" applyFont="1" applyFill="1" applyBorder="1" applyAlignment="1">
      <alignment horizontal="justify" vertical="center" wrapText="1"/>
    </xf>
    <xf numFmtId="43" fontId="7" fillId="7" borderId="2" xfId="0" applyNumberFormat="1" applyFont="1" applyFill="1" applyBorder="1" applyAlignment="1">
      <alignment horizontal="justify" vertical="center" wrapText="1"/>
    </xf>
    <xf numFmtId="4" fontId="7" fillId="0" borderId="8" xfId="0" applyNumberFormat="1" applyFont="1" applyBorder="1" applyAlignment="1">
      <alignment horizontal="justify" vertical="center" wrapText="1"/>
    </xf>
    <xf numFmtId="43" fontId="7" fillId="0" borderId="8" xfId="0" applyNumberFormat="1" applyFont="1" applyBorder="1" applyAlignment="1">
      <alignment horizontal="justify" vertical="center" wrapText="1"/>
    </xf>
    <xf numFmtId="43" fontId="7" fillId="3" borderId="8" xfId="0" applyNumberFormat="1" applyFont="1" applyFill="1" applyBorder="1" applyAlignment="1">
      <alignment horizontal="justify" vertical="center" wrapText="1"/>
    </xf>
    <xf numFmtId="43" fontId="7" fillId="0" borderId="8" xfId="1" applyNumberFormat="1" applyFont="1" applyBorder="1" applyAlignment="1">
      <alignment horizontal="center" vertical="center" wrapText="1"/>
    </xf>
    <xf numFmtId="3" fontId="7" fillId="7" borderId="2" xfId="0" applyNumberFormat="1" applyFont="1" applyFill="1" applyBorder="1" applyAlignment="1">
      <alignment horizontal="justify" vertical="center" wrapText="1"/>
    </xf>
    <xf numFmtId="4" fontId="7" fillId="6" borderId="2" xfId="0" applyNumberFormat="1" applyFont="1" applyFill="1" applyBorder="1" applyAlignment="1">
      <alignment horizontal="justify" vertical="center" wrapText="1"/>
    </xf>
    <xf numFmtId="43" fontId="7" fillId="6" borderId="2" xfId="0" applyNumberFormat="1" applyFont="1" applyFill="1" applyBorder="1" applyAlignment="1">
      <alignment horizontal="justify" vertical="center" wrapText="1"/>
    </xf>
    <xf numFmtId="164" fontId="7" fillId="7" borderId="2" xfId="1" applyFont="1" applyFill="1" applyBorder="1" applyAlignment="1">
      <alignment horizontal="justify" vertical="center" wrapText="1"/>
    </xf>
    <xf numFmtId="0" fontId="2" fillId="7" borderId="8" xfId="0" applyFont="1" applyFill="1" applyBorder="1" applyAlignment="1">
      <alignment horizontal="center" vertical="center" wrapText="1"/>
    </xf>
    <xf numFmtId="0" fontId="7" fillId="7" borderId="8" xfId="0" applyFont="1" applyFill="1" applyBorder="1" applyAlignment="1">
      <alignment horizontal="justify" vertical="center" wrapText="1"/>
    </xf>
    <xf numFmtId="0" fontId="7" fillId="7" borderId="8" xfId="0" applyFont="1" applyFill="1" applyBorder="1" applyAlignment="1">
      <alignment horizontal="center" vertical="center" wrapText="1"/>
    </xf>
    <xf numFmtId="4" fontId="7" fillId="7" borderId="8" xfId="0" applyNumberFormat="1" applyFont="1" applyFill="1" applyBorder="1" applyAlignment="1">
      <alignment horizontal="center" vertical="center" wrapText="1"/>
    </xf>
    <xf numFmtId="43" fontId="7" fillId="7" borderId="8" xfId="2" applyFont="1" applyFill="1" applyBorder="1" applyAlignment="1">
      <alignment horizontal="justify" vertical="center"/>
    </xf>
    <xf numFmtId="0" fontId="2" fillId="0" borderId="8" xfId="0" applyFont="1" applyBorder="1" applyAlignment="1">
      <alignment horizontal="justify" vertical="center" wrapText="1"/>
    </xf>
    <xf numFmtId="0" fontId="7" fillId="0" borderId="14" xfId="0" applyFont="1" applyBorder="1" applyAlignment="1">
      <alignment vertical="center"/>
    </xf>
    <xf numFmtId="0" fontId="7" fillId="7" borderId="10" xfId="0" applyFont="1" applyFill="1" applyBorder="1" applyAlignment="1">
      <alignment horizontal="justify" vertical="center"/>
    </xf>
    <xf numFmtId="43" fontId="7" fillId="7" borderId="2" xfId="0" applyNumberFormat="1" applyFont="1" applyFill="1" applyBorder="1" applyAlignment="1">
      <alignment horizontal="justify" vertical="center"/>
    </xf>
    <xf numFmtId="43" fontId="7" fillId="0" borderId="8" xfId="0" applyNumberFormat="1" applyFont="1" applyBorder="1" applyAlignment="1">
      <alignment horizontal="justify" vertical="center"/>
    </xf>
    <xf numFmtId="43" fontId="7" fillId="3" borderId="8" xfId="0" applyNumberFormat="1" applyFont="1" applyFill="1" applyBorder="1" applyAlignment="1">
      <alignment horizontal="justify" vertical="center"/>
    </xf>
    <xf numFmtId="0" fontId="2" fillId="7" borderId="2" xfId="0" applyFont="1" applyFill="1" applyBorder="1" applyAlignment="1">
      <alignment horizontal="justify" vertical="center"/>
    </xf>
    <xf numFmtId="2" fontId="7" fillId="7" borderId="2" xfId="0" applyNumberFormat="1" applyFont="1" applyFill="1" applyBorder="1" applyAlignment="1">
      <alignment horizontal="center" vertical="center" wrapText="1"/>
    </xf>
    <xf numFmtId="0" fontId="7" fillId="6" borderId="3" xfId="0" applyFont="1" applyFill="1" applyBorder="1" applyAlignment="1">
      <alignment horizontal="justify" vertical="center" wrapText="1"/>
    </xf>
    <xf numFmtId="2" fontId="7" fillId="6" borderId="4" xfId="0" applyNumberFormat="1" applyFont="1" applyFill="1" applyBorder="1" applyAlignment="1">
      <alignment horizontal="center" vertical="center" wrapText="1"/>
    </xf>
    <xf numFmtId="43" fontId="7" fillId="6" borderId="4" xfId="2" applyFont="1" applyFill="1" applyBorder="1" applyAlignment="1">
      <alignment horizontal="justify" vertical="center"/>
    </xf>
    <xf numFmtId="2" fontId="7" fillId="5" borderId="2" xfId="0" applyNumberFormat="1" applyFont="1" applyFill="1" applyBorder="1" applyAlignment="1">
      <alignment horizontal="center" vertical="center" wrapText="1"/>
    </xf>
    <xf numFmtId="2" fontId="7" fillId="0" borderId="15" xfId="0" applyNumberFormat="1" applyFont="1" applyBorder="1" applyAlignment="1">
      <alignment horizontal="center" vertical="center" wrapText="1"/>
    </xf>
    <xf numFmtId="9" fontId="7" fillId="0" borderId="2" xfId="0" applyNumberFormat="1" applyFont="1" applyBorder="1" applyAlignment="1">
      <alignment horizontal="center" vertical="center" wrapText="1"/>
    </xf>
    <xf numFmtId="43" fontId="7" fillId="0" borderId="5" xfId="2" applyFont="1" applyBorder="1" applyAlignment="1">
      <alignment horizontal="justify" vertical="center"/>
    </xf>
    <xf numFmtId="2" fontId="7" fillId="7" borderId="4" xfId="0" applyNumberFormat="1" applyFont="1" applyFill="1" applyBorder="1" applyAlignment="1">
      <alignment horizontal="center" vertical="center" wrapText="1"/>
    </xf>
    <xf numFmtId="2" fontId="7" fillId="5" borderId="4" xfId="0" applyNumberFormat="1" applyFont="1" applyFill="1" applyBorder="1" applyAlignment="1">
      <alignment horizontal="center" vertical="center" wrapText="1"/>
    </xf>
    <xf numFmtId="43" fontId="7" fillId="5" borderId="4" xfId="2" applyFont="1" applyFill="1" applyBorder="1" applyAlignment="1">
      <alignment horizontal="justify" vertical="center"/>
    </xf>
    <xf numFmtId="1" fontId="7" fillId="7" borderId="2" xfId="0" applyNumberFormat="1" applyFont="1" applyFill="1" applyBorder="1" applyAlignment="1">
      <alignment horizontal="center" vertical="center"/>
    </xf>
    <xf numFmtId="1" fontId="7" fillId="0" borderId="8" xfId="0" applyNumberFormat="1" applyFont="1" applyBorder="1" applyAlignment="1">
      <alignment horizontal="center" vertical="center"/>
    </xf>
    <xf numFmtId="10" fontId="7" fillId="0" borderId="2" xfId="0" applyNumberFormat="1" applyFont="1" applyBorder="1" applyAlignment="1">
      <alignment horizontal="center" vertical="center" wrapText="1"/>
    </xf>
    <xf numFmtId="43" fontId="7" fillId="7" borderId="2" xfId="1" applyNumberFormat="1" applyFont="1" applyFill="1" applyBorder="1" applyAlignment="1">
      <alignment horizontal="center" vertical="center" wrapText="1"/>
    </xf>
    <xf numFmtId="43" fontId="7" fillId="7" borderId="6" xfId="2" applyFont="1" applyFill="1" applyBorder="1" applyAlignment="1">
      <alignment horizontal="justify" vertical="center"/>
    </xf>
    <xf numFmtId="10" fontId="7" fillId="0" borderId="8" xfId="0" applyNumberFormat="1" applyFont="1" applyBorder="1" applyAlignment="1">
      <alignment horizontal="center" vertical="center" wrapText="1"/>
    </xf>
    <xf numFmtId="3" fontId="7" fillId="0" borderId="12" xfId="0" applyNumberFormat="1" applyFont="1" applyBorder="1" applyAlignment="1">
      <alignment horizontal="center" vertical="center" wrapText="1"/>
    </xf>
    <xf numFmtId="43" fontId="2" fillId="7" borderId="8" xfId="1" applyNumberFormat="1" applyFont="1" applyFill="1" applyBorder="1" applyAlignment="1">
      <alignment vertical="center"/>
    </xf>
    <xf numFmtId="10" fontId="7" fillId="6" borderId="2" xfId="0" applyNumberFormat="1" applyFont="1" applyFill="1" applyBorder="1" applyAlignment="1">
      <alignment horizontal="center" vertical="center" wrapText="1"/>
    </xf>
    <xf numFmtId="0" fontId="2" fillId="7" borderId="12" xfId="0" applyFont="1" applyFill="1" applyBorder="1" applyAlignment="1">
      <alignment horizontal="justify" vertical="center" wrapText="1"/>
    </xf>
    <xf numFmtId="43" fontId="7" fillId="0" borderId="14" xfId="2" applyFont="1" applyBorder="1" applyAlignment="1">
      <alignment horizontal="justify" vertical="center"/>
    </xf>
    <xf numFmtId="10" fontId="7" fillId="0" borderId="9" xfId="0" applyNumberFormat="1" applyFont="1" applyBorder="1" applyAlignment="1">
      <alignment horizontal="center" vertical="center" wrapText="1"/>
    </xf>
    <xf numFmtId="4" fontId="7" fillId="0" borderId="8" xfId="0" applyNumberFormat="1" applyFont="1" applyBorder="1" applyAlignment="1">
      <alignment horizontal="center" vertical="center"/>
    </xf>
    <xf numFmtId="0" fontId="2" fillId="7" borderId="7" xfId="0" applyFont="1" applyFill="1" applyBorder="1" applyAlignment="1">
      <alignment horizontal="justify" vertical="center" wrapText="1"/>
    </xf>
    <xf numFmtId="43" fontId="7" fillId="3" borderId="2" xfId="1" applyNumberFormat="1" applyFont="1" applyFill="1" applyBorder="1" applyAlignment="1">
      <alignment horizontal="center" vertical="center"/>
    </xf>
    <xf numFmtId="10" fontId="7" fillId="0" borderId="15" xfId="0" applyNumberFormat="1" applyFont="1" applyBorder="1" applyAlignment="1">
      <alignment horizontal="center" vertical="center" wrapText="1"/>
    </xf>
    <xf numFmtId="3" fontId="7" fillId="0" borderId="15" xfId="0" applyNumberFormat="1" applyFont="1" applyBorder="1" applyAlignment="1">
      <alignment horizontal="center" vertical="center" wrapText="1"/>
    </xf>
    <xf numFmtId="0" fontId="7" fillId="7" borderId="10" xfId="0" applyFont="1" applyFill="1" applyBorder="1" applyAlignment="1">
      <alignment horizontal="justify" vertical="center" wrapText="1"/>
    </xf>
    <xf numFmtId="0" fontId="7" fillId="7" borderId="10" xfId="0" applyFont="1" applyFill="1" applyBorder="1" applyAlignment="1">
      <alignment horizontal="center" vertical="center" wrapText="1"/>
    </xf>
    <xf numFmtId="3" fontId="7" fillId="7" borderId="10" xfId="0" applyNumberFormat="1" applyFont="1" applyFill="1" applyBorder="1" applyAlignment="1">
      <alignment horizontal="center" vertical="center" wrapText="1"/>
    </xf>
    <xf numFmtId="3" fontId="7" fillId="7" borderId="10" xfId="0" applyNumberFormat="1" applyFont="1" applyFill="1" applyBorder="1" applyAlignment="1">
      <alignment horizontal="center" vertical="center"/>
    </xf>
    <xf numFmtId="43" fontId="7" fillId="7" borderId="10" xfId="2" applyFont="1" applyFill="1" applyBorder="1" applyAlignment="1">
      <alignment horizontal="justify" vertical="center"/>
    </xf>
    <xf numFmtId="0" fontId="7" fillId="6" borderId="9" xfId="0" applyFont="1" applyFill="1" applyBorder="1" applyAlignment="1">
      <alignment horizontal="justify" vertical="center" wrapText="1"/>
    </xf>
    <xf numFmtId="43" fontId="7" fillId="7" borderId="2" xfId="0" applyNumberFormat="1" applyFont="1" applyFill="1" applyBorder="1" applyAlignment="1">
      <alignment horizontal="right" vertical="center" wrapText="1"/>
    </xf>
    <xf numFmtId="4" fontId="7" fillId="7" borderId="2" xfId="0" applyNumberFormat="1" applyFont="1" applyFill="1" applyBorder="1" applyAlignment="1">
      <alignment horizontal="center" vertical="center"/>
    </xf>
    <xf numFmtId="9" fontId="7" fillId="0" borderId="2" xfId="3" applyFont="1" applyBorder="1" applyAlignment="1">
      <alignment horizontal="center" vertical="center" wrapText="1"/>
    </xf>
    <xf numFmtId="9" fontId="7" fillId="7" borderId="2" xfId="3" applyFont="1" applyFill="1" applyBorder="1" applyAlignment="1">
      <alignment horizontal="center" vertical="center" wrapText="1"/>
    </xf>
    <xf numFmtId="3" fontId="7" fillId="7" borderId="2" xfId="3" applyNumberFormat="1" applyFont="1" applyFill="1" applyBorder="1" applyAlignment="1">
      <alignment horizontal="center" vertical="center" wrapText="1"/>
    </xf>
    <xf numFmtId="0" fontId="2" fillId="0" borderId="10" xfId="0" applyFont="1" applyBorder="1" applyAlignment="1">
      <alignment horizontal="right" vertical="center" wrapText="1"/>
    </xf>
    <xf numFmtId="0" fontId="7" fillId="0" borderId="2" xfId="0" applyFont="1" applyBorder="1" applyAlignment="1">
      <alignment horizontal="right" vertical="center" wrapText="1"/>
    </xf>
    <xf numFmtId="0" fontId="7" fillId="7" borderId="2" xfId="0" applyFont="1" applyFill="1" applyBorder="1" applyAlignment="1">
      <alignment horizontal="right" vertical="center" wrapText="1"/>
    </xf>
    <xf numFmtId="3" fontId="7" fillId="7" borderId="2" xfId="0" applyNumberFormat="1" applyFont="1" applyFill="1" applyBorder="1" applyAlignment="1">
      <alignment horizontal="right" vertical="center" wrapText="1"/>
    </xf>
    <xf numFmtId="3" fontId="7" fillId="7" borderId="2" xfId="0" applyNumberFormat="1" applyFont="1" applyFill="1" applyBorder="1" applyAlignment="1">
      <alignment horizontal="right" vertical="center"/>
    </xf>
    <xf numFmtId="0" fontId="7" fillId="6" borderId="7" xfId="0" applyFont="1" applyFill="1" applyBorder="1" applyAlignment="1">
      <alignment horizontal="right" vertical="center" wrapText="1"/>
    </xf>
    <xf numFmtId="0" fontId="7" fillId="6" borderId="2" xfId="0" applyFont="1" applyFill="1" applyBorder="1" applyAlignment="1">
      <alignment horizontal="right" vertical="center" wrapText="1"/>
    </xf>
    <xf numFmtId="3" fontId="7" fillId="6" borderId="2" xfId="0" applyNumberFormat="1" applyFont="1" applyFill="1" applyBorder="1" applyAlignment="1">
      <alignment horizontal="right" vertical="center" wrapText="1"/>
    </xf>
    <xf numFmtId="3" fontId="7" fillId="6" borderId="2" xfId="0" applyNumberFormat="1" applyFont="1" applyFill="1" applyBorder="1" applyAlignment="1">
      <alignment horizontal="right" vertical="center"/>
    </xf>
    <xf numFmtId="43" fontId="7" fillId="6" borderId="2" xfId="0" applyNumberFormat="1" applyFont="1" applyFill="1" applyBorder="1" applyAlignment="1">
      <alignment horizontal="right" vertical="center" wrapText="1"/>
    </xf>
    <xf numFmtId="49" fontId="7" fillId="0" borderId="2" xfId="0" applyNumberFormat="1" applyFont="1" applyBorder="1" applyAlignment="1">
      <alignment horizontal="justify" vertical="center" wrapText="1"/>
    </xf>
    <xf numFmtId="49" fontId="7" fillId="2" borderId="7" xfId="0" applyNumberFormat="1" applyFont="1" applyFill="1" applyBorder="1" applyAlignment="1">
      <alignment horizontal="center" vertical="center" wrapText="1"/>
    </xf>
    <xf numFmtId="49" fontId="7" fillId="6" borderId="7" xfId="0" applyNumberFormat="1" applyFont="1" applyFill="1" applyBorder="1" applyAlignment="1">
      <alignment horizontal="justify" vertical="center" wrapText="1"/>
    </xf>
    <xf numFmtId="49" fontId="7" fillId="6" borderId="2" xfId="0" applyNumberFormat="1" applyFont="1" applyFill="1" applyBorder="1" applyAlignment="1">
      <alignment horizontal="center" vertical="center" wrapText="1"/>
    </xf>
    <xf numFmtId="49" fontId="7" fillId="6" borderId="2" xfId="0" applyNumberFormat="1" applyFont="1" applyFill="1" applyBorder="1" applyAlignment="1">
      <alignment horizontal="justify" vertical="center" wrapText="1"/>
    </xf>
    <xf numFmtId="49" fontId="7" fillId="5" borderId="2" xfId="0" applyNumberFormat="1" applyFont="1" applyFill="1" applyBorder="1" applyAlignment="1">
      <alignment horizontal="justify" vertical="center" wrapText="1"/>
    </xf>
    <xf numFmtId="49" fontId="7" fillId="5" borderId="2" xfId="0" applyNumberFormat="1" applyFont="1" applyFill="1" applyBorder="1" applyAlignment="1">
      <alignment horizontal="center" vertical="center" wrapText="1"/>
    </xf>
    <xf numFmtId="10" fontId="7" fillId="5" borderId="2" xfId="0" applyNumberFormat="1" applyFont="1" applyFill="1" applyBorder="1" applyAlignment="1">
      <alignment horizontal="center" vertical="center" wrapText="1"/>
    </xf>
    <xf numFmtId="3" fontId="7" fillId="8" borderId="2" xfId="0" applyNumberFormat="1" applyFont="1" applyFill="1" applyBorder="1" applyAlignment="1">
      <alignment horizontal="center" vertical="center"/>
    </xf>
    <xf numFmtId="0" fontId="2" fillId="0" borderId="2" xfId="0" applyFont="1" applyBorder="1" applyAlignment="1">
      <alignment vertical="center" wrapText="1"/>
    </xf>
    <xf numFmtId="49" fontId="7" fillId="0" borderId="8" xfId="0" applyNumberFormat="1" applyFont="1" applyBorder="1" applyAlignment="1">
      <alignment horizontal="justify" vertical="center" wrapText="1"/>
    </xf>
    <xf numFmtId="49" fontId="7" fillId="0" borderId="8" xfId="0" applyNumberFormat="1" applyFont="1" applyBorder="1" applyAlignment="1">
      <alignment horizontal="center" vertical="center" wrapText="1"/>
    </xf>
    <xf numFmtId="49" fontId="7" fillId="2" borderId="4" xfId="0" applyNumberFormat="1" applyFont="1" applyFill="1" applyBorder="1" applyAlignment="1">
      <alignment vertical="center" wrapText="1"/>
    </xf>
    <xf numFmtId="49" fontId="7" fillId="0" borderId="14" xfId="0" applyNumberFormat="1" applyFont="1" applyBorder="1" applyAlignment="1">
      <alignment vertical="center" wrapText="1"/>
    </xf>
    <xf numFmtId="49" fontId="7" fillId="2" borderId="14" xfId="0" applyNumberFormat="1" applyFont="1" applyFill="1" applyBorder="1" applyAlignment="1">
      <alignment vertical="center" wrapText="1"/>
    </xf>
    <xf numFmtId="0" fontId="7" fillId="3" borderId="7" xfId="0" applyFont="1" applyFill="1" applyBorder="1" applyAlignment="1">
      <alignment horizontal="center" vertical="center" wrapText="1"/>
    </xf>
    <xf numFmtId="0" fontId="7" fillId="3" borderId="3" xfId="0" applyFont="1" applyFill="1" applyBorder="1" applyAlignment="1">
      <alignment horizontal="center" vertical="center" wrapText="1"/>
    </xf>
    <xf numFmtId="3" fontId="2" fillId="7" borderId="8" xfId="0" applyNumberFormat="1" applyFont="1" applyFill="1" applyBorder="1" applyAlignment="1">
      <alignment horizontal="left" vertical="center"/>
    </xf>
    <xf numFmtId="43" fontId="2" fillId="7" borderId="8" xfId="0" applyNumberFormat="1" applyFont="1" applyFill="1" applyBorder="1" applyAlignment="1">
      <alignment horizontal="left" vertical="center"/>
    </xf>
    <xf numFmtId="10" fontId="9" fillId="0" borderId="2" xfId="0" applyNumberFormat="1" applyFont="1" applyBorder="1" applyAlignment="1">
      <alignment horizontal="center" vertical="center" wrapText="1"/>
    </xf>
    <xf numFmtId="9" fontId="4" fillId="0" borderId="2" xfId="0" applyNumberFormat="1" applyFont="1" applyBorder="1" applyAlignment="1">
      <alignment horizontal="center" vertical="center"/>
    </xf>
    <xf numFmtId="49" fontId="7" fillId="2" borderId="10" xfId="0" applyNumberFormat="1" applyFont="1" applyFill="1" applyBorder="1" applyAlignment="1">
      <alignment vertical="center" wrapText="1"/>
    </xf>
    <xf numFmtId="0" fontId="9" fillId="0" borderId="2" xfId="0" applyFont="1" applyBorder="1" applyAlignment="1">
      <alignment horizontal="center" vertical="center"/>
    </xf>
    <xf numFmtId="9" fontId="9" fillId="0" borderId="2" xfId="0" applyNumberFormat="1" applyFont="1" applyBorder="1" applyAlignment="1">
      <alignment horizontal="center" vertical="center"/>
    </xf>
    <xf numFmtId="9" fontId="9" fillId="0" borderId="2" xfId="0" applyNumberFormat="1" applyFont="1" applyBorder="1" applyAlignment="1">
      <alignment horizontal="center" vertical="center" wrapText="1"/>
    </xf>
    <xf numFmtId="0" fontId="7" fillId="3" borderId="9" xfId="0" applyFont="1" applyFill="1" applyBorder="1" applyAlignment="1">
      <alignment horizontal="center" vertical="center" wrapText="1"/>
    </xf>
    <xf numFmtId="49" fontId="7" fillId="2" borderId="2" xfId="0" applyNumberFormat="1"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7" borderId="2" xfId="0" applyFont="1" applyFill="1" applyBorder="1" applyAlignment="1">
      <alignment vertical="center" wrapText="1"/>
    </xf>
    <xf numFmtId="0" fontId="7" fillId="6" borderId="2" xfId="0" applyFont="1" applyFill="1" applyBorder="1" applyAlignment="1">
      <alignment vertical="center" wrapText="1"/>
    </xf>
    <xf numFmtId="0" fontId="7" fillId="8" borderId="2" xfId="0" applyFont="1" applyFill="1" applyBorder="1" applyAlignment="1">
      <alignment horizontal="justify" vertical="center"/>
    </xf>
    <xf numFmtId="3" fontId="7" fillId="5" borderId="2" xfId="0" applyNumberFormat="1" applyFont="1" applyFill="1" applyBorder="1" applyAlignment="1">
      <alignment horizontal="center" vertical="center"/>
    </xf>
    <xf numFmtId="0" fontId="4" fillId="0" borderId="4" xfId="0" applyFont="1" applyBorder="1" applyAlignment="1">
      <alignment horizontal="center"/>
    </xf>
    <xf numFmtId="0" fontId="4" fillId="0" borderId="4" xfId="0" applyFont="1" applyBorder="1"/>
    <xf numFmtId="43" fontId="4" fillId="0" borderId="2" xfId="0" applyNumberFormat="1" applyFont="1" applyBorder="1"/>
    <xf numFmtId="0" fontId="2" fillId="6" borderId="12" xfId="0" applyFont="1" applyFill="1" applyBorder="1" applyAlignment="1">
      <alignment horizontal="justify" vertical="center" wrapText="1"/>
    </xf>
    <xf numFmtId="3" fontId="7" fillId="0" borderId="2" xfId="1" applyNumberFormat="1" applyFont="1" applyBorder="1" applyAlignment="1">
      <alignment horizontal="center" vertical="center"/>
    </xf>
    <xf numFmtId="0" fontId="7" fillId="7" borderId="2" xfId="2" applyNumberFormat="1" applyFont="1" applyFill="1" applyBorder="1" applyAlignment="1">
      <alignment horizontal="center" vertical="center" wrapText="1"/>
    </xf>
    <xf numFmtId="3" fontId="7" fillId="7" borderId="2" xfId="2" applyNumberFormat="1" applyFont="1" applyFill="1" applyBorder="1" applyAlignment="1">
      <alignment horizontal="center" vertical="center" wrapText="1"/>
    </xf>
    <xf numFmtId="0" fontId="7" fillId="0" borderId="4" xfId="0" applyFont="1" applyBorder="1" applyAlignment="1">
      <alignment vertical="center"/>
    </xf>
    <xf numFmtId="3" fontId="7" fillId="0" borderId="2" xfId="3" applyNumberFormat="1" applyFont="1" applyBorder="1" applyAlignment="1">
      <alignment horizontal="center" vertical="center" wrapText="1"/>
    </xf>
    <xf numFmtId="2" fontId="7" fillId="0" borderId="8" xfId="0" applyNumberFormat="1" applyFont="1" applyBorder="1" applyAlignment="1">
      <alignment horizontal="center" vertical="center" wrapText="1"/>
    </xf>
    <xf numFmtId="0" fontId="9" fillId="0" borderId="4" xfId="0" applyFont="1" applyBorder="1" applyAlignment="1">
      <alignment vertical="center" wrapText="1"/>
    </xf>
    <xf numFmtId="9" fontId="9" fillId="0" borderId="4" xfId="0" applyNumberFormat="1" applyFont="1" applyBorder="1" applyAlignment="1">
      <alignment vertical="center" wrapText="1"/>
    </xf>
    <xf numFmtId="9" fontId="7" fillId="0" borderId="4" xfId="0" applyNumberFormat="1" applyFont="1" applyBorder="1" applyAlignment="1">
      <alignment vertical="center" wrapText="1"/>
    </xf>
    <xf numFmtId="43" fontId="7" fillId="0" borderId="2" xfId="1" applyNumberFormat="1" applyFont="1" applyBorder="1" applyAlignment="1">
      <alignment horizontal="right" vertical="center"/>
    </xf>
    <xf numFmtId="0" fontId="9" fillId="0" borderId="2" xfId="0" applyFont="1" applyBorder="1" applyAlignment="1">
      <alignment vertical="center" wrapText="1"/>
    </xf>
    <xf numFmtId="1" fontId="2" fillId="7" borderId="8" xfId="0" applyNumberFormat="1" applyFont="1" applyFill="1" applyBorder="1" applyAlignment="1">
      <alignment horizontal="left" vertical="center"/>
    </xf>
    <xf numFmtId="1" fontId="7" fillId="0" borderId="2" xfId="3" applyNumberFormat="1" applyFont="1" applyBorder="1" applyAlignment="1">
      <alignment horizontal="center" vertical="center" wrapText="1"/>
    </xf>
    <xf numFmtId="43" fontId="7" fillId="0" borderId="2" xfId="2" applyFont="1" applyBorder="1" applyAlignment="1">
      <alignment horizontal="right" vertical="center"/>
    </xf>
    <xf numFmtId="1" fontId="9" fillId="0" borderId="2" xfId="0" applyNumberFormat="1" applyFont="1" applyBorder="1" applyAlignment="1">
      <alignment horizontal="center" vertical="center" wrapText="1"/>
    </xf>
    <xf numFmtId="1" fontId="7" fillId="8" borderId="2" xfId="0" applyNumberFormat="1" applyFont="1" applyFill="1" applyBorder="1" applyAlignment="1">
      <alignment horizontal="center" vertical="center" wrapText="1"/>
    </xf>
    <xf numFmtId="43" fontId="7" fillId="7" borderId="2" xfId="0" applyNumberFormat="1" applyFont="1" applyFill="1" applyBorder="1" applyAlignment="1">
      <alignment horizontal="center" vertical="center"/>
    </xf>
    <xf numFmtId="0" fontId="4" fillId="0" borderId="2" xfId="0" applyFont="1" applyBorder="1" applyAlignment="1">
      <alignment horizontal="justify" vertical="center"/>
    </xf>
    <xf numFmtId="0" fontId="7" fillId="6" borderId="2" xfId="0" applyFont="1" applyFill="1" applyBorder="1" applyAlignment="1">
      <alignment horizontal="justify" vertical="center"/>
    </xf>
    <xf numFmtId="0" fontId="7" fillId="7" borderId="14" xfId="0" applyFont="1" applyFill="1" applyBorder="1" applyAlignment="1">
      <alignment horizontal="justify" vertical="center" wrapText="1"/>
    </xf>
    <xf numFmtId="0" fontId="7" fillId="7" borderId="14" xfId="0" applyFont="1" applyFill="1" applyBorder="1" applyAlignment="1">
      <alignment horizontal="center" vertical="center" wrapText="1"/>
    </xf>
    <xf numFmtId="0" fontId="7" fillId="7" borderId="14" xfId="0" applyFont="1" applyFill="1" applyBorder="1" applyAlignment="1">
      <alignment horizontal="center" vertical="center"/>
    </xf>
    <xf numFmtId="1" fontId="7" fillId="7" borderId="14" xfId="0" applyNumberFormat="1" applyFont="1" applyFill="1" applyBorder="1" applyAlignment="1">
      <alignment horizontal="center" vertical="center"/>
    </xf>
    <xf numFmtId="0" fontId="7" fillId="7" borderId="14" xfId="0" applyFont="1" applyFill="1" applyBorder="1" applyAlignment="1">
      <alignment horizontal="justify" vertical="center"/>
    </xf>
    <xf numFmtId="43" fontId="7" fillId="7" borderId="14" xfId="2" applyFont="1" applyFill="1" applyBorder="1" applyAlignment="1">
      <alignment horizontal="justify" vertical="center"/>
    </xf>
    <xf numFmtId="43" fontId="7" fillId="7" borderId="14" xfId="1" applyNumberFormat="1" applyFont="1" applyFill="1" applyBorder="1" applyAlignment="1">
      <alignment horizontal="center" vertical="center"/>
    </xf>
    <xf numFmtId="1" fontId="7" fillId="0" borderId="4" xfId="0" applyNumberFormat="1" applyFont="1" applyBorder="1" applyAlignment="1">
      <alignment horizontal="center" vertical="center"/>
    </xf>
    <xf numFmtId="0" fontId="7" fillId="7" borderId="4" xfId="0" applyFont="1" applyFill="1" applyBorder="1" applyAlignment="1">
      <alignment horizontal="justify" vertical="center"/>
    </xf>
    <xf numFmtId="43" fontId="7" fillId="7" borderId="4" xfId="1" applyNumberFormat="1" applyFont="1" applyFill="1" applyBorder="1" applyAlignment="1">
      <alignment horizontal="center" vertical="center"/>
    </xf>
    <xf numFmtId="0" fontId="7" fillId="6" borderId="4" xfId="0" applyFont="1" applyFill="1" applyBorder="1" applyAlignment="1">
      <alignment horizontal="center" vertical="center"/>
    </xf>
    <xf numFmtId="1" fontId="7" fillId="6" borderId="4" xfId="0" applyNumberFormat="1" applyFont="1" applyFill="1" applyBorder="1" applyAlignment="1">
      <alignment horizontal="center" vertical="center"/>
    </xf>
    <xf numFmtId="0" fontId="7" fillId="6" borderId="4" xfId="0" applyFont="1" applyFill="1" applyBorder="1" applyAlignment="1">
      <alignment horizontal="justify" vertical="center"/>
    </xf>
    <xf numFmtId="43" fontId="7" fillId="6" borderId="4" xfId="1" applyNumberFormat="1" applyFont="1" applyFill="1" applyBorder="1" applyAlignment="1">
      <alignment horizontal="center" vertical="center"/>
    </xf>
    <xf numFmtId="1" fontId="2" fillId="6" borderId="8" xfId="0" applyNumberFormat="1" applyFont="1" applyFill="1" applyBorder="1" applyAlignment="1">
      <alignment horizontal="justify" vertical="center" wrapText="1"/>
    </xf>
    <xf numFmtId="0" fontId="7" fillId="5" borderId="2" xfId="0" applyFont="1" applyFill="1" applyBorder="1" applyAlignment="1">
      <alignment horizontal="justify" vertical="center"/>
    </xf>
    <xf numFmtId="0" fontId="2" fillId="5" borderId="2" xfId="0" applyFont="1" applyFill="1" applyBorder="1" applyAlignment="1">
      <alignment vertical="center" wrapText="1"/>
    </xf>
    <xf numFmtId="0" fontId="2" fillId="5" borderId="8" xfId="0" applyFont="1" applyFill="1" applyBorder="1" applyAlignment="1">
      <alignment vertical="center" wrapText="1"/>
    </xf>
    <xf numFmtId="0" fontId="2" fillId="5" borderId="8" xfId="0" applyFont="1" applyFill="1" applyBorder="1" applyAlignment="1">
      <alignment horizontal="center" vertical="center" wrapText="1"/>
    </xf>
    <xf numFmtId="1" fontId="2" fillId="5" borderId="8" xfId="0" applyNumberFormat="1" applyFont="1" applyFill="1" applyBorder="1" applyAlignment="1">
      <alignment vertical="center" wrapText="1"/>
    </xf>
    <xf numFmtId="43" fontId="2" fillId="5" borderId="8" xfId="0" applyNumberFormat="1" applyFont="1" applyFill="1" applyBorder="1" applyAlignment="1">
      <alignment vertical="center" wrapText="1"/>
    </xf>
    <xf numFmtId="43" fontId="2" fillId="5" borderId="8" xfId="1" applyNumberFormat="1" applyFont="1" applyFill="1" applyBorder="1" applyAlignment="1">
      <alignment horizontal="center" vertical="center" wrapText="1"/>
    </xf>
    <xf numFmtId="0" fontId="2" fillId="6" borderId="8" xfId="0" applyFont="1" applyFill="1" applyBorder="1" applyAlignment="1">
      <alignment vertical="center" wrapText="1"/>
    </xf>
    <xf numFmtId="1" fontId="2" fillId="6" borderId="8" xfId="0" applyNumberFormat="1" applyFont="1" applyFill="1" applyBorder="1" applyAlignment="1">
      <alignment vertical="center" wrapText="1"/>
    </xf>
    <xf numFmtId="43" fontId="2" fillId="6" borderId="8" xfId="0" applyNumberFormat="1" applyFont="1" applyFill="1" applyBorder="1" applyAlignment="1">
      <alignment vertical="center" wrapText="1"/>
    </xf>
    <xf numFmtId="43" fontId="2" fillId="6" borderId="8" xfId="1" applyNumberFormat="1" applyFont="1" applyFill="1" applyBorder="1" applyAlignment="1">
      <alignment horizontal="center" vertical="center" wrapText="1"/>
    </xf>
    <xf numFmtId="168" fontId="7" fillId="0" borderId="2" xfId="0" applyNumberFormat="1" applyFont="1" applyBorder="1" applyAlignment="1">
      <alignment horizontal="justify" vertical="center" wrapText="1"/>
    </xf>
    <xf numFmtId="0" fontId="2" fillId="0" borderId="1" xfId="0" applyFont="1" applyBorder="1" applyAlignment="1">
      <alignment horizontal="justify" vertical="center" wrapText="1"/>
    </xf>
    <xf numFmtId="0" fontId="2" fillId="0" borderId="6" xfId="0" applyFont="1" applyBorder="1" applyAlignment="1">
      <alignment vertical="center"/>
    </xf>
    <xf numFmtId="1" fontId="2" fillId="0" borderId="8" xfId="0" applyNumberFormat="1" applyFont="1" applyBorder="1" applyAlignment="1">
      <alignment vertical="center"/>
    </xf>
    <xf numFmtId="0" fontId="2" fillId="0" borderId="12" xfId="0" applyFont="1" applyBorder="1" applyAlignment="1">
      <alignment vertical="center"/>
    </xf>
    <xf numFmtId="43" fontId="2" fillId="0" borderId="8" xfId="0" applyNumberFormat="1" applyFont="1" applyBorder="1" applyAlignment="1">
      <alignment vertical="center"/>
    </xf>
    <xf numFmtId="43" fontId="2" fillId="0" borderId="8" xfId="1" applyNumberFormat="1" applyFont="1" applyBorder="1" applyAlignment="1">
      <alignment horizontal="center" vertical="center"/>
    </xf>
    <xf numFmtId="43" fontId="2" fillId="0" borderId="6" xfId="1" applyNumberFormat="1" applyFont="1" applyBorder="1" applyAlignment="1">
      <alignment horizontal="center" vertical="center"/>
    </xf>
    <xf numFmtId="43" fontId="2" fillId="7" borderId="6" xfId="1" applyNumberFormat="1" applyFont="1" applyFill="1" applyBorder="1" applyAlignment="1">
      <alignment horizontal="center" vertical="center"/>
    </xf>
    <xf numFmtId="43" fontId="7" fillId="0" borderId="4" xfId="1" applyNumberFormat="1" applyFont="1" applyBorder="1" applyAlignment="1">
      <alignment horizontal="center" vertical="center" wrapText="1"/>
    </xf>
    <xf numFmtId="0" fontId="7" fillId="8" borderId="7" xfId="0" applyFont="1" applyFill="1" applyBorder="1" applyAlignment="1">
      <alignment horizontal="justify" vertical="center" wrapText="1"/>
    </xf>
    <xf numFmtId="0" fontId="7" fillId="3" borderId="2" xfId="0" applyFont="1" applyFill="1" applyBorder="1" applyAlignment="1">
      <alignment horizontal="justify" vertical="center" wrapText="1"/>
    </xf>
    <xf numFmtId="0" fontId="2" fillId="6" borderId="2" xfId="0" applyFont="1" applyFill="1" applyBorder="1" applyAlignment="1">
      <alignment vertical="center"/>
    </xf>
    <xf numFmtId="0" fontId="7" fillId="12" borderId="2" xfId="0" applyFont="1" applyFill="1" applyBorder="1" applyAlignment="1">
      <alignment horizontal="justify" vertical="center" wrapText="1"/>
    </xf>
    <xf numFmtId="0" fontId="7" fillId="12" borderId="2" xfId="0" applyFont="1" applyFill="1" applyBorder="1" applyAlignment="1">
      <alignment horizontal="center" vertical="center" wrapText="1"/>
    </xf>
    <xf numFmtId="0" fontId="7" fillId="12" borderId="7" xfId="0" applyFont="1" applyFill="1" applyBorder="1" applyAlignment="1">
      <alignment horizontal="justify" vertical="center" wrapText="1"/>
    </xf>
    <xf numFmtId="0" fontId="7" fillId="12" borderId="2" xfId="0" applyFont="1" applyFill="1" applyBorder="1" applyAlignment="1">
      <alignment horizontal="center" vertical="center"/>
    </xf>
    <xf numFmtId="1" fontId="7" fillId="12" borderId="2" xfId="0" applyNumberFormat="1" applyFont="1" applyFill="1" applyBorder="1" applyAlignment="1">
      <alignment horizontal="center" vertical="center"/>
    </xf>
    <xf numFmtId="43" fontId="7" fillId="12" borderId="2" xfId="2" applyFont="1" applyFill="1" applyBorder="1" applyAlignment="1">
      <alignment horizontal="justify" vertical="center"/>
    </xf>
    <xf numFmtId="0" fontId="4" fillId="3" borderId="0" xfId="0" applyFont="1" applyFill="1" applyAlignment="1">
      <alignment horizontal="center"/>
    </xf>
    <xf numFmtId="1" fontId="4" fillId="3" borderId="0" xfId="0" applyNumberFormat="1" applyFont="1" applyFill="1"/>
    <xf numFmtId="0" fontId="7" fillId="3" borderId="0" xfId="0" applyFont="1" applyFill="1"/>
    <xf numFmtId="169" fontId="7" fillId="3" borderId="0" xfId="1" applyNumberFormat="1" applyFont="1" applyFill="1" applyAlignment="1">
      <alignment horizontal="center"/>
    </xf>
    <xf numFmtId="43" fontId="21" fillId="0" borderId="0" xfId="0" applyNumberFormat="1" applyFont="1"/>
    <xf numFmtId="0" fontId="5" fillId="0" borderId="0" xfId="0" applyFont="1" applyAlignment="1">
      <alignment horizontal="center" vertical="center"/>
    </xf>
    <xf numFmtId="0" fontId="4" fillId="0" borderId="15" xfId="0" applyFont="1" applyBorder="1"/>
    <xf numFmtId="0" fontId="4" fillId="0" borderId="0" xfId="0" applyFont="1" applyAlignment="1">
      <alignment vertical="center"/>
    </xf>
    <xf numFmtId="0" fontId="4" fillId="0" borderId="0" xfId="0" applyFont="1" applyAlignment="1">
      <alignment horizontal="left" vertical="center" wrapText="1"/>
    </xf>
    <xf numFmtId="0" fontId="4" fillId="0" borderId="0" xfId="0" applyFont="1" applyAlignment="1">
      <alignment horizontal="right"/>
    </xf>
    <xf numFmtId="0" fontId="11" fillId="0" borderId="0" xfId="0" applyFont="1"/>
    <xf numFmtId="43" fontId="7" fillId="0" borderId="2" xfId="0" applyNumberFormat="1" applyFont="1" applyFill="1" applyBorder="1"/>
    <xf numFmtId="0" fontId="4" fillId="0" borderId="0" xfId="0" applyFont="1" applyFill="1"/>
    <xf numFmtId="1" fontId="7" fillId="0" borderId="6" xfId="0" applyNumberFormat="1" applyFont="1" applyBorder="1" applyAlignment="1">
      <alignment horizontal="center" vertical="center" wrapText="1"/>
    </xf>
    <xf numFmtId="0" fontId="2" fillId="0" borderId="14" xfId="0" applyFont="1" applyFill="1" applyBorder="1" applyAlignment="1">
      <alignment vertical="center" wrapText="1"/>
    </xf>
    <xf numFmtId="0" fontId="7" fillId="0" borderId="4" xfId="0" applyFont="1" applyFill="1" applyBorder="1" applyAlignment="1">
      <alignment vertical="center" wrapText="1"/>
    </xf>
    <xf numFmtId="0" fontId="7" fillId="0" borderId="2" xfId="0" applyFont="1" applyFill="1" applyBorder="1" applyAlignment="1">
      <alignment horizontal="center" vertical="center"/>
    </xf>
    <xf numFmtId="1" fontId="7" fillId="0" borderId="2" xfId="0" applyNumberFormat="1" applyFont="1" applyFill="1" applyBorder="1" applyAlignment="1">
      <alignment horizontal="center" vertical="center"/>
    </xf>
    <xf numFmtId="0" fontId="7" fillId="0" borderId="2" xfId="0" applyFont="1" applyFill="1" applyBorder="1" applyAlignment="1">
      <alignment horizontal="justify" vertical="center"/>
    </xf>
    <xf numFmtId="43" fontId="7" fillId="0" borderId="2" xfId="2" applyFont="1" applyFill="1" applyBorder="1" applyAlignment="1">
      <alignment horizontal="justify" vertical="center"/>
    </xf>
    <xf numFmtId="43" fontId="7" fillId="0" borderId="6" xfId="2" applyFont="1" applyFill="1" applyBorder="1" applyAlignment="1">
      <alignment horizontal="justify" vertical="center"/>
    </xf>
    <xf numFmtId="43" fontId="4" fillId="0" borderId="2" xfId="0" applyNumberFormat="1" applyFont="1" applyFill="1" applyBorder="1" applyAlignment="1">
      <alignment vertical="center"/>
    </xf>
    <xf numFmtId="0" fontId="7" fillId="0" borderId="14" xfId="0" applyFont="1" applyFill="1" applyBorder="1" applyAlignment="1">
      <alignment vertical="center" wrapText="1"/>
    </xf>
    <xf numFmtId="43" fontId="7" fillId="0" borderId="2" xfId="1" applyNumberFormat="1" applyFont="1" applyFill="1" applyBorder="1" applyAlignment="1">
      <alignment horizontal="right" vertical="center" wrapText="1"/>
    </xf>
    <xf numFmtId="0" fontId="7" fillId="13" borderId="0" xfId="0" applyFont="1" applyFill="1"/>
    <xf numFmtId="169" fontId="7" fillId="0" borderId="0" xfId="1" applyNumberFormat="1" applyFont="1" applyAlignment="1">
      <alignment horizontal="center"/>
    </xf>
    <xf numFmtId="43" fontId="7" fillId="0" borderId="2" xfId="1" applyNumberFormat="1" applyFont="1" applyFill="1" applyBorder="1" applyAlignment="1">
      <alignment horizontal="center" vertical="center" wrapText="1"/>
    </xf>
    <xf numFmtId="43" fontId="7" fillId="15" borderId="6" xfId="2" applyFont="1" applyFill="1" applyBorder="1" applyAlignment="1">
      <alignment horizontal="justify" vertical="center"/>
    </xf>
    <xf numFmtId="43" fontId="5" fillId="14" borderId="2" xfId="2" applyFont="1" applyFill="1" applyBorder="1" applyAlignment="1">
      <alignment vertical="center"/>
    </xf>
    <xf numFmtId="1" fontId="7" fillId="0" borderId="6" xfId="0" applyNumberFormat="1" applyFont="1" applyFill="1" applyBorder="1" applyAlignment="1">
      <alignment horizontal="center" vertical="center"/>
    </xf>
    <xf numFmtId="0" fontId="7" fillId="7" borderId="10" xfId="0" applyFont="1" applyFill="1" applyBorder="1" applyAlignment="1">
      <alignment horizontal="center" vertical="center"/>
    </xf>
    <xf numFmtId="164" fontId="4" fillId="0" borderId="2" xfId="1" applyFont="1" applyFill="1" applyBorder="1" applyAlignment="1">
      <alignment horizontal="center" vertical="center"/>
    </xf>
    <xf numFmtId="164" fontId="4" fillId="0" borderId="2" xfId="1" applyFont="1" applyFill="1" applyBorder="1" applyAlignment="1">
      <alignment vertical="center"/>
    </xf>
    <xf numFmtId="0" fontId="23" fillId="0" borderId="2" xfId="0" applyFont="1" applyBorder="1" applyAlignment="1">
      <alignment horizontal="center" vertical="center" wrapText="1"/>
    </xf>
    <xf numFmtId="0" fontId="23" fillId="0" borderId="2" xfId="0" applyFont="1" applyBorder="1" applyAlignment="1">
      <alignment horizontal="justify" vertical="center" wrapText="1"/>
    </xf>
    <xf numFmtId="0" fontId="22" fillId="0" borderId="2" xfId="0" applyFont="1" applyBorder="1" applyAlignment="1">
      <alignment horizontal="center" vertical="center" wrapText="1"/>
    </xf>
    <xf numFmtId="49" fontId="23" fillId="0" borderId="2" xfId="0" applyNumberFormat="1" applyFont="1" applyBorder="1" applyAlignment="1">
      <alignment horizontal="justify" vertical="center" wrapText="1"/>
    </xf>
    <xf numFmtId="0" fontId="22" fillId="0" borderId="4" xfId="0" applyFont="1" applyBorder="1" applyAlignment="1">
      <alignment horizontal="center" vertical="center" wrapText="1"/>
    </xf>
    <xf numFmtId="0" fontId="7" fillId="0" borderId="2" xfId="0" applyFont="1" applyBorder="1" applyAlignment="1">
      <alignment horizontal="justify" vertical="center" wrapText="1"/>
    </xf>
    <xf numFmtId="0" fontId="7" fillId="0" borderId="12" xfId="0" applyFont="1" applyBorder="1" applyAlignment="1">
      <alignment horizontal="center" vertical="center" wrapText="1"/>
    </xf>
    <xf numFmtId="0" fontId="7" fillId="0" borderId="15" xfId="0" applyFont="1" applyBorder="1" applyAlignment="1">
      <alignment horizontal="center" vertical="center" wrapText="1"/>
    </xf>
    <xf numFmtId="0" fontId="8" fillId="0" borderId="2" xfId="0" applyFont="1" applyBorder="1" applyAlignment="1">
      <alignment horizontal="center" vertical="center" wrapText="1"/>
    </xf>
    <xf numFmtId="0" fontId="7" fillId="0" borderId="2" xfId="0" applyFont="1" applyFill="1" applyBorder="1" applyAlignment="1">
      <alignment vertical="center" wrapText="1"/>
    </xf>
    <xf numFmtId="3" fontId="7" fillId="0" borderId="12" xfId="0" applyNumberFormat="1" applyFont="1" applyBorder="1" applyAlignment="1">
      <alignment horizontal="center" vertical="center"/>
    </xf>
    <xf numFmtId="4" fontId="7" fillId="0" borderId="4" xfId="0" applyNumberFormat="1" applyFont="1" applyBorder="1" applyAlignment="1">
      <alignment horizontal="center" vertical="center" wrapText="1"/>
    </xf>
    <xf numFmtId="4" fontId="7" fillId="0" borderId="10" xfId="0" applyNumberFormat="1" applyFont="1" applyBorder="1" applyAlignment="1">
      <alignment horizontal="center" vertical="center" wrapText="1"/>
    </xf>
    <xf numFmtId="1" fontId="7" fillId="0" borderId="12" xfId="0" applyNumberFormat="1" applyFont="1" applyBorder="1" applyAlignment="1">
      <alignment horizontal="center" vertical="center" wrapText="1"/>
    </xf>
    <xf numFmtId="4" fontId="7" fillId="0" borderId="12" xfId="0" applyNumberFormat="1" applyFont="1" applyBorder="1" applyAlignment="1">
      <alignment horizontal="center" vertical="center" wrapText="1"/>
    </xf>
    <xf numFmtId="4" fontId="7" fillId="0" borderId="12" xfId="0" applyNumberFormat="1" applyFont="1" applyBorder="1" applyAlignment="1">
      <alignment horizontal="center" vertical="center"/>
    </xf>
    <xf numFmtId="3" fontId="7" fillId="0" borderId="0" xfId="0" applyNumberFormat="1" applyFont="1" applyBorder="1" applyAlignment="1">
      <alignment horizontal="center" vertical="center" wrapText="1"/>
    </xf>
    <xf numFmtId="3" fontId="2" fillId="7" borderId="12" xfId="0" applyNumberFormat="1" applyFont="1" applyFill="1" applyBorder="1" applyAlignment="1">
      <alignment vertical="center"/>
    </xf>
    <xf numFmtId="2" fontId="7" fillId="0" borderId="12" xfId="0" applyNumberFormat="1" applyFont="1" applyBorder="1" applyAlignment="1">
      <alignment horizontal="center" vertical="center" wrapText="1"/>
    </xf>
    <xf numFmtId="1" fontId="2" fillId="7" borderId="12" xfId="0" applyNumberFormat="1" applyFont="1" applyFill="1" applyBorder="1" applyAlignment="1">
      <alignment vertical="center"/>
    </xf>
    <xf numFmtId="1" fontId="7" fillId="7" borderId="10" xfId="0" applyNumberFormat="1" applyFont="1" applyFill="1" applyBorder="1" applyAlignment="1">
      <alignment horizontal="center" vertical="center" wrapText="1"/>
    </xf>
    <xf numFmtId="1" fontId="2" fillId="0" borderId="12" xfId="0" applyNumberFormat="1" applyFont="1" applyBorder="1" applyAlignment="1">
      <alignment vertical="center"/>
    </xf>
    <xf numFmtId="0" fontId="8" fillId="0" borderId="4" xfId="0" applyFont="1" applyFill="1" applyBorder="1" applyAlignment="1">
      <alignment horizontal="center" vertical="center"/>
    </xf>
    <xf numFmtId="0" fontId="8" fillId="0" borderId="2" xfId="0" applyFont="1" applyFill="1" applyBorder="1" applyAlignment="1">
      <alignment horizontal="center" vertical="center"/>
    </xf>
    <xf numFmtId="0" fontId="8" fillId="7" borderId="2"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5" borderId="2" xfId="0" applyFont="1" applyFill="1" applyBorder="1" applyAlignment="1">
      <alignment horizontal="center" vertical="center" wrapText="1"/>
    </xf>
    <xf numFmtId="0" fontId="8" fillId="8" borderId="2" xfId="0" applyFont="1" applyFill="1" applyBorder="1" applyAlignment="1">
      <alignment horizontal="center" vertical="center" wrapText="1"/>
    </xf>
    <xf numFmtId="0" fontId="3" fillId="7" borderId="8" xfId="0" applyFont="1" applyFill="1" applyBorder="1" applyAlignment="1">
      <alignment horizontal="center" vertical="center"/>
    </xf>
    <xf numFmtId="0" fontId="8" fillId="9" borderId="8" xfId="0" applyFont="1" applyFill="1" applyBorder="1" applyAlignment="1">
      <alignment horizontal="center" vertical="center" wrapText="1"/>
    </xf>
    <xf numFmtId="0" fontId="3" fillId="9" borderId="8" xfId="0" applyFont="1" applyFill="1" applyBorder="1" applyAlignment="1">
      <alignment horizontal="center" vertical="center"/>
    </xf>
    <xf numFmtId="0" fontId="8" fillId="6" borderId="8" xfId="0" applyFont="1" applyFill="1" applyBorder="1" applyAlignment="1">
      <alignment horizontal="center" vertical="center" wrapText="1"/>
    </xf>
    <xf numFmtId="0" fontId="3" fillId="10" borderId="8" xfId="0" applyFont="1" applyFill="1" applyBorder="1" applyAlignment="1">
      <alignment horizontal="center" vertical="center"/>
    </xf>
    <xf numFmtId="0" fontId="8" fillId="7" borderId="4" xfId="0" applyFont="1" applyFill="1" applyBorder="1" applyAlignment="1">
      <alignment horizontal="center" vertical="center" wrapText="1"/>
    </xf>
    <xf numFmtId="0" fontId="3" fillId="7" borderId="12" xfId="0" applyFont="1" applyFill="1" applyBorder="1" applyAlignment="1">
      <alignment horizontal="center" vertical="center"/>
    </xf>
    <xf numFmtId="0" fontId="2" fillId="7" borderId="12" xfId="0" applyFont="1" applyFill="1" applyBorder="1" applyAlignment="1">
      <alignment horizontal="center" vertical="center"/>
    </xf>
    <xf numFmtId="0" fontId="2" fillId="10" borderId="8" xfId="0" applyFont="1" applyFill="1" applyBorder="1" applyAlignment="1">
      <alignment horizontal="center" vertical="center"/>
    </xf>
    <xf numFmtId="164" fontId="7" fillId="7" borderId="2" xfId="1" applyFont="1" applyFill="1" applyBorder="1" applyAlignment="1">
      <alignment horizontal="center" vertical="center" wrapText="1"/>
    </xf>
    <xf numFmtId="0" fontId="8" fillId="7" borderId="8" xfId="0" applyFont="1" applyFill="1" applyBorder="1" applyAlignment="1">
      <alignment horizontal="center" vertical="center" wrapText="1"/>
    </xf>
    <xf numFmtId="0" fontId="8" fillId="7" borderId="2" xfId="0" applyFont="1" applyFill="1" applyBorder="1" applyAlignment="1">
      <alignment horizontal="center" vertical="center"/>
    </xf>
    <xf numFmtId="0" fontId="8" fillId="0" borderId="8" xfId="0" applyFont="1" applyBorder="1" applyAlignment="1">
      <alignment horizontal="center" vertical="center"/>
    </xf>
    <xf numFmtId="0" fontId="8" fillId="6" borderId="4" xfId="0" applyFont="1" applyFill="1" applyBorder="1" applyAlignment="1">
      <alignment horizontal="center" vertical="center" wrapText="1"/>
    </xf>
    <xf numFmtId="0" fontId="8" fillId="5" borderId="4" xfId="0" applyFont="1" applyFill="1" applyBorder="1" applyAlignment="1">
      <alignment horizontal="center" vertical="center" wrapText="1"/>
    </xf>
    <xf numFmtId="0" fontId="8" fillId="7" borderId="10" xfId="0" applyFont="1" applyFill="1" applyBorder="1" applyAlignment="1">
      <alignment horizontal="center" vertical="center" wrapText="1"/>
    </xf>
    <xf numFmtId="0" fontId="8" fillId="6" borderId="2" xfId="0" applyFont="1" applyFill="1" applyBorder="1" applyAlignment="1">
      <alignment horizontal="center" vertical="center"/>
    </xf>
    <xf numFmtId="0" fontId="8" fillId="7" borderId="14" xfId="0" applyFont="1" applyFill="1" applyBorder="1" applyAlignment="1">
      <alignment horizontal="center" vertical="center"/>
    </xf>
    <xf numFmtId="0" fontId="8" fillId="7" borderId="4" xfId="0" applyFont="1" applyFill="1" applyBorder="1" applyAlignment="1">
      <alignment horizontal="center" vertical="center"/>
    </xf>
    <xf numFmtId="0" fontId="8" fillId="6" borderId="4" xfId="0" applyFont="1" applyFill="1" applyBorder="1" applyAlignment="1">
      <alignment horizontal="center" vertical="center"/>
    </xf>
    <xf numFmtId="0" fontId="8" fillId="5" borderId="2" xfId="0" applyFont="1" applyFill="1" applyBorder="1" applyAlignment="1">
      <alignment horizontal="center" vertical="center"/>
    </xf>
    <xf numFmtId="0" fontId="8" fillId="8" borderId="2" xfId="0" applyFont="1" applyFill="1" applyBorder="1" applyAlignment="1">
      <alignment horizontal="center" vertical="center"/>
    </xf>
    <xf numFmtId="0" fontId="8" fillId="7" borderId="8" xfId="0" applyFont="1" applyFill="1" applyBorder="1" applyAlignment="1">
      <alignment horizontal="center" vertical="center"/>
    </xf>
    <xf numFmtId="0" fontId="3" fillId="0" borderId="12" xfId="0" applyFont="1" applyBorder="1" applyAlignment="1">
      <alignment horizontal="center" vertical="center"/>
    </xf>
    <xf numFmtId="0" fontId="8" fillId="12" borderId="2" xfId="0" applyFont="1" applyFill="1" applyBorder="1" applyAlignment="1">
      <alignment horizontal="center" vertical="center" wrapText="1"/>
    </xf>
    <xf numFmtId="43" fontId="7" fillId="0" borderId="13" xfId="2" applyFont="1" applyFill="1" applyBorder="1" applyAlignment="1">
      <alignment horizontal="justify" vertical="center"/>
    </xf>
    <xf numFmtId="43" fontId="7" fillId="0" borderId="5" xfId="1" applyNumberFormat="1" applyFont="1" applyBorder="1" applyAlignment="1">
      <alignment horizontal="center" vertical="center" wrapText="1"/>
    </xf>
    <xf numFmtId="0" fontId="2" fillId="0" borderId="1" xfId="0" applyFont="1" applyFill="1" applyBorder="1" applyAlignment="1">
      <alignment vertical="center" wrapText="1"/>
    </xf>
    <xf numFmtId="0" fontId="7" fillId="0" borderId="7" xfId="0" applyFont="1" applyFill="1" applyBorder="1" applyAlignment="1">
      <alignment horizontal="justify" vertical="center" wrapText="1"/>
    </xf>
    <xf numFmtId="0" fontId="9" fillId="0" borderId="4" xfId="0" applyFont="1" applyFill="1" applyBorder="1" applyAlignment="1">
      <alignment horizontal="center" vertical="center"/>
    </xf>
    <xf numFmtId="9" fontId="7" fillId="0" borderId="4" xfId="0" applyNumberFormat="1" applyFont="1" applyFill="1" applyBorder="1" applyAlignment="1">
      <alignment horizontal="center" vertical="center"/>
    </xf>
    <xf numFmtId="0" fontId="8" fillId="0" borderId="2" xfId="0" applyFont="1" applyFill="1" applyBorder="1" applyAlignment="1">
      <alignment horizontal="center" vertical="center" wrapText="1"/>
    </xf>
    <xf numFmtId="1" fontId="7" fillId="0" borderId="2" xfId="0" applyNumberFormat="1" applyFont="1" applyFill="1" applyBorder="1" applyAlignment="1">
      <alignment horizontal="center" vertical="center" wrapText="1"/>
    </xf>
    <xf numFmtId="168" fontId="7" fillId="0" borderId="2" xfId="2" applyNumberFormat="1" applyFont="1" applyFill="1" applyBorder="1" applyAlignment="1">
      <alignment horizontal="center" vertical="center" wrapText="1"/>
    </xf>
    <xf numFmtId="1" fontId="7" fillId="0" borderId="10" xfId="0" applyNumberFormat="1" applyFont="1" applyFill="1" applyBorder="1" applyAlignment="1">
      <alignment horizontal="center" vertical="center"/>
    </xf>
    <xf numFmtId="0" fontId="7" fillId="0" borderId="1" xfId="0" applyFont="1" applyFill="1" applyBorder="1" applyAlignment="1">
      <alignment vertical="center" wrapText="1"/>
    </xf>
    <xf numFmtId="0" fontId="7" fillId="0" borderId="10" xfId="0" applyFont="1" applyFill="1" applyBorder="1" applyAlignment="1">
      <alignment vertical="center" wrapText="1"/>
    </xf>
    <xf numFmtId="43" fontId="7" fillId="3" borderId="2" xfId="1" applyNumberFormat="1" applyFont="1" applyFill="1" applyBorder="1" applyAlignment="1">
      <alignment horizontal="center" vertical="center" wrapText="1"/>
    </xf>
    <xf numFmtId="0" fontId="2" fillId="3" borderId="14" xfId="0" applyFont="1" applyFill="1" applyBorder="1" applyAlignment="1">
      <alignment vertical="center" wrapText="1"/>
    </xf>
    <xf numFmtId="0" fontId="7" fillId="3" borderId="10" xfId="0" applyFont="1" applyFill="1" applyBorder="1" applyAlignment="1">
      <alignment vertical="center" wrapText="1"/>
    </xf>
    <xf numFmtId="0" fontId="7" fillId="3" borderId="2" xfId="0" applyFont="1" applyFill="1" applyBorder="1" applyAlignment="1">
      <alignment horizontal="center" vertical="center"/>
    </xf>
    <xf numFmtId="43" fontId="9" fillId="0" borderId="2" xfId="2" applyFont="1" applyFill="1" applyBorder="1" applyAlignment="1">
      <alignment horizontal="justify" vertical="center"/>
    </xf>
    <xf numFmtId="43" fontId="3" fillId="0" borderId="8" xfId="2" applyFont="1" applyBorder="1" applyAlignment="1">
      <alignment horizontal="justify" vertical="center"/>
    </xf>
    <xf numFmtId="43" fontId="7" fillId="0" borderId="2" xfId="0" applyNumberFormat="1" applyFont="1" applyBorder="1" applyAlignment="1">
      <alignment horizontal="center" vertical="center" wrapText="1"/>
    </xf>
    <xf numFmtId="43" fontId="7" fillId="0" borderId="6" xfId="0" applyNumberFormat="1" applyFont="1" applyBorder="1" applyAlignment="1">
      <alignment horizontal="center" vertical="center" wrapText="1"/>
    </xf>
    <xf numFmtId="43" fontId="7" fillId="0" borderId="2" xfId="2" applyFont="1" applyBorder="1" applyAlignment="1">
      <alignment horizontal="center" vertical="center" wrapText="1"/>
    </xf>
    <xf numFmtId="43" fontId="7" fillId="0" borderId="2" xfId="0" applyNumberFormat="1" applyFont="1" applyFill="1" applyBorder="1" applyAlignment="1">
      <alignment horizontal="center" vertical="center"/>
    </xf>
    <xf numFmtId="0" fontId="7" fillId="0" borderId="10" xfId="0" applyFont="1" applyFill="1" applyBorder="1" applyAlignment="1">
      <alignment horizontal="center" vertical="center"/>
    </xf>
    <xf numFmtId="43" fontId="2" fillId="0" borderId="2" xfId="0" applyNumberFormat="1" applyFont="1" applyFill="1" applyBorder="1" applyAlignment="1">
      <alignment horizontal="left" vertical="center"/>
    </xf>
    <xf numFmtId="43" fontId="2" fillId="0" borderId="10" xfId="0" applyNumberFormat="1" applyFont="1" applyFill="1" applyBorder="1" applyAlignment="1">
      <alignment horizontal="left" vertical="center"/>
    </xf>
    <xf numFmtId="43" fontId="7" fillId="0" borderId="10" xfId="2" applyFont="1" applyFill="1" applyBorder="1" applyAlignment="1">
      <alignment horizontal="justify" vertical="center"/>
    </xf>
    <xf numFmtId="43" fontId="2" fillId="0" borderId="6" xfId="0" applyNumberFormat="1" applyFont="1" applyFill="1" applyBorder="1" applyAlignment="1">
      <alignment horizontal="left" vertical="center"/>
    </xf>
    <xf numFmtId="43" fontId="7" fillId="0" borderId="6" xfId="1" applyNumberFormat="1" applyFont="1" applyFill="1" applyBorder="1" applyAlignment="1">
      <alignment horizontal="center" vertical="center"/>
    </xf>
    <xf numFmtId="0" fontId="17" fillId="0" borderId="0" xfId="0" applyFont="1" applyFill="1" applyAlignment="1">
      <alignment vertical="center"/>
    </xf>
    <xf numFmtId="0" fontId="7" fillId="0" borderId="2" xfId="1" applyNumberFormat="1" applyFont="1" applyFill="1" applyBorder="1" applyAlignment="1">
      <alignment horizontal="center" vertical="center" wrapText="1"/>
    </xf>
    <xf numFmtId="1" fontId="4" fillId="0" borderId="2" xfId="0" applyNumberFormat="1" applyFont="1" applyFill="1" applyBorder="1" applyAlignment="1">
      <alignment horizontal="center" vertical="center" wrapText="1"/>
    </xf>
    <xf numFmtId="1" fontId="4" fillId="0" borderId="5" xfId="0" applyNumberFormat="1" applyFont="1" applyFill="1" applyBorder="1" applyAlignment="1">
      <alignment horizontal="center" vertical="center" wrapText="1"/>
    </xf>
    <xf numFmtId="0" fontId="7" fillId="0" borderId="5" xfId="0" applyFont="1" applyFill="1" applyBorder="1" applyAlignment="1">
      <alignment vertical="center" wrapText="1"/>
    </xf>
    <xf numFmtId="43" fontId="7" fillId="0" borderId="6" xfId="2" applyFont="1" applyFill="1" applyBorder="1"/>
    <xf numFmtId="43" fontId="7" fillId="0" borderId="6" xfId="1" applyNumberFormat="1" applyFont="1" applyFill="1" applyBorder="1" applyAlignment="1">
      <alignment horizontal="center" vertical="center" wrapText="1"/>
    </xf>
    <xf numFmtId="1" fontId="4" fillId="0" borderId="6" xfId="0" applyNumberFormat="1" applyFont="1" applyFill="1" applyBorder="1" applyAlignment="1">
      <alignment horizontal="center" vertical="center" wrapText="1"/>
    </xf>
    <xf numFmtId="0" fontId="7" fillId="0" borderId="6" xfId="0" applyFont="1" applyFill="1" applyBorder="1" applyAlignment="1">
      <alignment vertical="center" wrapText="1"/>
    </xf>
    <xf numFmtId="1" fontId="4" fillId="0" borderId="4" xfId="0" applyNumberFormat="1" applyFont="1" applyFill="1" applyBorder="1" applyAlignment="1">
      <alignment horizontal="center" vertical="center" wrapText="1"/>
    </xf>
    <xf numFmtId="3" fontId="7" fillId="0" borderId="2" xfId="0" applyNumberFormat="1" applyFont="1" applyFill="1" applyBorder="1" applyAlignment="1">
      <alignment horizontal="center" vertical="center" wrapText="1"/>
    </xf>
    <xf numFmtId="43" fontId="7" fillId="0" borderId="10" xfId="0" applyNumberFormat="1" applyFont="1" applyFill="1" applyBorder="1" applyAlignment="1">
      <alignment vertical="center"/>
    </xf>
    <xf numFmtId="43" fontId="7" fillId="0" borderId="6" xfId="2" applyFont="1" applyFill="1" applyBorder="1" applyAlignment="1">
      <alignment vertical="center"/>
    </xf>
    <xf numFmtId="3" fontId="7" fillId="0" borderId="4" xfId="0" applyNumberFormat="1" applyFont="1" applyFill="1" applyBorder="1" applyAlignment="1">
      <alignment horizontal="center" vertical="center" wrapText="1"/>
    </xf>
    <xf numFmtId="43" fontId="7" fillId="0" borderId="4" xfId="2" applyFont="1" applyFill="1" applyBorder="1" applyAlignment="1">
      <alignment horizontal="justify" vertical="center"/>
    </xf>
    <xf numFmtId="43" fontId="7" fillId="0" borderId="4" xfId="1" applyNumberFormat="1" applyFont="1" applyFill="1" applyBorder="1" applyAlignment="1">
      <alignment vertical="center"/>
    </xf>
    <xf numFmtId="0" fontId="18" fillId="0" borderId="2" xfId="0" applyFont="1" applyFill="1" applyBorder="1" applyAlignment="1">
      <alignment horizontal="center" vertical="center" wrapText="1"/>
    </xf>
    <xf numFmtId="170" fontId="4" fillId="0" borderId="6" xfId="0" applyNumberFormat="1" applyFont="1" applyFill="1" applyBorder="1" applyAlignment="1">
      <alignment horizontal="center" vertical="center" wrapText="1"/>
    </xf>
    <xf numFmtId="1" fontId="4" fillId="0" borderId="17" xfId="0" applyNumberFormat="1" applyFont="1" applyFill="1" applyBorder="1" applyAlignment="1">
      <alignment horizontal="center" vertical="center"/>
    </xf>
    <xf numFmtId="1" fontId="4" fillId="0" borderId="14" xfId="0" applyNumberFormat="1" applyFont="1" applyFill="1" applyBorder="1" applyAlignment="1">
      <alignment horizontal="center" vertical="center"/>
    </xf>
    <xf numFmtId="43" fontId="7" fillId="0" borderId="2" xfId="1" applyNumberFormat="1" applyFont="1" applyFill="1" applyBorder="1" applyAlignment="1">
      <alignment horizontal="center" vertical="center"/>
    </xf>
    <xf numFmtId="1" fontId="4" fillId="0" borderId="4" xfId="0" applyNumberFormat="1" applyFont="1" applyFill="1" applyBorder="1" applyAlignment="1">
      <alignment horizontal="center" vertical="center"/>
    </xf>
    <xf numFmtId="1" fontId="4" fillId="0" borderId="18" xfId="0" applyNumberFormat="1" applyFont="1" applyFill="1" applyBorder="1" applyAlignment="1">
      <alignment horizontal="center" vertical="center"/>
    </xf>
    <xf numFmtId="1" fontId="4" fillId="0" borderId="2" xfId="0" applyNumberFormat="1" applyFont="1" applyFill="1" applyBorder="1" applyAlignment="1">
      <alignment horizontal="center" vertical="center"/>
    </xf>
    <xf numFmtId="0" fontId="7" fillId="0" borderId="2" xfId="2" applyNumberFormat="1" applyFont="1" applyFill="1" applyBorder="1" applyAlignment="1">
      <alignment horizontal="center" vertical="center"/>
    </xf>
    <xf numFmtId="1" fontId="4" fillId="0" borderId="10" xfId="0" applyNumberFormat="1" applyFont="1" applyFill="1" applyBorder="1" applyAlignment="1">
      <alignment horizontal="center" vertical="center"/>
    </xf>
    <xf numFmtId="1" fontId="4" fillId="0" borderId="2" xfId="1" applyNumberFormat="1" applyFont="1" applyFill="1" applyBorder="1" applyAlignment="1">
      <alignment horizontal="center" vertical="center"/>
    </xf>
    <xf numFmtId="2" fontId="4" fillId="0" borderId="2" xfId="1" applyNumberFormat="1" applyFont="1" applyFill="1" applyBorder="1" applyAlignment="1">
      <alignment horizontal="center" vertical="center"/>
    </xf>
    <xf numFmtId="0" fontId="7" fillId="0" borderId="5" xfId="0" applyFont="1" applyFill="1" applyBorder="1" applyAlignment="1">
      <alignment horizontal="center" vertical="center" wrapText="1"/>
    </xf>
    <xf numFmtId="0" fontId="7" fillId="0" borderId="20" xfId="0" applyFont="1" applyFill="1" applyBorder="1" applyAlignment="1">
      <alignment horizontal="justify" vertical="center" wrapText="1"/>
    </xf>
    <xf numFmtId="0" fontId="7" fillId="0" borderId="20" xfId="0" applyFont="1" applyFill="1" applyBorder="1" applyAlignment="1">
      <alignment horizontal="center" vertical="center"/>
    </xf>
    <xf numFmtId="1" fontId="7" fillId="0" borderId="21" xfId="0" applyNumberFormat="1" applyFont="1" applyFill="1" applyBorder="1" applyAlignment="1">
      <alignment horizontal="center" vertical="center"/>
    </xf>
    <xf numFmtId="1" fontId="7" fillId="0" borderId="11" xfId="0" applyNumberFormat="1" applyFont="1" applyFill="1" applyBorder="1" applyAlignment="1">
      <alignment horizontal="center" vertical="center"/>
    </xf>
    <xf numFmtId="0" fontId="2" fillId="0" borderId="13" xfId="0" applyFont="1" applyFill="1" applyBorder="1" applyAlignment="1">
      <alignment horizontal="justify" vertical="center" wrapText="1"/>
    </xf>
    <xf numFmtId="170" fontId="7" fillId="0" borderId="6" xfId="0" applyNumberFormat="1" applyFont="1" applyFill="1" applyBorder="1" applyAlignment="1">
      <alignment horizontal="center" vertical="center"/>
    </xf>
    <xf numFmtId="0" fontId="7" fillId="0" borderId="6" xfId="0" applyFont="1" applyFill="1" applyBorder="1" applyAlignment="1">
      <alignment horizontal="center" vertical="center" wrapText="1"/>
    </xf>
    <xf numFmtId="0" fontId="7" fillId="0" borderId="2" xfId="0" applyFont="1" applyFill="1" applyBorder="1"/>
    <xf numFmtId="3" fontId="9" fillId="0" borderId="2" xfId="0" applyNumberFormat="1" applyFont="1" applyFill="1" applyBorder="1" applyAlignment="1">
      <alignment horizontal="center" vertical="center"/>
    </xf>
    <xf numFmtId="3" fontId="9" fillId="0" borderId="10" xfId="0" applyNumberFormat="1" applyFont="1" applyFill="1" applyBorder="1" applyAlignment="1">
      <alignment horizontal="center" vertical="center"/>
    </xf>
    <xf numFmtId="43" fontId="7" fillId="0" borderId="2" xfId="1" applyNumberFormat="1" applyFont="1" applyFill="1" applyBorder="1" applyAlignment="1">
      <alignment vertical="center"/>
    </xf>
    <xf numFmtId="43" fontId="2" fillId="0" borderId="11" xfId="0" applyNumberFormat="1" applyFont="1" applyFill="1" applyBorder="1" applyAlignment="1">
      <alignment horizontal="left" vertical="center"/>
    </xf>
    <xf numFmtId="43" fontId="7" fillId="0" borderId="10" xfId="1" applyNumberFormat="1" applyFont="1" applyFill="1" applyBorder="1" applyAlignment="1">
      <alignment horizontal="right" vertical="center"/>
    </xf>
    <xf numFmtId="43" fontId="7" fillId="0" borderId="11" xfId="2" applyFont="1" applyFill="1" applyBorder="1" applyAlignment="1">
      <alignment horizontal="justify" vertical="center"/>
    </xf>
    <xf numFmtId="3" fontId="7" fillId="0" borderId="2" xfId="0" applyNumberFormat="1" applyFont="1" applyFill="1" applyBorder="1" applyAlignment="1">
      <alignment horizontal="center" vertical="center"/>
    </xf>
    <xf numFmtId="0" fontId="2" fillId="0" borderId="13" xfId="0" applyFont="1" applyFill="1" applyBorder="1" applyAlignment="1">
      <alignment vertical="center" wrapText="1"/>
    </xf>
    <xf numFmtId="3" fontId="4" fillId="0" borderId="2" xfId="0" applyNumberFormat="1" applyFont="1" applyFill="1" applyBorder="1" applyAlignment="1">
      <alignment horizontal="center" vertical="center"/>
    </xf>
    <xf numFmtId="0" fontId="7" fillId="0" borderId="9" xfId="0" applyFont="1" applyFill="1" applyBorder="1" applyAlignment="1">
      <alignment horizontal="center" vertical="top" wrapText="1"/>
    </xf>
    <xf numFmtId="0" fontId="7" fillId="0" borderId="2" xfId="0" applyFont="1" applyFill="1" applyBorder="1" applyAlignment="1">
      <alignment horizontal="justify" vertical="top" wrapText="1"/>
    </xf>
    <xf numFmtId="0" fontId="7" fillId="0" borderId="10" xfId="0" applyFont="1" applyFill="1" applyBorder="1" applyAlignment="1">
      <alignment horizontal="center" vertical="top" wrapText="1"/>
    </xf>
    <xf numFmtId="3" fontId="7" fillId="0" borderId="14" xfId="0" applyNumberFormat="1" applyFont="1" applyFill="1" applyBorder="1" applyAlignment="1">
      <alignment horizontal="center" vertical="center" wrapText="1"/>
    </xf>
    <xf numFmtId="3" fontId="7" fillId="0" borderId="10" xfId="0" applyNumberFormat="1" applyFont="1" applyFill="1" applyBorder="1" applyAlignment="1">
      <alignment horizontal="center" vertical="center" wrapText="1"/>
    </xf>
    <xf numFmtId="2" fontId="7" fillId="0" borderId="10" xfId="0" applyNumberFormat="1" applyFont="1" applyFill="1" applyBorder="1" applyAlignment="1">
      <alignment horizontal="center" vertical="center" wrapText="1"/>
    </xf>
    <xf numFmtId="0" fontId="9" fillId="0" borderId="2" xfId="0" applyFont="1" applyFill="1" applyBorder="1" applyAlignment="1">
      <alignment horizontal="justify" vertical="center" wrapText="1"/>
    </xf>
    <xf numFmtId="0" fontId="4" fillId="0" borderId="0" xfId="0" applyFont="1" applyFill="1" applyAlignment="1">
      <alignment vertical="center"/>
    </xf>
    <xf numFmtId="43" fontId="7" fillId="0" borderId="14" xfId="2" applyFont="1" applyFill="1" applyBorder="1" applyAlignment="1">
      <alignment horizontal="center" vertical="center"/>
    </xf>
    <xf numFmtId="168" fontId="7" fillId="0" borderId="14" xfId="3" applyNumberFormat="1" applyFont="1" applyFill="1" applyBorder="1" applyAlignment="1">
      <alignment horizontal="center" vertical="center"/>
    </xf>
    <xf numFmtId="0" fontId="7" fillId="0" borderId="3" xfId="0" applyFont="1" applyFill="1" applyBorder="1" applyAlignment="1">
      <alignment vertical="center" wrapText="1"/>
    </xf>
    <xf numFmtId="0" fontId="7" fillId="0" borderId="9" xfId="0" applyFont="1" applyFill="1" applyBorder="1" applyAlignment="1">
      <alignment vertical="center" wrapText="1"/>
    </xf>
    <xf numFmtId="0" fontId="7" fillId="0" borderId="2" xfId="0" applyFont="1" applyFill="1" applyBorder="1" applyAlignment="1" applyProtection="1">
      <alignment horizontal="center" vertical="center" wrapText="1"/>
      <protection locked="0"/>
    </xf>
    <xf numFmtId="0" fontId="7" fillId="0" borderId="2" xfId="0" applyFont="1" applyFill="1" applyBorder="1" applyAlignment="1" applyProtection="1">
      <alignment horizontal="justify" vertical="center" wrapText="1"/>
      <protection locked="0"/>
    </xf>
    <xf numFmtId="43" fontId="7" fillId="0" borderId="2" xfId="2" applyFont="1" applyFill="1" applyBorder="1" applyAlignment="1">
      <alignment horizontal="center" vertical="center"/>
    </xf>
    <xf numFmtId="168" fontId="7" fillId="0" borderId="2" xfId="3" applyNumberFormat="1" applyFont="1" applyFill="1" applyBorder="1" applyAlignment="1">
      <alignment horizontal="center" vertical="center"/>
    </xf>
    <xf numFmtId="0" fontId="4" fillId="0" borderId="2" xfId="0" applyFont="1" applyFill="1" applyBorder="1"/>
    <xf numFmtId="173" fontId="7" fillId="0" borderId="2" xfId="0" applyNumberFormat="1" applyFont="1" applyFill="1" applyBorder="1" applyAlignment="1">
      <alignment horizontal="center" vertical="center" wrapText="1"/>
    </xf>
    <xf numFmtId="0" fontId="2" fillId="0" borderId="2" xfId="0" applyFont="1" applyFill="1" applyBorder="1" applyAlignment="1">
      <alignment horizontal="justify" vertical="center" wrapText="1"/>
    </xf>
    <xf numFmtId="0" fontId="7" fillId="0" borderId="14" xfId="0" applyFont="1" applyFill="1" applyBorder="1" applyAlignment="1">
      <alignment vertical="center"/>
    </xf>
    <xf numFmtId="3" fontId="7" fillId="0" borderId="16" xfId="0" applyNumberFormat="1" applyFont="1" applyFill="1" applyBorder="1" applyAlignment="1">
      <alignment horizontal="center" vertical="center" wrapText="1"/>
    </xf>
    <xf numFmtId="43" fontId="7" fillId="0" borderId="2" xfId="2" applyFont="1" applyFill="1" applyBorder="1" applyAlignment="1">
      <alignment horizontal="justify" vertical="center" wrapText="1"/>
    </xf>
    <xf numFmtId="0" fontId="7" fillId="0" borderId="10" xfId="0" applyFont="1" applyFill="1" applyBorder="1" applyAlignment="1">
      <alignment vertical="center"/>
    </xf>
    <xf numFmtId="1" fontId="7" fillId="0" borderId="10" xfId="0" applyNumberFormat="1" applyFont="1" applyFill="1" applyBorder="1" applyAlignment="1">
      <alignment horizontal="center" vertical="center" wrapText="1"/>
    </xf>
    <xf numFmtId="9" fontId="7" fillId="0" borderId="2" xfId="0" applyNumberFormat="1" applyFont="1" applyFill="1" applyBorder="1" applyAlignment="1">
      <alignment horizontal="center" vertical="center" wrapText="1"/>
    </xf>
    <xf numFmtId="43" fontId="7" fillId="0" borderId="5" xfId="2" applyFont="1" applyFill="1" applyBorder="1" applyAlignment="1">
      <alignment horizontal="justify" vertical="center"/>
    </xf>
    <xf numFmtId="10" fontId="7" fillId="0" borderId="2" xfId="0" applyNumberFormat="1" applyFont="1" applyFill="1" applyBorder="1" applyAlignment="1">
      <alignment horizontal="center" vertical="center" wrapText="1"/>
    </xf>
    <xf numFmtId="43" fontId="2" fillId="0" borderId="2" xfId="2" applyFont="1" applyFill="1" applyBorder="1" applyAlignment="1">
      <alignment horizontal="justify" vertical="center"/>
    </xf>
    <xf numFmtId="43" fontId="9" fillId="0" borderId="6" xfId="2" applyFont="1" applyFill="1" applyBorder="1" applyAlignment="1">
      <alignment horizontal="justify" vertical="center"/>
    </xf>
    <xf numFmtId="3" fontId="7" fillId="0" borderId="2" xfId="0" applyNumberFormat="1" applyFont="1" applyFill="1" applyBorder="1" applyAlignment="1">
      <alignment horizontal="left" vertical="center" wrapText="1"/>
    </xf>
    <xf numFmtId="10" fontId="7" fillId="0" borderId="2" xfId="0" applyNumberFormat="1" applyFont="1" applyFill="1" applyBorder="1" applyAlignment="1">
      <alignment vertical="center" wrapText="1"/>
    </xf>
    <xf numFmtId="0" fontId="7" fillId="0" borderId="3" xfId="0" applyFont="1" applyFill="1" applyBorder="1" applyAlignment="1">
      <alignment horizontal="justify" vertical="center" wrapText="1"/>
    </xf>
    <xf numFmtId="43" fontId="7" fillId="0" borderId="14" xfId="2" applyFont="1" applyFill="1" applyBorder="1" applyAlignment="1">
      <alignment horizontal="justify" vertical="center"/>
    </xf>
    <xf numFmtId="0" fontId="7" fillId="0" borderId="1" xfId="0" applyFont="1" applyFill="1" applyBorder="1" applyAlignment="1">
      <alignment horizontal="justify" vertical="center" wrapText="1"/>
    </xf>
    <xf numFmtId="10" fontId="7" fillId="0" borderId="1" xfId="0" applyNumberFormat="1" applyFont="1" applyFill="1" applyBorder="1" applyAlignment="1">
      <alignment horizontal="center" vertical="center" wrapText="1"/>
    </xf>
    <xf numFmtId="0" fontId="4" fillId="0" borderId="14" xfId="0" applyFont="1" applyFill="1" applyBorder="1" applyAlignment="1">
      <alignment horizontal="center"/>
    </xf>
    <xf numFmtId="0" fontId="4" fillId="0" borderId="14" xfId="0" applyFont="1" applyFill="1" applyBorder="1"/>
    <xf numFmtId="43" fontId="7" fillId="0" borderId="2" xfId="0" applyNumberFormat="1" applyFont="1" applyFill="1" applyBorder="1" applyAlignment="1">
      <alignment vertical="center"/>
    </xf>
    <xf numFmtId="10" fontId="7" fillId="0" borderId="14" xfId="0" applyNumberFormat="1" applyFont="1" applyFill="1" applyBorder="1" applyAlignment="1">
      <alignment vertical="center" wrapText="1"/>
    </xf>
    <xf numFmtId="9" fontId="7" fillId="0" borderId="10" xfId="0" applyNumberFormat="1" applyFont="1" applyFill="1" applyBorder="1" applyAlignment="1">
      <alignment vertical="center" wrapText="1"/>
    </xf>
    <xf numFmtId="3" fontId="7" fillId="0" borderId="2" xfId="0" applyNumberFormat="1" applyFont="1" applyFill="1" applyBorder="1" applyAlignment="1">
      <alignment horizontal="left" vertical="center"/>
    </xf>
    <xf numFmtId="43" fontId="9" fillId="0" borderId="2" xfId="2" applyFont="1" applyFill="1" applyBorder="1" applyAlignment="1">
      <alignment horizontal="justify" vertical="center" wrapText="1"/>
    </xf>
    <xf numFmtId="0" fontId="2" fillId="0" borderId="4" xfId="0" applyFont="1" applyFill="1" applyBorder="1" applyAlignment="1">
      <alignment vertical="center" wrapText="1"/>
    </xf>
    <xf numFmtId="10" fontId="7" fillId="0" borderId="10" xfId="0" applyNumberFormat="1" applyFont="1" applyFill="1" applyBorder="1" applyAlignment="1">
      <alignment vertical="center" wrapText="1"/>
    </xf>
    <xf numFmtId="3" fontId="4" fillId="0" borderId="6" xfId="0" applyNumberFormat="1" applyFont="1" applyFill="1" applyBorder="1" applyAlignment="1">
      <alignment horizontal="center" vertical="center"/>
    </xf>
    <xf numFmtId="3" fontId="4" fillId="0" borderId="0" xfId="0" applyNumberFormat="1" applyFont="1" applyFill="1" applyBorder="1" applyAlignment="1">
      <alignment horizontal="center" vertical="center"/>
    </xf>
    <xf numFmtId="0" fontId="4" fillId="0" borderId="0" xfId="0" applyFont="1" applyFill="1" applyAlignment="1">
      <alignment horizontal="left" vertical="center" wrapText="1"/>
    </xf>
    <xf numFmtId="13" fontId="7" fillId="0" borderId="14" xfId="0" applyNumberFormat="1" applyFont="1" applyFill="1" applyBorder="1" applyAlignment="1">
      <alignment horizontal="center" vertical="center" wrapText="1"/>
    </xf>
    <xf numFmtId="3" fontId="4" fillId="0" borderId="5" xfId="0" applyNumberFormat="1" applyFont="1" applyFill="1" applyBorder="1" applyAlignment="1">
      <alignment horizontal="center" vertical="center"/>
    </xf>
    <xf numFmtId="43" fontId="7" fillId="0" borderId="4" xfId="1" applyNumberFormat="1" applyFont="1" applyFill="1" applyBorder="1" applyAlignment="1">
      <alignment horizontal="center" vertical="center"/>
    </xf>
    <xf numFmtId="1" fontId="8" fillId="0" borderId="22" xfId="0" applyNumberFormat="1" applyFont="1" applyFill="1" applyBorder="1" applyAlignment="1">
      <alignment horizontal="center" vertical="center" wrapText="1"/>
    </xf>
    <xf numFmtId="0" fontId="7" fillId="0" borderId="9" xfId="0" applyFont="1" applyFill="1" applyBorder="1" applyAlignment="1">
      <alignment horizontal="justify" vertical="center" wrapText="1"/>
    </xf>
    <xf numFmtId="43" fontId="7" fillId="0" borderId="2" xfId="0" applyNumberFormat="1" applyFont="1" applyFill="1" applyBorder="1" applyAlignment="1">
      <alignment horizontal="justify" vertical="center" wrapText="1"/>
    </xf>
    <xf numFmtId="43" fontId="7" fillId="0" borderId="6" xfId="0" applyNumberFormat="1" applyFont="1" applyFill="1" applyBorder="1" applyAlignment="1">
      <alignment horizontal="justify" vertical="center" wrapText="1"/>
    </xf>
    <xf numFmtId="9" fontId="7" fillId="0" borderId="2" xfId="3" applyFont="1" applyFill="1" applyBorder="1" applyAlignment="1">
      <alignment horizontal="center" vertical="center" wrapText="1"/>
    </xf>
    <xf numFmtId="0" fontId="7" fillId="0" borderId="2" xfId="2" applyNumberFormat="1" applyFont="1" applyFill="1" applyBorder="1" applyAlignment="1">
      <alignment horizontal="center" vertical="center" wrapText="1"/>
    </xf>
    <xf numFmtId="0" fontId="4" fillId="0" borderId="4" xfId="0" applyFont="1" applyFill="1" applyBorder="1" applyAlignment="1">
      <alignment horizontal="justify" vertical="center" wrapText="1"/>
    </xf>
    <xf numFmtId="43" fontId="7" fillId="0" borderId="2" xfId="0" applyNumberFormat="1" applyFont="1" applyFill="1" applyBorder="1" applyAlignment="1">
      <alignment horizontal="right" vertical="center"/>
    </xf>
    <xf numFmtId="43" fontId="7" fillId="0" borderId="2" xfId="0" applyNumberFormat="1" applyFont="1" applyFill="1" applyBorder="1" applyAlignment="1">
      <alignment horizontal="left" vertical="center" wrapText="1"/>
    </xf>
    <xf numFmtId="49" fontId="7" fillId="0" borderId="7" xfId="0" applyNumberFormat="1" applyFont="1" applyFill="1" applyBorder="1" applyAlignment="1">
      <alignment horizontal="center" vertical="center" wrapText="1"/>
    </xf>
    <xf numFmtId="49" fontId="7" fillId="0" borderId="2" xfId="0" applyNumberFormat="1" applyFont="1" applyFill="1" applyBorder="1" applyAlignment="1">
      <alignment horizontal="justify" vertical="center" wrapText="1"/>
    </xf>
    <xf numFmtId="43" fontId="9" fillId="0" borderId="2" xfId="1" applyNumberFormat="1" applyFont="1" applyFill="1" applyBorder="1" applyAlignment="1">
      <alignment vertical="center"/>
    </xf>
    <xf numFmtId="0" fontId="4" fillId="0" borderId="0" xfId="0" applyFont="1" applyFill="1" applyBorder="1"/>
    <xf numFmtId="43" fontId="9" fillId="0" borderId="14" xfId="2" applyFont="1" applyFill="1" applyBorder="1" applyAlignment="1">
      <alignment horizontal="justify" vertical="center"/>
    </xf>
    <xf numFmtId="43" fontId="9" fillId="0" borderId="2" xfId="0" applyNumberFormat="1" applyFont="1" applyFill="1" applyBorder="1" applyAlignment="1">
      <alignment horizontal="right" vertical="center" wrapText="1"/>
    </xf>
    <xf numFmtId="43" fontId="9" fillId="0" borderId="2" xfId="2" applyFont="1" applyFill="1" applyBorder="1" applyAlignment="1">
      <alignment horizontal="right" vertical="center"/>
    </xf>
    <xf numFmtId="43" fontId="7" fillId="0" borderId="6" xfId="0" applyNumberFormat="1" applyFont="1" applyFill="1" applyBorder="1" applyAlignment="1">
      <alignment horizontal="center" vertical="center" wrapText="1"/>
    </xf>
    <xf numFmtId="43" fontId="7" fillId="0" borderId="6" xfId="2" applyFont="1" applyFill="1" applyBorder="1" applyAlignment="1">
      <alignment horizontal="center" vertical="center" wrapText="1"/>
    </xf>
    <xf numFmtId="43" fontId="7" fillId="0" borderId="2" xfId="1" applyNumberFormat="1" applyFont="1" applyFill="1" applyBorder="1" applyAlignment="1">
      <alignment horizontal="right" vertical="center"/>
    </xf>
    <xf numFmtId="43" fontId="7" fillId="0" borderId="6" xfId="0" applyNumberFormat="1" applyFont="1" applyFill="1" applyBorder="1" applyAlignment="1">
      <alignment horizontal="center" vertical="center"/>
    </xf>
    <xf numFmtId="43" fontId="7" fillId="0" borderId="2" xfId="2" applyFont="1" applyFill="1" applyBorder="1" applyAlignment="1">
      <alignment horizontal="center" vertical="center" wrapText="1"/>
    </xf>
    <xf numFmtId="174" fontId="7" fillId="0" borderId="2" xfId="0" applyNumberFormat="1" applyFont="1" applyFill="1" applyBorder="1" applyAlignment="1">
      <alignment horizontal="center" vertical="center"/>
    </xf>
    <xf numFmtId="2" fontId="7" fillId="0" borderId="2" xfId="0" applyNumberFormat="1" applyFont="1" applyFill="1" applyBorder="1" applyAlignment="1">
      <alignment horizontal="center" vertical="center"/>
    </xf>
    <xf numFmtId="3" fontId="9" fillId="0" borderId="11" xfId="0" applyNumberFormat="1" applyFont="1" applyFill="1" applyBorder="1" applyAlignment="1">
      <alignment horizontal="center" vertical="center"/>
    </xf>
    <xf numFmtId="3" fontId="4" fillId="0" borderId="8" xfId="0" applyNumberFormat="1" applyFont="1" applyFill="1" applyBorder="1" applyAlignment="1">
      <alignment horizontal="center" vertical="center"/>
    </xf>
    <xf numFmtId="3" fontId="7" fillId="7" borderId="6" xfId="0" applyNumberFormat="1" applyFont="1" applyFill="1" applyBorder="1" applyAlignment="1">
      <alignment horizontal="center" vertical="center" wrapText="1"/>
    </xf>
    <xf numFmtId="3" fontId="7" fillId="0" borderId="6" xfId="0" applyNumberFormat="1" applyFont="1" applyFill="1" applyBorder="1" applyAlignment="1">
      <alignment horizontal="center" vertical="center"/>
    </xf>
    <xf numFmtId="3" fontId="7" fillId="7" borderId="6" xfId="0" applyNumberFormat="1" applyFont="1" applyFill="1" applyBorder="1" applyAlignment="1">
      <alignment horizontal="center" vertical="center"/>
    </xf>
    <xf numFmtId="3" fontId="7" fillId="6" borderId="6" xfId="0" applyNumberFormat="1" applyFont="1" applyFill="1" applyBorder="1" applyAlignment="1">
      <alignment horizontal="center" vertical="center"/>
    </xf>
    <xf numFmtId="0" fontId="7" fillId="7" borderId="7" xfId="0" applyFont="1" applyFill="1" applyBorder="1" applyAlignment="1">
      <alignment horizontal="center" vertical="center" wrapText="1"/>
    </xf>
    <xf numFmtId="0" fontId="7" fillId="0" borderId="7" xfId="0" applyFont="1" applyFill="1" applyBorder="1" applyAlignment="1">
      <alignment horizontal="center" vertical="center"/>
    </xf>
    <xf numFmtId="0" fontId="7" fillId="7" borderId="7" xfId="0" applyFont="1" applyFill="1" applyBorder="1" applyAlignment="1">
      <alignment horizontal="center" vertical="center"/>
    </xf>
    <xf numFmtId="0" fontId="7" fillId="6" borderId="7" xfId="0" applyFont="1" applyFill="1" applyBorder="1" applyAlignment="1">
      <alignment horizontal="center" vertical="center"/>
    </xf>
    <xf numFmtId="3" fontId="2" fillId="7" borderId="2" xfId="0" applyNumberFormat="1" applyFont="1" applyFill="1" applyBorder="1" applyAlignment="1">
      <alignment vertical="center"/>
    </xf>
    <xf numFmtId="3" fontId="2" fillId="6" borderId="2" xfId="0" applyNumberFormat="1" applyFont="1" applyFill="1" applyBorder="1" applyAlignment="1">
      <alignment vertical="center"/>
    </xf>
    <xf numFmtId="3" fontId="2" fillId="10" borderId="2" xfId="0" applyNumberFormat="1" applyFont="1" applyFill="1" applyBorder="1" applyAlignment="1">
      <alignment vertical="center"/>
    </xf>
    <xf numFmtId="174" fontId="7" fillId="0" borderId="2" xfId="0" applyNumberFormat="1" applyFont="1" applyBorder="1" applyAlignment="1">
      <alignment horizontal="center" vertical="center"/>
    </xf>
    <xf numFmtId="2" fontId="7" fillId="0" borderId="2" xfId="0" applyNumberFormat="1" applyFont="1" applyBorder="1" applyAlignment="1">
      <alignment horizontal="center" vertical="center"/>
    </xf>
    <xf numFmtId="174" fontId="7" fillId="0" borderId="2" xfId="0" applyNumberFormat="1" applyFont="1" applyFill="1" applyBorder="1" applyAlignment="1">
      <alignment horizontal="center" vertical="center" wrapText="1"/>
    </xf>
    <xf numFmtId="2" fontId="7" fillId="0" borderId="2" xfId="0" applyNumberFormat="1" applyFont="1" applyFill="1" applyBorder="1" applyAlignment="1">
      <alignment horizontal="center" vertical="center" wrapText="1"/>
    </xf>
    <xf numFmtId="4" fontId="7" fillId="0" borderId="2" xfId="0" applyNumberFormat="1" applyFont="1" applyFill="1" applyBorder="1" applyAlignment="1">
      <alignment horizontal="center" vertical="center" wrapText="1"/>
    </xf>
    <xf numFmtId="173" fontId="7" fillId="0" borderId="2" xfId="0" applyNumberFormat="1" applyFont="1" applyBorder="1" applyAlignment="1">
      <alignment horizontal="center" vertical="center" wrapText="1"/>
    </xf>
    <xf numFmtId="174" fontId="7" fillId="0" borderId="2" xfId="0" applyNumberFormat="1" applyFont="1" applyBorder="1" applyAlignment="1">
      <alignment horizontal="center" vertical="center" wrapText="1"/>
    </xf>
    <xf numFmtId="174" fontId="7" fillId="0" borderId="2" xfId="2" applyNumberFormat="1" applyFont="1" applyBorder="1" applyAlignment="1">
      <alignment horizontal="center" vertical="center" wrapText="1"/>
    </xf>
    <xf numFmtId="3" fontId="7" fillId="0" borderId="15" xfId="0" applyNumberFormat="1" applyFont="1" applyFill="1" applyBorder="1" applyAlignment="1">
      <alignment vertical="center"/>
    </xf>
    <xf numFmtId="4" fontId="7" fillId="0" borderId="2" xfId="0" applyNumberFormat="1" applyFont="1" applyFill="1" applyBorder="1" applyAlignment="1">
      <alignment horizontal="center" vertical="center"/>
    </xf>
    <xf numFmtId="4" fontId="4" fillId="0" borderId="2" xfId="0" applyNumberFormat="1" applyFont="1" applyFill="1" applyBorder="1" applyAlignment="1">
      <alignment horizontal="center" vertical="center"/>
    </xf>
    <xf numFmtId="173" fontId="7" fillId="7" borderId="2" xfId="0" applyNumberFormat="1" applyFont="1" applyFill="1" applyBorder="1" applyAlignment="1">
      <alignment horizontal="center" vertical="center" wrapText="1"/>
    </xf>
    <xf numFmtId="173" fontId="7" fillId="0" borderId="2" xfId="0" applyNumberFormat="1" applyFont="1" applyBorder="1" applyAlignment="1">
      <alignment horizontal="center" vertical="center"/>
    </xf>
    <xf numFmtId="4" fontId="7" fillId="0" borderId="2" xfId="0" applyNumberFormat="1" applyFont="1" applyBorder="1" applyAlignment="1">
      <alignment horizontal="center" vertical="center"/>
    </xf>
    <xf numFmtId="43" fontId="4" fillId="0" borderId="0" xfId="0" applyNumberFormat="1" applyFont="1" applyAlignment="1">
      <alignment vertical="center" wrapText="1"/>
    </xf>
    <xf numFmtId="164" fontId="4" fillId="3" borderId="0" xfId="1" applyFont="1" applyFill="1" applyAlignment="1">
      <alignment vertical="center"/>
    </xf>
    <xf numFmtId="0" fontId="7" fillId="0" borderId="23" xfId="0" applyFont="1" applyBorder="1" applyAlignment="1">
      <alignment vertical="center"/>
    </xf>
    <xf numFmtId="1" fontId="4" fillId="0" borderId="2" xfId="0" applyNumberFormat="1" applyFont="1" applyBorder="1" applyAlignment="1">
      <alignment horizontal="center" vertical="center" wrapText="1"/>
    </xf>
    <xf numFmtId="174" fontId="4" fillId="0" borderId="2" xfId="0" applyNumberFormat="1" applyFont="1" applyFill="1" applyBorder="1" applyAlignment="1">
      <alignment horizontal="center" vertical="center" wrapText="1"/>
    </xf>
    <xf numFmtId="174" fontId="4" fillId="0" borderId="2" xfId="0" applyNumberFormat="1" applyFont="1" applyFill="1" applyBorder="1" applyAlignment="1">
      <alignment horizontal="center" vertical="center"/>
    </xf>
    <xf numFmtId="174" fontId="7" fillId="7" borderId="2" xfId="0" applyNumberFormat="1" applyFont="1" applyFill="1" applyBorder="1" applyAlignment="1">
      <alignment horizontal="center" vertical="center"/>
    </xf>
    <xf numFmtId="174" fontId="7" fillId="0" borderId="12" xfId="0" applyNumberFormat="1" applyFont="1" applyBorder="1" applyAlignment="1">
      <alignment horizontal="center" vertical="center"/>
    </xf>
    <xf numFmtId="174" fontId="2" fillId="7" borderId="12" xfId="0" applyNumberFormat="1" applyFont="1" applyFill="1" applyBorder="1" applyAlignment="1">
      <alignment vertical="center"/>
    </xf>
    <xf numFmtId="174" fontId="2" fillId="7" borderId="8" xfId="0" applyNumberFormat="1" applyFont="1" applyFill="1" applyBorder="1" applyAlignment="1">
      <alignment vertical="center"/>
    </xf>
    <xf numFmtId="174" fontId="7" fillId="6" borderId="2" xfId="0" applyNumberFormat="1" applyFont="1" applyFill="1" applyBorder="1" applyAlignment="1">
      <alignment horizontal="center" vertical="center"/>
    </xf>
    <xf numFmtId="174" fontId="2" fillId="6" borderId="8" xfId="0" applyNumberFormat="1" applyFont="1" applyFill="1" applyBorder="1" applyAlignment="1">
      <alignment vertical="center"/>
    </xf>
    <xf numFmtId="174" fontId="2" fillId="10" borderId="8" xfId="0" applyNumberFormat="1" applyFont="1" applyFill="1" applyBorder="1" applyAlignment="1">
      <alignment vertical="center"/>
    </xf>
    <xf numFmtId="174" fontId="7" fillId="7" borderId="10" xfId="2" applyNumberFormat="1" applyFont="1" applyFill="1" applyBorder="1" applyAlignment="1">
      <alignment horizontal="center" vertical="center"/>
    </xf>
    <xf numFmtId="174" fontId="7" fillId="0" borderId="12" xfId="2" applyNumberFormat="1" applyFont="1" applyBorder="1" applyAlignment="1">
      <alignment horizontal="center" vertical="center"/>
    </xf>
    <xf numFmtId="174" fontId="2" fillId="6" borderId="12" xfId="0" applyNumberFormat="1" applyFont="1" applyFill="1" applyBorder="1" applyAlignment="1">
      <alignment vertical="center"/>
    </xf>
    <xf numFmtId="174" fontId="2" fillId="7" borderId="8" xfId="0" applyNumberFormat="1" applyFont="1" applyFill="1" applyBorder="1" applyAlignment="1">
      <alignment horizontal="left" vertical="center"/>
    </xf>
    <xf numFmtId="174" fontId="4" fillId="0" borderId="2" xfId="1" applyNumberFormat="1" applyFont="1" applyFill="1" applyBorder="1" applyAlignment="1">
      <alignment horizontal="center" vertical="center"/>
    </xf>
    <xf numFmtId="174" fontId="7" fillId="5" borderId="2" xfId="0" applyNumberFormat="1" applyFont="1" applyFill="1" applyBorder="1" applyAlignment="1">
      <alignment horizontal="center" vertical="center"/>
    </xf>
    <xf numFmtId="174" fontId="2" fillId="5" borderId="8" xfId="0" applyNumberFormat="1" applyFont="1" applyFill="1" applyBorder="1" applyAlignment="1">
      <alignment vertical="center"/>
    </xf>
    <xf numFmtId="174" fontId="7" fillId="7" borderId="4" xfId="0" applyNumberFormat="1" applyFont="1" applyFill="1" applyBorder="1" applyAlignment="1">
      <alignment horizontal="center" vertical="center"/>
    </xf>
    <xf numFmtId="174" fontId="7" fillId="0" borderId="15" xfId="0" applyNumberFormat="1" applyFont="1" applyBorder="1" applyAlignment="1">
      <alignment horizontal="center" vertical="center"/>
    </xf>
    <xf numFmtId="174" fontId="7" fillId="0" borderId="24" xfId="0" applyNumberFormat="1" applyFont="1" applyFill="1" applyBorder="1" applyAlignment="1">
      <alignment horizontal="center" vertical="center"/>
    </xf>
    <xf numFmtId="174" fontId="7" fillId="7" borderId="10" xfId="0" applyNumberFormat="1" applyFont="1" applyFill="1" applyBorder="1" applyAlignment="1">
      <alignment horizontal="center" vertical="center"/>
    </xf>
    <xf numFmtId="174" fontId="7" fillId="0" borderId="8" xfId="0" applyNumberFormat="1" applyFont="1" applyBorder="1" applyAlignment="1">
      <alignment horizontal="center" vertical="center"/>
    </xf>
    <xf numFmtId="168" fontId="5" fillId="0" borderId="6" xfId="2" applyNumberFormat="1" applyFont="1" applyBorder="1" applyAlignment="1">
      <alignment horizontal="center" vertical="center" wrapText="1"/>
    </xf>
    <xf numFmtId="168" fontId="5" fillId="0" borderId="8" xfId="2" applyNumberFormat="1" applyFont="1" applyBorder="1" applyAlignment="1">
      <alignment horizontal="center" vertical="center" wrapText="1"/>
    </xf>
    <xf numFmtId="169" fontId="5" fillId="0" borderId="6" xfId="1" applyNumberFormat="1" applyFont="1" applyBorder="1" applyAlignment="1">
      <alignment horizontal="center" vertical="center" wrapText="1"/>
    </xf>
    <xf numFmtId="0" fontId="5" fillId="0" borderId="3" xfId="0" applyFont="1" applyBorder="1" applyAlignment="1">
      <alignment horizontal="center" vertical="center" wrapText="1"/>
    </xf>
    <xf numFmtId="0" fontId="7" fillId="0" borderId="4" xfId="0" applyFont="1" applyFill="1" applyBorder="1" applyAlignment="1">
      <alignment horizontal="justify" vertical="center" wrapText="1"/>
    </xf>
    <xf numFmtId="0" fontId="7" fillId="0" borderId="10" xfId="0" applyFont="1" applyFill="1" applyBorder="1" applyAlignment="1">
      <alignment horizontal="justify" vertical="center" wrapText="1"/>
    </xf>
    <xf numFmtId="0" fontId="8" fillId="0" borderId="10"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14" xfId="0" applyFont="1" applyFill="1" applyBorder="1" applyAlignment="1">
      <alignment horizontal="justify" vertical="center" wrapText="1"/>
    </xf>
    <xf numFmtId="0" fontId="7" fillId="0" borderId="14"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2" xfId="0" applyFont="1" applyFill="1" applyBorder="1" applyAlignment="1">
      <alignment horizontal="justify" vertical="center" wrapText="1"/>
    </xf>
    <xf numFmtId="0" fontId="7" fillId="0" borderId="2" xfId="0" applyFont="1" applyFill="1" applyBorder="1" applyAlignment="1">
      <alignment horizontal="center" vertical="center" wrapText="1"/>
    </xf>
    <xf numFmtId="0" fontId="7" fillId="0" borderId="4" xfId="0" applyFont="1" applyFill="1" applyBorder="1" applyAlignment="1">
      <alignment horizontal="justify" vertical="center"/>
    </xf>
    <xf numFmtId="0" fontId="7" fillId="0" borderId="10" xfId="0" applyFont="1" applyFill="1" applyBorder="1" applyAlignment="1">
      <alignment horizontal="justify" vertical="center"/>
    </xf>
    <xf numFmtId="0" fontId="7" fillId="0" borderId="4" xfId="0" applyFont="1" applyBorder="1" applyAlignment="1">
      <alignment horizontal="justify" vertical="center" wrapText="1"/>
    </xf>
    <xf numFmtId="0" fontId="7" fillId="0" borderId="14" xfId="0" applyFont="1" applyBorder="1" applyAlignment="1">
      <alignment horizontal="justify" vertical="center" wrapText="1"/>
    </xf>
    <xf numFmtId="0" fontId="8" fillId="0" borderId="4" xfId="0" applyFont="1" applyBorder="1" applyAlignment="1">
      <alignment horizontal="center" vertical="center" wrapText="1"/>
    </xf>
    <xf numFmtId="168" fontId="7" fillId="0" borderId="4" xfId="2" applyNumberFormat="1" applyFont="1" applyFill="1" applyBorder="1" applyAlignment="1">
      <alignment horizontal="justify" vertical="center" wrapText="1"/>
    </xf>
    <xf numFmtId="0" fontId="2" fillId="6" borderId="6" xfId="0" applyFont="1" applyFill="1" applyBorder="1" applyAlignment="1">
      <alignment horizontal="left" vertical="center"/>
    </xf>
    <xf numFmtId="0" fontId="2" fillId="6" borderId="8" xfId="0" applyFont="1" applyFill="1" applyBorder="1" applyAlignment="1">
      <alignment horizontal="left" vertical="center"/>
    </xf>
    <xf numFmtId="0" fontId="2" fillId="6" borderId="8" xfId="0" applyFont="1" applyFill="1" applyBorder="1" applyAlignment="1">
      <alignment horizontal="center" vertical="center"/>
    </xf>
    <xf numFmtId="10" fontId="7" fillId="0" borderId="4" xfId="0" applyNumberFormat="1" applyFont="1" applyFill="1" applyBorder="1" applyAlignment="1">
      <alignment horizontal="center" vertical="center" wrapText="1"/>
    </xf>
    <xf numFmtId="10" fontId="7" fillId="0" borderId="14" xfId="0" applyNumberFormat="1" applyFont="1" applyFill="1" applyBorder="1" applyAlignment="1">
      <alignment horizontal="center" vertical="center" wrapText="1"/>
    </xf>
    <xf numFmtId="9" fontId="7" fillId="0" borderId="4" xfId="0" applyNumberFormat="1" applyFont="1" applyFill="1" applyBorder="1" applyAlignment="1">
      <alignment horizontal="center" vertical="center" wrapText="1"/>
    </xf>
    <xf numFmtId="9" fontId="7" fillId="0" borderId="14" xfId="0" applyNumberFormat="1" applyFont="1" applyFill="1" applyBorder="1" applyAlignment="1">
      <alignment horizontal="center" vertical="center" wrapText="1"/>
    </xf>
    <xf numFmtId="0" fontId="7" fillId="0" borderId="15" xfId="0" applyFont="1" applyFill="1" applyBorder="1" applyAlignment="1">
      <alignment horizontal="center" vertical="center" wrapText="1"/>
    </xf>
    <xf numFmtId="16" fontId="7" fillId="0" borderId="10" xfId="0" applyNumberFormat="1" applyFont="1" applyFill="1" applyBorder="1" applyAlignment="1">
      <alignment horizontal="center" vertical="center" wrapText="1"/>
    </xf>
    <xf numFmtId="0" fontId="7" fillId="0" borderId="8" xfId="0" applyFont="1" applyBorder="1" applyAlignment="1">
      <alignment horizontal="center" vertical="center" wrapText="1"/>
    </xf>
    <xf numFmtId="0" fontId="7" fillId="0" borderId="7" xfId="0" applyFont="1" applyBorder="1" applyAlignment="1">
      <alignment horizontal="center" vertical="center" wrapText="1"/>
    </xf>
    <xf numFmtId="10" fontId="7" fillId="0" borderId="4" xfId="0" applyNumberFormat="1" applyFont="1" applyBorder="1" applyAlignment="1">
      <alignment horizontal="center" vertical="center" wrapText="1"/>
    </xf>
    <xf numFmtId="10" fontId="7" fillId="0" borderId="10" xfId="0" applyNumberFormat="1" applyFont="1" applyBorder="1" applyAlignment="1">
      <alignment horizontal="center" vertical="center" wrapText="1"/>
    </xf>
    <xf numFmtId="0" fontId="7" fillId="0" borderId="10" xfId="0" applyFont="1" applyBorder="1" applyAlignment="1">
      <alignment horizontal="justify" vertical="center" wrapText="1"/>
    </xf>
    <xf numFmtId="0" fontId="8" fillId="0" borderId="10"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0"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4" xfId="0" applyFont="1" applyBorder="1" applyAlignment="1">
      <alignment horizontal="center"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9" xfId="0" applyFont="1" applyBorder="1" applyAlignment="1">
      <alignment horizontal="center" vertical="center" wrapText="1"/>
    </xf>
    <xf numFmtId="0" fontId="9" fillId="0" borderId="4" xfId="0" applyFont="1" applyBorder="1" applyAlignment="1">
      <alignment horizontal="justify" vertical="center" wrapText="1"/>
    </xf>
    <xf numFmtId="0" fontId="9" fillId="0" borderId="10" xfId="0" applyFont="1" applyBorder="1" applyAlignment="1">
      <alignment horizontal="justify" vertical="center" wrapText="1"/>
    </xf>
    <xf numFmtId="0" fontId="7" fillId="0" borderId="4" xfId="0" applyFont="1" applyBorder="1" applyAlignment="1">
      <alignment horizontal="center" vertical="center"/>
    </xf>
    <xf numFmtId="9" fontId="7" fillId="0" borderId="10" xfId="0" applyNumberFormat="1" applyFont="1" applyBorder="1" applyAlignment="1">
      <alignment horizontal="center" vertical="center" wrapText="1"/>
    </xf>
    <xf numFmtId="1" fontId="7" fillId="0" borderId="4" xfId="0" applyNumberFormat="1" applyFont="1" applyBorder="1" applyAlignment="1">
      <alignment horizontal="center" vertical="center" wrapText="1"/>
    </xf>
    <xf numFmtId="0" fontId="8" fillId="0" borderId="4" xfId="0" applyFont="1" applyBorder="1" applyAlignment="1">
      <alignment horizontal="center" vertical="center"/>
    </xf>
    <xf numFmtId="0" fontId="7" fillId="0" borderId="2" xfId="0" applyFont="1" applyBorder="1" applyAlignment="1">
      <alignment horizontal="center" vertical="center" wrapText="1"/>
    </xf>
    <xf numFmtId="0" fontId="9" fillId="0" borderId="2" xfId="0" applyFont="1" applyBorder="1" applyAlignment="1">
      <alignment horizontal="center" vertical="center" wrapText="1"/>
    </xf>
    <xf numFmtId="0" fontId="8" fillId="0" borderId="2" xfId="0" applyFont="1" applyBorder="1" applyAlignment="1">
      <alignment horizontal="center" vertical="center"/>
    </xf>
    <xf numFmtId="0" fontId="4" fillId="0" borderId="2" xfId="0" applyFont="1" applyBorder="1" applyAlignment="1">
      <alignment horizontal="justify" vertical="center" wrapText="1"/>
    </xf>
    <xf numFmtId="0" fontId="2" fillId="0" borderId="2" xfId="0" applyFont="1" applyBorder="1" applyAlignment="1">
      <alignment horizontal="center" vertical="center" wrapText="1"/>
    </xf>
    <xf numFmtId="0" fontId="2" fillId="0" borderId="8" xfId="0" applyFont="1" applyBorder="1" applyAlignment="1">
      <alignment horizontal="left" vertical="center" wrapText="1"/>
    </xf>
    <xf numFmtId="0" fontId="5" fillId="0" borderId="2" xfId="0" applyFont="1" applyBorder="1" applyAlignment="1">
      <alignment horizontal="center" vertical="center" wrapText="1"/>
    </xf>
    <xf numFmtId="0" fontId="2" fillId="0" borderId="1" xfId="0" applyFont="1" applyBorder="1" applyAlignment="1">
      <alignment vertical="center"/>
    </xf>
    <xf numFmtId="0" fontId="2" fillId="0" borderId="15" xfId="0" applyFont="1" applyBorder="1" applyAlignment="1">
      <alignment horizontal="center" vertical="center"/>
    </xf>
    <xf numFmtId="0" fontId="7" fillId="10" borderId="2" xfId="0" applyFont="1" applyFill="1" applyBorder="1" applyAlignment="1">
      <alignment horizontal="justify" vertical="center" wrapText="1"/>
    </xf>
    <xf numFmtId="0" fontId="7" fillId="10" borderId="2" xfId="0" applyFont="1" applyFill="1" applyBorder="1" applyAlignment="1">
      <alignment horizontal="center" vertical="center" wrapText="1"/>
    </xf>
    <xf numFmtId="0" fontId="8" fillId="10" borderId="2" xfId="0" applyFont="1" applyFill="1" applyBorder="1" applyAlignment="1">
      <alignment horizontal="center" vertical="center" wrapText="1"/>
    </xf>
    <xf numFmtId="168" fontId="7" fillId="10" borderId="2" xfId="0" applyNumberFormat="1" applyFont="1" applyFill="1" applyBorder="1" applyAlignment="1">
      <alignment horizontal="justify" vertical="center" wrapText="1"/>
    </xf>
    <xf numFmtId="43" fontId="7" fillId="10" borderId="2" xfId="2" applyFont="1" applyFill="1" applyBorder="1" applyAlignment="1">
      <alignment horizontal="justify" vertical="center"/>
    </xf>
    <xf numFmtId="0" fontId="7" fillId="3" borderId="15" xfId="0" applyFont="1" applyFill="1" applyBorder="1" applyAlignment="1">
      <alignment horizontal="justify" vertical="center" wrapText="1"/>
    </xf>
    <xf numFmtId="0" fontId="7" fillId="3" borderId="15" xfId="0" applyFont="1" applyFill="1" applyBorder="1" applyAlignment="1">
      <alignment horizontal="center" vertical="center" wrapText="1"/>
    </xf>
    <xf numFmtId="0" fontId="2" fillId="10" borderId="2" xfId="0" applyFont="1" applyFill="1" applyBorder="1" applyAlignment="1">
      <alignment horizontal="left" vertical="center" wrapText="1"/>
    </xf>
    <xf numFmtId="0" fontId="2" fillId="10" borderId="6" xfId="0" applyFont="1" applyFill="1" applyBorder="1" applyAlignment="1">
      <alignment vertical="center"/>
    </xf>
    <xf numFmtId="0" fontId="3" fillId="0" borderId="28" xfId="0" applyFont="1" applyBorder="1" applyAlignment="1">
      <alignment vertical="center"/>
    </xf>
    <xf numFmtId="167" fontId="3" fillId="0" borderId="30" xfId="0" applyNumberFormat="1" applyFont="1" applyBorder="1" applyAlignment="1">
      <alignment horizontal="left" vertical="center"/>
    </xf>
    <xf numFmtId="0" fontId="2" fillId="0" borderId="29" xfId="0" applyFont="1" applyBorder="1" applyAlignment="1">
      <alignment vertical="center"/>
    </xf>
    <xf numFmtId="0" fontId="2" fillId="0" borderId="0" xfId="0" applyFont="1" applyBorder="1" applyAlignment="1">
      <alignment vertical="center"/>
    </xf>
    <xf numFmtId="17" fontId="3" fillId="0" borderId="30" xfId="0" applyNumberFormat="1" applyFont="1" applyBorder="1" applyAlignment="1">
      <alignment horizontal="left" vertical="center"/>
    </xf>
    <xf numFmtId="3" fontId="3" fillId="2" borderId="30" xfId="0" applyNumberFormat="1" applyFont="1" applyFill="1" applyBorder="1" applyAlignment="1">
      <alignment horizontal="left" vertical="center" wrapText="1"/>
    </xf>
    <xf numFmtId="0" fontId="5" fillId="0" borderId="32" xfId="0" applyFont="1" applyBorder="1" applyAlignment="1">
      <alignment horizontal="center" vertical="center" wrapText="1"/>
    </xf>
    <xf numFmtId="0" fontId="5" fillId="0" borderId="30" xfId="0" applyFont="1" applyBorder="1" applyAlignment="1">
      <alignment horizontal="center" vertical="center"/>
    </xf>
    <xf numFmtId="0" fontId="17" fillId="4" borderId="33" xfId="0" applyFont="1" applyFill="1" applyBorder="1" applyAlignment="1">
      <alignment horizontal="left" vertical="center"/>
    </xf>
    <xf numFmtId="168" fontId="2" fillId="4" borderId="34" xfId="0" applyNumberFormat="1" applyFont="1" applyFill="1" applyBorder="1" applyAlignment="1">
      <alignment horizontal="left" vertical="center"/>
    </xf>
    <xf numFmtId="0" fontId="2" fillId="5" borderId="33" xfId="0" applyFont="1" applyFill="1" applyBorder="1" applyAlignment="1">
      <alignment horizontal="left" vertical="center" wrapText="1"/>
    </xf>
    <xf numFmtId="0" fontId="2" fillId="5" borderId="34" xfId="0" applyFont="1" applyFill="1" applyBorder="1" applyAlignment="1">
      <alignment vertical="center"/>
    </xf>
    <xf numFmtId="0" fontId="2" fillId="0" borderId="32" xfId="0" applyFont="1" applyBorder="1" applyAlignment="1">
      <alignment vertical="center" wrapText="1"/>
    </xf>
    <xf numFmtId="0" fontId="2" fillId="6" borderId="34" xfId="0" applyFont="1" applyFill="1" applyBorder="1" applyAlignment="1">
      <alignment vertical="center"/>
    </xf>
    <xf numFmtId="0" fontId="2" fillId="0" borderId="29" xfId="0" applyFont="1" applyBorder="1" applyAlignment="1">
      <alignment vertical="center" wrapText="1"/>
    </xf>
    <xf numFmtId="0" fontId="2" fillId="10" borderId="34" xfId="0" applyFont="1" applyFill="1" applyBorder="1" applyAlignment="1">
      <alignment vertical="center"/>
    </xf>
    <xf numFmtId="0" fontId="2" fillId="0" borderId="29" xfId="0" applyFont="1" applyFill="1" applyBorder="1" applyAlignment="1">
      <alignment vertical="center" wrapText="1"/>
    </xf>
    <xf numFmtId="43" fontId="4" fillId="0" borderId="30" xfId="0" applyNumberFormat="1" applyFont="1" applyFill="1" applyBorder="1" applyAlignment="1">
      <alignment vertical="center"/>
    </xf>
    <xf numFmtId="43" fontId="4" fillId="0" borderId="30" xfId="0" applyNumberFormat="1" applyFont="1" applyBorder="1" applyAlignment="1">
      <alignment vertical="center"/>
    </xf>
    <xf numFmtId="0" fontId="2" fillId="3" borderId="29" xfId="0" applyFont="1" applyFill="1" applyBorder="1" applyAlignment="1">
      <alignment vertical="center" wrapText="1"/>
    </xf>
    <xf numFmtId="43" fontId="4" fillId="3" borderId="30" xfId="0" applyNumberFormat="1" applyFont="1" applyFill="1" applyBorder="1" applyAlignment="1">
      <alignment vertical="center"/>
    </xf>
    <xf numFmtId="43" fontId="7" fillId="7" borderId="30" xfId="2" applyFont="1" applyFill="1" applyBorder="1" applyAlignment="1">
      <alignment horizontal="justify" vertical="center"/>
    </xf>
    <xf numFmtId="0" fontId="2" fillId="0" borderId="31" xfId="0" applyFont="1" applyBorder="1" applyAlignment="1">
      <alignment vertical="center" wrapText="1"/>
    </xf>
    <xf numFmtId="43" fontId="7" fillId="6" borderId="30" xfId="2" applyFont="1" applyFill="1" applyBorder="1" applyAlignment="1">
      <alignment horizontal="justify" vertical="center"/>
    </xf>
    <xf numFmtId="0" fontId="7" fillId="5" borderId="35" xfId="0" applyFont="1" applyFill="1" applyBorder="1" applyAlignment="1">
      <alignment horizontal="justify" vertical="center" wrapText="1"/>
    </xf>
    <xf numFmtId="43" fontId="7" fillId="5" borderId="30" xfId="2" applyFont="1" applyFill="1" applyBorder="1" applyAlignment="1">
      <alignment horizontal="justify" vertical="center"/>
    </xf>
    <xf numFmtId="0" fontId="7" fillId="8" borderId="35" xfId="0" applyFont="1" applyFill="1" applyBorder="1" applyAlignment="1">
      <alignment horizontal="justify" vertical="center" wrapText="1"/>
    </xf>
    <xf numFmtId="43" fontId="7" fillId="8" borderId="30" xfId="2" applyFont="1" applyFill="1" applyBorder="1" applyAlignment="1">
      <alignment horizontal="justify" vertical="center"/>
    </xf>
    <xf numFmtId="0" fontId="7" fillId="0" borderId="33" xfId="0" applyFont="1" applyBorder="1" applyAlignment="1">
      <alignment horizontal="justify" vertical="center" wrapText="1"/>
    </xf>
    <xf numFmtId="43" fontId="16" fillId="0" borderId="36" xfId="0" applyNumberFormat="1" applyFont="1" applyBorder="1" applyAlignment="1">
      <alignment vertical="center"/>
    </xf>
    <xf numFmtId="43" fontId="2" fillId="4" borderId="34" xfId="0" applyNumberFormat="1" applyFont="1" applyFill="1" applyBorder="1" applyAlignment="1">
      <alignment horizontal="left" vertical="center"/>
    </xf>
    <xf numFmtId="43" fontId="2" fillId="5" borderId="34" xfId="0" applyNumberFormat="1" applyFont="1" applyFill="1" applyBorder="1" applyAlignment="1">
      <alignment vertical="center"/>
    </xf>
    <xf numFmtId="0" fontId="2" fillId="0" borderId="37" xfId="0" applyFont="1" applyBorder="1" applyAlignment="1">
      <alignment vertical="center" wrapText="1"/>
    </xf>
    <xf numFmtId="43" fontId="2" fillId="6" borderId="34" xfId="0" applyNumberFormat="1" applyFont="1" applyFill="1" applyBorder="1" applyAlignment="1">
      <alignment vertical="center"/>
    </xf>
    <xf numFmtId="0" fontId="2" fillId="0" borderId="38" xfId="0" applyFont="1" applyBorder="1" applyAlignment="1">
      <alignment vertical="center" wrapText="1"/>
    </xf>
    <xf numFmtId="43" fontId="2" fillId="7" borderId="34" xfId="0" applyNumberFormat="1" applyFont="1" applyFill="1" applyBorder="1" applyAlignment="1">
      <alignment vertical="center"/>
    </xf>
    <xf numFmtId="0" fontId="2" fillId="0" borderId="38" xfId="0" applyFont="1" applyFill="1" applyBorder="1" applyAlignment="1">
      <alignment vertical="center" wrapText="1"/>
    </xf>
    <xf numFmtId="43" fontId="7" fillId="9" borderId="30" xfId="2" applyFont="1" applyFill="1" applyBorder="1" applyAlignment="1">
      <alignment horizontal="justify" vertical="center"/>
    </xf>
    <xf numFmtId="43" fontId="7" fillId="0" borderId="34" xfId="2" applyFont="1" applyBorder="1" applyAlignment="1">
      <alignment horizontal="justify" vertical="center"/>
    </xf>
    <xf numFmtId="43" fontId="2" fillId="9" borderId="34" xfId="0" applyNumberFormat="1" applyFont="1" applyFill="1" applyBorder="1" applyAlignment="1">
      <alignment vertical="center"/>
    </xf>
    <xf numFmtId="43" fontId="2" fillId="10" borderId="34" xfId="0" applyNumberFormat="1" applyFont="1" applyFill="1" applyBorder="1" applyAlignment="1">
      <alignment vertical="center"/>
    </xf>
    <xf numFmtId="0" fontId="7" fillId="0" borderId="38" xfId="0" applyFont="1" applyFill="1" applyBorder="1" applyAlignment="1">
      <alignment vertical="center" wrapText="1"/>
    </xf>
    <xf numFmtId="43" fontId="7" fillId="7" borderId="39" xfId="2" applyFont="1" applyFill="1" applyBorder="1" applyAlignment="1">
      <alignment horizontal="justify" vertical="center"/>
    </xf>
    <xf numFmtId="0" fontId="7" fillId="0" borderId="29" xfId="0" applyFont="1" applyBorder="1" applyAlignment="1">
      <alignment horizontal="justify" vertical="center" wrapText="1"/>
    </xf>
    <xf numFmtId="0" fontId="7" fillId="0" borderId="0" xfId="0" applyFont="1" applyBorder="1" applyAlignment="1">
      <alignment horizontal="justify" vertical="center" wrapText="1"/>
    </xf>
    <xf numFmtId="0" fontId="7" fillId="0" borderId="0" xfId="0" applyFont="1" applyBorder="1" applyAlignment="1">
      <alignment horizontal="center" vertical="center" wrapText="1"/>
    </xf>
    <xf numFmtId="0" fontId="7" fillId="0" borderId="0" xfId="0" applyFont="1" applyBorder="1" applyAlignment="1">
      <alignment horizontal="center" vertical="center"/>
    </xf>
    <xf numFmtId="1" fontId="7" fillId="0" borderId="0" xfId="0" applyNumberFormat="1" applyFont="1" applyBorder="1" applyAlignment="1">
      <alignment horizontal="center" vertical="center"/>
    </xf>
    <xf numFmtId="0" fontId="8" fillId="0" borderId="0" xfId="0" applyFont="1" applyBorder="1" applyAlignment="1">
      <alignment horizontal="center" vertical="center" wrapText="1"/>
    </xf>
    <xf numFmtId="43" fontId="7" fillId="0" borderId="0" xfId="2" applyFont="1" applyBorder="1" applyAlignment="1">
      <alignment horizontal="justify" vertical="center"/>
    </xf>
    <xf numFmtId="43" fontId="7" fillId="3" borderId="0" xfId="2" applyFont="1" applyFill="1" applyBorder="1" applyAlignment="1">
      <alignment horizontal="justify" vertical="center"/>
    </xf>
    <xf numFmtId="43" fontId="3" fillId="0" borderId="0" xfId="1" applyNumberFormat="1" applyFont="1" applyBorder="1" applyAlignment="1">
      <alignment horizontal="center" vertical="center"/>
    </xf>
    <xf numFmtId="43" fontId="17" fillId="0" borderId="36" xfId="0" applyNumberFormat="1" applyFont="1" applyBorder="1" applyAlignment="1">
      <alignment vertical="center"/>
    </xf>
    <xf numFmtId="0" fontId="17" fillId="4" borderId="32" xfId="0" applyFont="1" applyFill="1" applyBorder="1" applyAlignment="1">
      <alignment horizontal="left" vertical="center"/>
    </xf>
    <xf numFmtId="43" fontId="2" fillId="4" borderId="40" xfId="0" applyNumberFormat="1" applyFont="1" applyFill="1" applyBorder="1" applyAlignment="1">
      <alignment horizontal="left" vertical="center"/>
    </xf>
    <xf numFmtId="0" fontId="2" fillId="0" borderId="41" xfId="0" applyFont="1" applyBorder="1" applyAlignment="1">
      <alignment vertical="center" wrapText="1"/>
    </xf>
    <xf numFmtId="43" fontId="3" fillId="0" borderId="34" xfId="1" applyNumberFormat="1" applyFont="1" applyBorder="1" applyAlignment="1">
      <alignment horizontal="justify" vertical="center"/>
    </xf>
    <xf numFmtId="0" fontId="2" fillId="0" borderId="0" xfId="0" applyFont="1" applyFill="1" applyBorder="1" applyAlignment="1">
      <alignment vertical="center" wrapText="1"/>
    </xf>
    <xf numFmtId="0" fontId="2" fillId="0" borderId="0" xfId="0" applyFont="1" applyBorder="1" applyAlignment="1">
      <alignment vertical="center" wrapText="1"/>
    </xf>
    <xf numFmtId="43" fontId="7" fillId="0" borderId="30" xfId="2" applyFont="1" applyBorder="1" applyAlignment="1">
      <alignment horizontal="justify" vertical="center"/>
    </xf>
    <xf numFmtId="43" fontId="7" fillId="10" borderId="30" xfId="2" applyFont="1" applyFill="1" applyBorder="1" applyAlignment="1">
      <alignment horizontal="justify" vertical="center"/>
    </xf>
    <xf numFmtId="43" fontId="7" fillId="7" borderId="34" xfId="0" applyNumberFormat="1" applyFont="1" applyFill="1" applyBorder="1" applyAlignment="1">
      <alignment vertical="center" wrapText="1"/>
    </xf>
    <xf numFmtId="43" fontId="2" fillId="6" borderId="40" xfId="0" applyNumberFormat="1" applyFont="1" applyFill="1" applyBorder="1" applyAlignment="1">
      <alignment vertical="center"/>
    </xf>
    <xf numFmtId="43" fontId="7" fillId="0" borderId="0" xfId="1" applyNumberFormat="1" applyFont="1" applyBorder="1" applyAlignment="1">
      <alignment horizontal="center" vertical="center"/>
    </xf>
    <xf numFmtId="0" fontId="2" fillId="5" borderId="33" xfId="0" applyFont="1" applyFill="1" applyBorder="1" applyAlignment="1">
      <alignment horizontal="justify" vertical="center" wrapText="1"/>
    </xf>
    <xf numFmtId="0" fontId="7" fillId="0" borderId="37" xfId="0" applyFont="1" applyBorder="1" applyAlignment="1">
      <alignment vertical="center" wrapText="1"/>
    </xf>
    <xf numFmtId="0" fontId="7" fillId="0" borderId="38" xfId="0" applyFont="1" applyBorder="1" applyAlignment="1">
      <alignment vertical="center" wrapText="1"/>
    </xf>
    <xf numFmtId="43" fontId="7" fillId="0" borderId="42" xfId="2" applyFont="1" applyBorder="1" applyAlignment="1">
      <alignment horizontal="justify" vertical="center"/>
    </xf>
    <xf numFmtId="0" fontId="7" fillId="0" borderId="29" xfId="0" applyFont="1" applyBorder="1" applyAlignment="1">
      <alignment vertical="center" wrapText="1"/>
    </xf>
    <xf numFmtId="0" fontId="7" fillId="5" borderId="33" xfId="0" applyFont="1" applyFill="1" applyBorder="1" applyAlignment="1">
      <alignment horizontal="justify" vertical="center" wrapText="1"/>
    </xf>
    <xf numFmtId="0" fontId="7" fillId="0" borderId="32" xfId="0" applyFont="1" applyBorder="1" applyAlignment="1">
      <alignment horizontal="justify" vertical="center" wrapText="1"/>
    </xf>
    <xf numFmtId="43" fontId="3" fillId="0" borderId="40" xfId="2" applyFont="1" applyBorder="1" applyAlignment="1">
      <alignment horizontal="justify" vertical="center"/>
    </xf>
    <xf numFmtId="172" fontId="4" fillId="0" borderId="30" xfId="0" applyNumberFormat="1" applyFont="1" applyFill="1" applyBorder="1" applyAlignment="1">
      <alignment vertical="center"/>
    </xf>
    <xf numFmtId="4" fontId="7" fillId="0" borderId="0" xfId="0" applyNumberFormat="1" applyFont="1" applyBorder="1" applyAlignment="1">
      <alignment horizontal="center" vertical="center" wrapText="1"/>
    </xf>
    <xf numFmtId="43" fontId="7" fillId="0" borderId="36" xfId="2" applyFont="1" applyBorder="1" applyAlignment="1">
      <alignment horizontal="justify" vertical="center"/>
    </xf>
    <xf numFmtId="43" fontId="2" fillId="7" borderId="0" xfId="0" applyNumberFormat="1" applyFont="1" applyFill="1" applyBorder="1" applyAlignment="1">
      <alignment vertical="center"/>
    </xf>
    <xf numFmtId="43" fontId="2" fillId="7" borderId="40" xfId="0" applyNumberFormat="1" applyFont="1" applyFill="1" applyBorder="1" applyAlignment="1">
      <alignment vertical="center"/>
    </xf>
    <xf numFmtId="43" fontId="3" fillId="0" borderId="34" xfId="2" applyFont="1" applyBorder="1" applyAlignment="1">
      <alignment vertical="center"/>
    </xf>
    <xf numFmtId="43" fontId="2" fillId="4" borderId="34" xfId="0" applyNumberFormat="1" applyFont="1" applyFill="1" applyBorder="1" applyAlignment="1">
      <alignment horizontal="left" vertical="center" wrapText="1"/>
    </xf>
    <xf numFmtId="43" fontId="7" fillId="7" borderId="30" xfId="0" applyNumberFormat="1" applyFont="1" applyFill="1" applyBorder="1" applyAlignment="1">
      <alignment horizontal="justify" vertical="center" wrapText="1"/>
    </xf>
    <xf numFmtId="43" fontId="7" fillId="0" borderId="34" xfId="0" applyNumberFormat="1" applyFont="1" applyBorder="1" applyAlignment="1">
      <alignment horizontal="justify" vertical="center" wrapText="1"/>
    </xf>
    <xf numFmtId="43" fontId="7" fillId="6" borderId="30" xfId="0" applyNumberFormat="1" applyFont="1" applyFill="1" applyBorder="1" applyAlignment="1">
      <alignment horizontal="justify" vertical="center" wrapText="1"/>
    </xf>
    <xf numFmtId="0" fontId="7" fillId="5" borderId="35" xfId="0" applyFont="1" applyFill="1" applyBorder="1" applyAlignment="1">
      <alignment horizontal="left" vertical="center" wrapText="1"/>
    </xf>
    <xf numFmtId="43" fontId="7" fillId="5" borderId="30" xfId="0" applyNumberFormat="1" applyFont="1" applyFill="1" applyBorder="1" applyAlignment="1">
      <alignment vertical="center" wrapText="1"/>
    </xf>
    <xf numFmtId="164" fontId="7" fillId="7" borderId="30" xfId="1" applyFont="1" applyFill="1" applyBorder="1" applyAlignment="1">
      <alignment horizontal="justify" vertical="center" wrapText="1"/>
    </xf>
    <xf numFmtId="43" fontId="7" fillId="7" borderId="34" xfId="2" applyFont="1" applyFill="1" applyBorder="1" applyAlignment="1">
      <alignment horizontal="justify" vertical="center"/>
    </xf>
    <xf numFmtId="43" fontId="7" fillId="7" borderId="30" xfId="0" applyNumberFormat="1" applyFont="1" applyFill="1" applyBorder="1" applyAlignment="1">
      <alignment horizontal="justify" vertical="center"/>
    </xf>
    <xf numFmtId="43" fontId="7" fillId="0" borderId="34" xfId="0" applyNumberFormat="1" applyFont="1" applyBorder="1" applyAlignment="1">
      <alignment horizontal="justify" vertical="center"/>
    </xf>
    <xf numFmtId="43" fontId="7" fillId="6" borderId="39" xfId="2" applyFont="1" applyFill="1" applyBorder="1" applyAlignment="1">
      <alignment horizontal="justify" vertical="center"/>
    </xf>
    <xf numFmtId="0" fontId="7" fillId="0" borderId="31" xfId="0" applyFont="1" applyBorder="1" applyAlignment="1">
      <alignment horizontal="justify" vertical="center" wrapText="1"/>
    </xf>
    <xf numFmtId="0" fontId="7" fillId="5" borderId="37" xfId="0" applyFont="1" applyFill="1" applyBorder="1" applyAlignment="1">
      <alignment horizontal="justify" vertical="center" wrapText="1"/>
    </xf>
    <xf numFmtId="43" fontId="7" fillId="5" borderId="39" xfId="2" applyFont="1" applyFill="1" applyBorder="1" applyAlignment="1">
      <alignment horizontal="justify" vertical="center"/>
    </xf>
    <xf numFmtId="43" fontId="7" fillId="7" borderId="30" xfId="1" applyNumberFormat="1" applyFont="1" applyFill="1" applyBorder="1" applyAlignment="1">
      <alignment horizontal="center" vertical="center"/>
    </xf>
    <xf numFmtId="43" fontId="7" fillId="6" borderId="30" xfId="1" applyNumberFormat="1" applyFont="1" applyFill="1" applyBorder="1" applyAlignment="1">
      <alignment horizontal="center" vertical="center"/>
    </xf>
    <xf numFmtId="43" fontId="7" fillId="5" borderId="30" xfId="1" applyNumberFormat="1" applyFont="1" applyFill="1" applyBorder="1" applyAlignment="1">
      <alignment horizontal="center" vertical="center"/>
    </xf>
    <xf numFmtId="43" fontId="7" fillId="8" borderId="30" xfId="1" applyNumberFormat="1" applyFont="1" applyFill="1" applyBorder="1" applyAlignment="1">
      <alignment horizontal="center" vertical="center"/>
    </xf>
    <xf numFmtId="43" fontId="7" fillId="0" borderId="34" xfId="1" applyNumberFormat="1" applyFont="1" applyBorder="1" applyAlignment="1">
      <alignment horizontal="justify" vertical="center"/>
    </xf>
    <xf numFmtId="43" fontId="7" fillId="3" borderId="0" xfId="0" applyNumberFormat="1" applyFont="1" applyFill="1" applyBorder="1"/>
    <xf numFmtId="43" fontId="2" fillId="7" borderId="34" xfId="1" applyNumberFormat="1" applyFont="1" applyFill="1" applyBorder="1" applyAlignment="1">
      <alignment vertical="center"/>
    </xf>
    <xf numFmtId="43" fontId="7" fillId="7" borderId="43" xfId="2" applyFont="1" applyFill="1" applyBorder="1" applyAlignment="1">
      <alignment horizontal="justify" vertical="center"/>
    </xf>
    <xf numFmtId="43" fontId="4" fillId="0" borderId="36" xfId="0" applyNumberFormat="1" applyFont="1" applyBorder="1" applyAlignment="1">
      <alignment horizontal="left" vertical="center" wrapText="1"/>
    </xf>
    <xf numFmtId="43" fontId="7" fillId="7" borderId="30" xfId="1" applyNumberFormat="1" applyFont="1" applyFill="1" applyBorder="1" applyAlignment="1">
      <alignment horizontal="right" vertical="center" wrapText="1"/>
    </xf>
    <xf numFmtId="43" fontId="7" fillId="7" borderId="30" xfId="0" applyNumberFormat="1" applyFont="1" applyFill="1" applyBorder="1" applyAlignment="1">
      <alignment horizontal="right" vertical="center" wrapText="1"/>
    </xf>
    <xf numFmtId="0" fontId="2" fillId="0" borderId="38" xfId="0" applyFont="1" applyBorder="1" applyAlignment="1">
      <alignment horizontal="right" vertical="center" wrapText="1"/>
    </xf>
    <xf numFmtId="43" fontId="7" fillId="6" borderId="30" xfId="0" applyNumberFormat="1" applyFont="1" applyFill="1" applyBorder="1" applyAlignment="1">
      <alignment horizontal="right" vertical="center" wrapText="1"/>
    </xf>
    <xf numFmtId="3" fontId="7" fillId="0" borderId="0" xfId="0" applyNumberFormat="1" applyFont="1" applyBorder="1" applyAlignment="1">
      <alignment horizontal="center" vertical="center"/>
    </xf>
    <xf numFmtId="43" fontId="2" fillId="0" borderId="34" xfId="2" applyFont="1" applyBorder="1" applyAlignment="1">
      <alignment horizontal="justify" vertical="center"/>
    </xf>
    <xf numFmtId="43" fontId="4" fillId="0" borderId="0" xfId="0" applyNumberFormat="1" applyFont="1" applyBorder="1"/>
    <xf numFmtId="43" fontId="7" fillId="0" borderId="30" xfId="1" applyNumberFormat="1" applyFont="1" applyBorder="1" applyAlignment="1">
      <alignment horizontal="justify" vertical="center"/>
    </xf>
    <xf numFmtId="43" fontId="2" fillId="7" borderId="30" xfId="0" applyNumberFormat="1" applyFont="1" applyFill="1" applyBorder="1" applyAlignment="1">
      <alignment vertical="center"/>
    </xf>
    <xf numFmtId="43" fontId="2" fillId="6" borderId="30" xfId="0" applyNumberFormat="1" applyFont="1" applyFill="1" applyBorder="1" applyAlignment="1">
      <alignment vertical="center"/>
    </xf>
    <xf numFmtId="0" fontId="2" fillId="0" borderId="0" xfId="0" applyFont="1" applyBorder="1" applyAlignment="1">
      <alignment horizontal="center" vertical="center" wrapText="1"/>
    </xf>
    <xf numFmtId="1" fontId="2" fillId="0" borderId="0" xfId="0" applyNumberFormat="1" applyFont="1" applyBorder="1" applyAlignment="1">
      <alignment horizontal="center" vertical="center" wrapText="1"/>
    </xf>
    <xf numFmtId="43" fontId="2" fillId="0" borderId="0" xfId="2" applyFont="1" applyBorder="1" applyAlignment="1">
      <alignment horizontal="justify" vertical="center"/>
    </xf>
    <xf numFmtId="43" fontId="2" fillId="0" borderId="36" xfId="2" applyFont="1" applyBorder="1" applyAlignment="1">
      <alignment horizontal="justify" vertical="center"/>
    </xf>
    <xf numFmtId="0" fontId="20" fillId="4" borderId="33" xfId="0" applyFont="1" applyFill="1" applyBorder="1" applyAlignment="1">
      <alignment horizontal="left" vertical="center"/>
    </xf>
    <xf numFmtId="43" fontId="2" fillId="4" borderId="30" xfId="0" applyNumberFormat="1" applyFont="1" applyFill="1" applyBorder="1" applyAlignment="1">
      <alignment horizontal="left" vertical="center"/>
    </xf>
    <xf numFmtId="43" fontId="2" fillId="5" borderId="30" xfId="0" applyNumberFormat="1" applyFont="1" applyFill="1" applyBorder="1" applyAlignment="1">
      <alignment vertical="center"/>
    </xf>
    <xf numFmtId="43" fontId="7" fillId="7" borderId="30" xfId="2" applyFont="1" applyFill="1" applyBorder="1" applyAlignment="1">
      <alignment vertical="center"/>
    </xf>
    <xf numFmtId="43" fontId="7" fillId="7" borderId="44" xfId="2" applyFont="1" applyFill="1" applyBorder="1" applyAlignment="1">
      <alignment vertical="center"/>
    </xf>
    <xf numFmtId="43" fontId="7" fillId="7" borderId="39" xfId="2" applyFont="1" applyFill="1" applyBorder="1" applyAlignment="1">
      <alignment vertical="center"/>
    </xf>
    <xf numFmtId="43" fontId="7" fillId="6" borderId="39" xfId="2" applyFont="1" applyFill="1" applyBorder="1" applyAlignment="1">
      <alignment vertical="center"/>
    </xf>
    <xf numFmtId="43" fontId="7" fillId="7" borderId="30" xfId="1" applyNumberFormat="1" applyFont="1" applyFill="1" applyBorder="1" applyAlignment="1">
      <alignment horizontal="justify" vertical="center"/>
    </xf>
    <xf numFmtId="43" fontId="7" fillId="6" borderId="30" xfId="1" applyNumberFormat="1" applyFont="1" applyFill="1" applyBorder="1" applyAlignment="1">
      <alignment horizontal="justify" vertical="center"/>
    </xf>
    <xf numFmtId="43" fontId="7" fillId="5" borderId="30" xfId="1" applyNumberFormat="1" applyFont="1" applyFill="1" applyBorder="1" applyAlignment="1">
      <alignment horizontal="justify" vertical="center"/>
    </xf>
    <xf numFmtId="43" fontId="7" fillId="8" borderId="30" xfId="1" applyNumberFormat="1" applyFont="1" applyFill="1" applyBorder="1" applyAlignment="1">
      <alignment horizontal="justify" vertical="center"/>
    </xf>
    <xf numFmtId="0" fontId="8" fillId="0" borderId="0" xfId="0" applyFont="1" applyBorder="1" applyAlignment="1">
      <alignment horizontal="center" vertical="center"/>
    </xf>
    <xf numFmtId="0" fontId="7" fillId="0" borderId="0" xfId="0" applyFont="1" applyBorder="1" applyAlignment="1">
      <alignment horizontal="justify" vertical="center"/>
    </xf>
    <xf numFmtId="43" fontId="7" fillId="0" borderId="0" xfId="1" applyNumberFormat="1" applyFont="1" applyBorder="1" applyAlignment="1">
      <alignment horizontal="justify" vertical="center"/>
    </xf>
    <xf numFmtId="43" fontId="7" fillId="3" borderId="0" xfId="1" applyNumberFormat="1" applyFont="1" applyFill="1" applyBorder="1" applyAlignment="1">
      <alignment horizontal="justify" vertical="center"/>
    </xf>
    <xf numFmtId="0" fontId="17" fillId="4" borderId="35" xfId="0" applyFont="1" applyFill="1" applyBorder="1" applyAlignment="1">
      <alignment horizontal="left" vertical="center"/>
    </xf>
    <xf numFmtId="0" fontId="2" fillId="5" borderId="35" xfId="0" applyFont="1" applyFill="1" applyBorder="1" applyAlignment="1">
      <alignment horizontal="left" vertical="center" wrapText="1"/>
    </xf>
    <xf numFmtId="43" fontId="2" fillId="5" borderId="30" xfId="0" applyNumberFormat="1" applyFont="1" applyFill="1" applyBorder="1" applyAlignment="1">
      <alignment vertical="center" wrapText="1"/>
    </xf>
    <xf numFmtId="43" fontId="2" fillId="6" borderId="30" xfId="0" applyNumberFormat="1" applyFont="1" applyFill="1" applyBorder="1" applyAlignment="1">
      <alignment vertical="center" wrapText="1"/>
    </xf>
    <xf numFmtId="43" fontId="7" fillId="7" borderId="30" xfId="0" applyNumberFormat="1" applyFont="1" applyFill="1" applyBorder="1" applyAlignment="1">
      <alignment vertical="center"/>
    </xf>
    <xf numFmtId="43" fontId="2" fillId="0" borderId="34" xfId="0" applyNumberFormat="1" applyFont="1" applyBorder="1" applyAlignment="1">
      <alignment vertical="center"/>
    </xf>
    <xf numFmtId="0" fontId="7" fillId="3" borderId="0" xfId="0" applyFont="1" applyFill="1" applyBorder="1" applyAlignment="1">
      <alignment horizontal="center" vertical="center" wrapText="1"/>
    </xf>
    <xf numFmtId="43" fontId="7" fillId="3" borderId="0" xfId="1" applyNumberFormat="1" applyFont="1" applyFill="1" applyBorder="1" applyAlignment="1">
      <alignment horizontal="center" vertical="center"/>
    </xf>
    <xf numFmtId="43" fontId="11" fillId="3" borderId="36" xfId="0" applyNumberFormat="1" applyFont="1" applyFill="1" applyBorder="1" applyAlignment="1">
      <alignment vertical="center"/>
    </xf>
    <xf numFmtId="0" fontId="7" fillId="3" borderId="31" xfId="0" applyFont="1" applyFill="1" applyBorder="1" applyAlignment="1">
      <alignment horizontal="justify" vertical="center" wrapText="1"/>
    </xf>
    <xf numFmtId="0" fontId="7" fillId="3" borderId="0" xfId="0" applyFont="1" applyFill="1" applyBorder="1" applyAlignment="1">
      <alignment horizontal="justify" vertical="center" wrapText="1"/>
    </xf>
    <xf numFmtId="1" fontId="7" fillId="3" borderId="0" xfId="0" applyNumberFormat="1" applyFont="1" applyFill="1" applyBorder="1" applyAlignment="1">
      <alignment horizontal="center" vertical="center" wrapText="1"/>
    </xf>
    <xf numFmtId="0" fontId="8" fillId="3" borderId="0" xfId="0" applyFont="1" applyFill="1" applyBorder="1" applyAlignment="1">
      <alignment horizontal="center" vertical="center" wrapText="1"/>
    </xf>
    <xf numFmtId="43" fontId="4" fillId="3" borderId="36" xfId="0" applyNumberFormat="1" applyFont="1" applyFill="1" applyBorder="1" applyAlignment="1">
      <alignment vertical="center"/>
    </xf>
    <xf numFmtId="43" fontId="7" fillId="12" borderId="30" xfId="2" applyFont="1" applyFill="1" applyBorder="1" applyAlignment="1">
      <alignment horizontal="justify" vertical="center"/>
    </xf>
    <xf numFmtId="0" fontId="8" fillId="0" borderId="38" xfId="0" applyFont="1" applyFill="1" applyBorder="1" applyAlignment="1">
      <alignment horizontal="center" vertical="center" wrapText="1"/>
    </xf>
    <xf numFmtId="168" fontId="7" fillId="0" borderId="38" xfId="2" applyNumberFormat="1" applyFont="1" applyFill="1" applyBorder="1" applyAlignment="1">
      <alignment horizontal="justify" vertical="center"/>
    </xf>
    <xf numFmtId="0" fontId="2" fillId="0" borderId="37" xfId="0" applyFont="1" applyBorder="1" applyAlignment="1">
      <alignment vertical="center"/>
    </xf>
    <xf numFmtId="0" fontId="2" fillId="0" borderId="38" xfId="0" applyFont="1" applyBorder="1" applyAlignment="1">
      <alignment vertical="center"/>
    </xf>
    <xf numFmtId="0" fontId="2" fillId="0" borderId="41" xfId="0" applyFont="1" applyBorder="1" applyAlignment="1">
      <alignment vertical="center"/>
    </xf>
    <xf numFmtId="0" fontId="2" fillId="0" borderId="3" xfId="0" applyFont="1" applyBorder="1" applyAlignment="1">
      <alignment vertical="center"/>
    </xf>
    <xf numFmtId="0" fontId="2" fillId="0" borderId="9" xfId="0" applyFont="1" applyBorder="1" applyAlignment="1">
      <alignment vertical="center"/>
    </xf>
    <xf numFmtId="0" fontId="7" fillId="0" borderId="4" xfId="0" applyFont="1" applyFill="1" applyBorder="1" applyAlignment="1">
      <alignment horizontal="center" vertical="center"/>
    </xf>
    <xf numFmtId="1" fontId="7" fillId="0" borderId="4" xfId="0" applyNumberFormat="1" applyFont="1" applyFill="1" applyBorder="1" applyAlignment="1">
      <alignment horizontal="center" vertical="center"/>
    </xf>
    <xf numFmtId="2" fontId="7" fillId="0" borderId="4" xfId="0" applyNumberFormat="1" applyFont="1" applyFill="1" applyBorder="1" applyAlignment="1">
      <alignment horizontal="center" vertical="center"/>
    </xf>
    <xf numFmtId="43" fontId="7" fillId="0" borderId="4" xfId="1" applyNumberFormat="1" applyFont="1" applyFill="1" applyBorder="1" applyAlignment="1">
      <alignment horizontal="right" vertical="center" wrapText="1"/>
    </xf>
    <xf numFmtId="43" fontId="4" fillId="0" borderId="39" xfId="0" applyNumberFormat="1" applyFont="1" applyFill="1" applyBorder="1" applyAlignment="1">
      <alignment vertical="center"/>
    </xf>
    <xf numFmtId="0" fontId="2" fillId="11" borderId="15" xfId="0" applyFont="1" applyFill="1" applyBorder="1" applyAlignment="1">
      <alignment horizontal="center" vertical="center" wrapText="1"/>
    </xf>
    <xf numFmtId="1" fontId="2" fillId="11" borderId="15" xfId="0" applyNumberFormat="1" applyFont="1" applyFill="1" applyBorder="1" applyAlignment="1">
      <alignment horizontal="center" vertical="center" wrapText="1"/>
    </xf>
    <xf numFmtId="0" fontId="2" fillId="11" borderId="9" xfId="0" applyFont="1" applyFill="1" applyBorder="1" applyAlignment="1">
      <alignment horizontal="center" vertical="center" wrapText="1"/>
    </xf>
    <xf numFmtId="0" fontId="7" fillId="11" borderId="10" xfId="0" applyFont="1" applyFill="1" applyBorder="1" applyAlignment="1">
      <alignment horizontal="center" vertical="center" wrapText="1"/>
    </xf>
    <xf numFmtId="43" fontId="2" fillId="11" borderId="10" xfId="2" applyFont="1" applyFill="1" applyBorder="1" applyAlignment="1">
      <alignment horizontal="justify" vertical="center"/>
    </xf>
    <xf numFmtId="43" fontId="2" fillId="11" borderId="43" xfId="2" applyFont="1" applyFill="1" applyBorder="1" applyAlignment="1">
      <alignment horizontal="justify" vertical="center"/>
    </xf>
    <xf numFmtId="0" fontId="4" fillId="3" borderId="0" xfId="0" applyFont="1" applyFill="1" applyBorder="1"/>
    <xf numFmtId="0" fontId="2" fillId="0" borderId="4" xfId="0" applyFont="1" applyBorder="1" applyAlignment="1">
      <alignment horizontal="left" vertical="center"/>
    </xf>
    <xf numFmtId="9" fontId="7" fillId="0" borderId="4" xfId="3" applyFont="1" applyBorder="1" applyAlignment="1">
      <alignment horizontal="center" vertical="center" wrapText="1"/>
    </xf>
    <xf numFmtId="3" fontId="7" fillId="0" borderId="4" xfId="0" applyNumberFormat="1" applyFont="1" applyBorder="1" applyAlignment="1">
      <alignment horizontal="center" vertical="center" wrapText="1"/>
    </xf>
    <xf numFmtId="43" fontId="7" fillId="3" borderId="4" xfId="1" applyNumberFormat="1" applyFont="1" applyFill="1" applyBorder="1" applyAlignment="1">
      <alignment horizontal="right" vertical="center" wrapText="1"/>
    </xf>
    <xf numFmtId="43" fontId="4" fillId="0" borderId="39" xfId="0" applyNumberFormat="1" applyFont="1" applyBorder="1" applyAlignment="1">
      <alignment vertical="center"/>
    </xf>
    <xf numFmtId="0" fontId="7" fillId="0" borderId="31" xfId="0" applyFont="1" applyFill="1" applyBorder="1" applyAlignment="1">
      <alignment horizontal="justify" vertical="center" wrapText="1"/>
    </xf>
    <xf numFmtId="0" fontId="7" fillId="0" borderId="15" xfId="0" applyFont="1" applyFill="1" applyBorder="1" applyAlignment="1">
      <alignment horizontal="justify" vertical="center" wrapText="1"/>
    </xf>
    <xf numFmtId="1" fontId="7" fillId="0" borderId="15" xfId="0" applyNumberFormat="1" applyFont="1" applyFill="1" applyBorder="1" applyAlignment="1">
      <alignment horizontal="center" vertical="center" wrapText="1"/>
    </xf>
    <xf numFmtId="0" fontId="8" fillId="0" borderId="15" xfId="0" applyFont="1" applyFill="1" applyBorder="1" applyAlignment="1">
      <alignment horizontal="center" vertical="center" wrapText="1"/>
    </xf>
    <xf numFmtId="43" fontId="7" fillId="0" borderId="15" xfId="2" applyFont="1" applyFill="1" applyBorder="1" applyAlignment="1">
      <alignment horizontal="justify" vertical="center"/>
    </xf>
    <xf numFmtId="43" fontId="7" fillId="0" borderId="15" xfId="1" applyNumberFormat="1" applyFont="1" applyFill="1" applyBorder="1" applyAlignment="1">
      <alignment horizontal="center" vertical="center"/>
    </xf>
    <xf numFmtId="43" fontId="2" fillId="0" borderId="42" xfId="1" applyNumberFormat="1" applyFont="1" applyFill="1" applyBorder="1" applyAlignment="1">
      <alignment horizontal="center" vertical="center"/>
    </xf>
    <xf numFmtId="0" fontId="2" fillId="0" borderId="3" xfId="0" applyFont="1" applyBorder="1" applyAlignment="1">
      <alignment horizontal="left" vertical="center" wrapText="1"/>
    </xf>
    <xf numFmtId="0" fontId="3" fillId="0" borderId="4" xfId="0" applyFont="1" applyBorder="1" applyAlignment="1">
      <alignment horizontal="center" vertical="center" wrapText="1"/>
    </xf>
    <xf numFmtId="43" fontId="2" fillId="0" borderId="4" xfId="0" applyNumberFormat="1" applyFont="1" applyBorder="1" applyAlignment="1">
      <alignment vertical="center" wrapText="1"/>
    </xf>
    <xf numFmtId="43" fontId="2" fillId="0" borderId="39" xfId="0" applyNumberFormat="1" applyFont="1" applyBorder="1" applyAlignment="1">
      <alignment vertical="center" wrapText="1"/>
    </xf>
    <xf numFmtId="0" fontId="11" fillId="14" borderId="46" xfId="0" applyFont="1" applyFill="1" applyBorder="1" applyAlignment="1">
      <alignment horizontal="justify" vertical="center"/>
    </xf>
    <xf numFmtId="0" fontId="11" fillId="14" borderId="46" xfId="0" applyFont="1" applyFill="1" applyBorder="1" applyAlignment="1">
      <alignment horizontal="center" vertical="center"/>
    </xf>
    <xf numFmtId="1" fontId="11" fillId="14" borderId="46" xfId="0" applyNumberFormat="1" applyFont="1" applyFill="1" applyBorder="1" applyAlignment="1">
      <alignment horizontal="center" vertical="center"/>
    </xf>
    <xf numFmtId="0" fontId="3" fillId="14" borderId="46" xfId="0" applyFont="1" applyFill="1" applyBorder="1" applyAlignment="1">
      <alignment horizontal="center" vertical="center" wrapText="1"/>
    </xf>
    <xf numFmtId="0" fontId="11" fillId="14" borderId="46" xfId="0" applyFont="1" applyFill="1" applyBorder="1" applyAlignment="1">
      <alignment horizontal="justify" vertical="center" wrapText="1"/>
    </xf>
    <xf numFmtId="0" fontId="11" fillId="14" borderId="47" xfId="0" applyFont="1" applyFill="1" applyBorder="1" applyAlignment="1">
      <alignment horizontal="center" vertical="center" wrapText="1"/>
    </xf>
    <xf numFmtId="43" fontId="2" fillId="14" borderId="48" xfId="2" applyFont="1" applyFill="1" applyBorder="1" applyAlignment="1">
      <alignment vertical="center"/>
    </xf>
    <xf numFmtId="43" fontId="2" fillId="14" borderId="49" xfId="2" applyFont="1" applyFill="1" applyBorder="1" applyAlignment="1">
      <alignment vertical="center"/>
    </xf>
    <xf numFmtId="43" fontId="22" fillId="16" borderId="2" xfId="0" applyNumberFormat="1" applyFont="1" applyFill="1" applyBorder="1" applyAlignment="1">
      <alignment vertical="center" wrapText="1"/>
    </xf>
    <xf numFmtId="0" fontId="21" fillId="0" borderId="0" xfId="0" applyFont="1" applyFill="1" applyAlignment="1">
      <alignment horizontal="center" vertical="center"/>
    </xf>
    <xf numFmtId="0" fontId="25" fillId="0" borderId="6" xfId="0" applyFont="1" applyFill="1" applyBorder="1" applyAlignment="1">
      <alignment horizontal="left" vertical="center" wrapText="1"/>
    </xf>
    <xf numFmtId="0" fontId="25" fillId="0" borderId="8" xfId="0" applyFont="1" applyFill="1" applyBorder="1" applyAlignment="1">
      <alignment horizontal="left" vertical="center" wrapText="1"/>
    </xf>
    <xf numFmtId="0" fontId="21" fillId="0" borderId="0" xfId="0" applyFont="1" applyFill="1"/>
    <xf numFmtId="0" fontId="22" fillId="16" borderId="4" xfId="0" applyFont="1" applyFill="1" applyBorder="1" applyAlignment="1">
      <alignment horizontal="center" vertical="center" wrapText="1"/>
    </xf>
    <xf numFmtId="43" fontId="22" fillId="16" borderId="4" xfId="2" applyFont="1" applyFill="1" applyBorder="1" applyAlignment="1">
      <alignment horizontal="justify" vertical="center"/>
    </xf>
    <xf numFmtId="0" fontId="22" fillId="0" borderId="8" xfId="0" applyFont="1" applyFill="1" applyBorder="1" applyAlignment="1">
      <alignment horizontal="center" vertical="center" wrapText="1"/>
    </xf>
    <xf numFmtId="43" fontId="22" fillId="0" borderId="7" xfId="2" applyFont="1" applyFill="1" applyBorder="1" applyAlignment="1">
      <alignment horizontal="justify" vertical="center"/>
    </xf>
    <xf numFmtId="0" fontId="7" fillId="0" borderId="4" xfId="0" applyFont="1" applyFill="1" applyBorder="1" applyAlignment="1">
      <alignment horizontal="justify" vertical="center" wrapText="1"/>
    </xf>
    <xf numFmtId="0" fontId="7" fillId="0" borderId="10" xfId="0" applyFont="1" applyFill="1" applyBorder="1" applyAlignment="1">
      <alignment horizontal="justify" vertical="center" wrapText="1"/>
    </xf>
    <xf numFmtId="0" fontId="8" fillId="0" borderId="14"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14" xfId="0" applyFont="1" applyFill="1" applyBorder="1" applyAlignment="1">
      <alignment horizontal="justify" vertical="center" wrapText="1"/>
    </xf>
    <xf numFmtId="0" fontId="7" fillId="0" borderId="14"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2" xfId="0" applyFont="1" applyFill="1" applyBorder="1" applyAlignment="1">
      <alignment horizontal="justify" vertical="center" wrapText="1"/>
    </xf>
    <xf numFmtId="0" fontId="7" fillId="0" borderId="4" xfId="0" applyFont="1" applyFill="1" applyBorder="1" applyAlignment="1">
      <alignment horizontal="justify" vertical="center"/>
    </xf>
    <xf numFmtId="0" fontId="7" fillId="0" borderId="14" xfId="0" applyFont="1" applyFill="1" applyBorder="1" applyAlignment="1">
      <alignment horizontal="justify" vertical="center"/>
    </xf>
    <xf numFmtId="0" fontId="7" fillId="0" borderId="10" xfId="0" applyFont="1" applyFill="1" applyBorder="1" applyAlignment="1">
      <alignment horizontal="justify" vertical="center"/>
    </xf>
    <xf numFmtId="0" fontId="2" fillId="6" borderId="8" xfId="0" applyFont="1" applyFill="1" applyBorder="1" applyAlignment="1">
      <alignment horizontal="center" vertical="center"/>
    </xf>
    <xf numFmtId="0" fontId="7" fillId="0" borderId="3"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4" xfId="0" applyFont="1" applyBorder="1" applyAlignment="1">
      <alignment horizontal="justify" vertical="center" wrapText="1"/>
    </xf>
    <xf numFmtId="0" fontId="7" fillId="0" borderId="14" xfId="0" applyFont="1" applyBorder="1" applyAlignment="1">
      <alignment horizontal="justify" vertical="center" wrapText="1"/>
    </xf>
    <xf numFmtId="0" fontId="8" fillId="0" borderId="4" xfId="0" applyFont="1" applyBorder="1" applyAlignment="1">
      <alignment horizontal="center" vertical="center" wrapText="1"/>
    </xf>
    <xf numFmtId="0" fontId="8" fillId="0" borderId="14" xfId="0" applyFont="1" applyBorder="1" applyAlignment="1">
      <alignment horizontal="center" vertical="center" wrapText="1"/>
    </xf>
    <xf numFmtId="168" fontId="7" fillId="0" borderId="4" xfId="2" applyNumberFormat="1" applyFont="1" applyFill="1" applyBorder="1" applyAlignment="1">
      <alignment horizontal="justify" vertical="center" wrapText="1"/>
    </xf>
    <xf numFmtId="168" fontId="7" fillId="0" borderId="14" xfId="2" applyNumberFormat="1" applyFont="1" applyFill="1" applyBorder="1" applyAlignment="1">
      <alignment horizontal="justify" vertical="center" wrapText="1"/>
    </xf>
    <xf numFmtId="168" fontId="7" fillId="0" borderId="10" xfId="2" applyNumberFormat="1" applyFont="1" applyFill="1" applyBorder="1" applyAlignment="1">
      <alignment horizontal="justify" vertical="center" wrapText="1"/>
    </xf>
    <xf numFmtId="0" fontId="2" fillId="6" borderId="6" xfId="0" applyFont="1" applyFill="1" applyBorder="1" applyAlignment="1">
      <alignment horizontal="left" vertical="center"/>
    </xf>
    <xf numFmtId="0" fontId="2" fillId="6" borderId="8" xfId="0" applyFont="1" applyFill="1" applyBorder="1" applyAlignment="1">
      <alignment horizontal="left" vertical="center"/>
    </xf>
    <xf numFmtId="10" fontId="7" fillId="0" borderId="4" xfId="0" applyNumberFormat="1" applyFont="1" applyFill="1" applyBorder="1" applyAlignment="1">
      <alignment horizontal="center" vertical="center" wrapText="1"/>
    </xf>
    <xf numFmtId="10" fontId="7" fillId="0" borderId="14" xfId="0" applyNumberFormat="1" applyFont="1" applyFill="1" applyBorder="1" applyAlignment="1">
      <alignment horizontal="center" vertical="center" wrapText="1"/>
    </xf>
    <xf numFmtId="10" fontId="7" fillId="0" borderId="10" xfId="0" applyNumberFormat="1" applyFont="1" applyFill="1" applyBorder="1" applyAlignment="1">
      <alignment horizontal="center" vertical="center" wrapText="1"/>
    </xf>
    <xf numFmtId="9" fontId="7" fillId="0" borderId="4" xfId="0" applyNumberFormat="1" applyFont="1" applyFill="1" applyBorder="1" applyAlignment="1">
      <alignment horizontal="center" vertical="center" wrapText="1"/>
    </xf>
    <xf numFmtId="9" fontId="7" fillId="0" borderId="14" xfId="0" applyNumberFormat="1" applyFont="1" applyFill="1" applyBorder="1" applyAlignment="1">
      <alignment horizontal="center" vertical="center" wrapText="1"/>
    </xf>
    <xf numFmtId="9" fontId="7" fillId="0" borderId="10" xfId="0" applyNumberFormat="1" applyFont="1" applyFill="1" applyBorder="1" applyAlignment="1">
      <alignment horizontal="center" vertical="center" wrapText="1"/>
    </xf>
    <xf numFmtId="0" fontId="8" fillId="0" borderId="20" xfId="0" applyFont="1" applyFill="1" applyBorder="1" applyAlignment="1">
      <alignment horizontal="center" vertical="center" wrapText="1"/>
    </xf>
    <xf numFmtId="0" fontId="7" fillId="0" borderId="20" xfId="0" applyFont="1" applyFill="1" applyBorder="1" applyAlignment="1">
      <alignment vertical="center" wrapText="1"/>
    </xf>
    <xf numFmtId="0" fontId="7" fillId="0" borderId="12"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20" xfId="0" applyFont="1" applyFill="1" applyBorder="1" applyAlignment="1">
      <alignment horizontal="justify" vertical="center"/>
    </xf>
    <xf numFmtId="0" fontId="7" fillId="0" borderId="23" xfId="0" applyFont="1" applyFill="1" applyBorder="1" applyAlignment="1">
      <alignment horizontal="justify" vertical="center"/>
    </xf>
    <xf numFmtId="0" fontId="8" fillId="0" borderId="1" xfId="0" applyFont="1" applyFill="1" applyBorder="1" applyAlignment="1">
      <alignment horizontal="center" vertical="center" wrapText="1"/>
    </xf>
    <xf numFmtId="0" fontId="8" fillId="0" borderId="9" xfId="0" applyFont="1" applyFill="1" applyBorder="1" applyAlignment="1">
      <alignment horizontal="center" vertical="center" wrapText="1"/>
    </xf>
    <xf numFmtId="16" fontId="7" fillId="0" borderId="4" xfId="0" applyNumberFormat="1" applyFont="1" applyFill="1" applyBorder="1" applyAlignment="1">
      <alignment horizontal="center" vertical="center" wrapText="1"/>
    </xf>
    <xf numFmtId="16" fontId="7" fillId="0" borderId="14" xfId="0" applyNumberFormat="1" applyFont="1" applyFill="1" applyBorder="1" applyAlignment="1">
      <alignment horizontal="center" vertical="center" wrapText="1"/>
    </xf>
    <xf numFmtId="16" fontId="7" fillId="0" borderId="10" xfId="0" applyNumberFormat="1" applyFont="1" applyFill="1" applyBorder="1" applyAlignment="1">
      <alignment horizontal="center" vertical="center" wrapText="1"/>
    </xf>
    <xf numFmtId="0" fontId="7" fillId="0" borderId="19" xfId="0" applyFont="1" applyFill="1" applyBorder="1" applyAlignment="1">
      <alignment horizontal="justify" vertical="center" wrapText="1"/>
    </xf>
    <xf numFmtId="3" fontId="7" fillId="0" borderId="4" xfId="0" applyNumberFormat="1" applyFont="1" applyFill="1" applyBorder="1" applyAlignment="1">
      <alignment horizontal="justify" vertical="center" wrapText="1"/>
    </xf>
    <xf numFmtId="3" fontId="7" fillId="0" borderId="14" xfId="0" applyNumberFormat="1" applyFont="1" applyFill="1" applyBorder="1" applyAlignment="1">
      <alignment horizontal="justify" vertical="center" wrapText="1"/>
    </xf>
    <xf numFmtId="3" fontId="7" fillId="0" borderId="10" xfId="0" applyNumberFormat="1" applyFont="1" applyFill="1" applyBorder="1" applyAlignment="1">
      <alignment horizontal="justify" vertical="center" wrapText="1"/>
    </xf>
    <xf numFmtId="3" fontId="7" fillId="0" borderId="4" xfId="0" applyNumberFormat="1" applyFont="1" applyFill="1" applyBorder="1" applyAlignment="1">
      <alignment horizontal="left" vertical="center" wrapText="1"/>
    </xf>
    <xf numFmtId="3" fontId="7" fillId="0" borderId="14" xfId="0" applyNumberFormat="1" applyFont="1" applyFill="1" applyBorder="1" applyAlignment="1">
      <alignment horizontal="left" vertical="center" wrapText="1"/>
    </xf>
    <xf numFmtId="3" fontId="7" fillId="0" borderId="10" xfId="0" applyNumberFormat="1" applyFont="1" applyFill="1" applyBorder="1" applyAlignment="1">
      <alignment horizontal="left" vertical="center" wrapText="1"/>
    </xf>
    <xf numFmtId="0" fontId="7" fillId="0" borderId="8" xfId="0" applyFont="1" applyBorder="1" applyAlignment="1">
      <alignment horizontal="center" vertical="center" wrapText="1"/>
    </xf>
    <xf numFmtId="0" fontId="7" fillId="0" borderId="7" xfId="0" applyFont="1" applyBorder="1" applyAlignment="1">
      <alignment horizontal="center" vertical="center" wrapText="1"/>
    </xf>
    <xf numFmtId="3" fontId="4" fillId="0" borderId="4" xfId="0" applyNumberFormat="1" applyFont="1" applyFill="1" applyBorder="1" applyAlignment="1">
      <alignment horizontal="left" vertical="center"/>
    </xf>
    <xf numFmtId="3" fontId="4" fillId="0" borderId="14" xfId="0" applyNumberFormat="1" applyFont="1" applyFill="1" applyBorder="1" applyAlignment="1">
      <alignment horizontal="left" vertical="center"/>
    </xf>
    <xf numFmtId="3" fontId="4" fillId="0" borderId="10" xfId="0" applyNumberFormat="1" applyFont="1" applyFill="1" applyBorder="1" applyAlignment="1">
      <alignment horizontal="left" vertical="center"/>
    </xf>
    <xf numFmtId="3" fontId="7" fillId="0" borderId="4" xfId="0" applyNumberFormat="1" applyFont="1" applyFill="1" applyBorder="1" applyAlignment="1">
      <alignment horizontal="left" vertical="center"/>
    </xf>
    <xf numFmtId="3" fontId="7" fillId="0" borderId="14" xfId="0" applyNumberFormat="1" applyFont="1" applyFill="1" applyBorder="1" applyAlignment="1">
      <alignment horizontal="left" vertical="center"/>
    </xf>
    <xf numFmtId="3" fontId="7" fillId="0" borderId="10" xfId="0" applyNumberFormat="1" applyFont="1" applyFill="1" applyBorder="1" applyAlignment="1">
      <alignment horizontal="left" vertical="center"/>
    </xf>
    <xf numFmtId="3" fontId="7" fillId="0" borderId="23" xfId="0" applyNumberFormat="1" applyFont="1" applyFill="1" applyBorder="1" applyAlignment="1">
      <alignment horizontal="center" vertical="center"/>
    </xf>
    <xf numFmtId="0" fontId="7" fillId="0" borderId="20" xfId="0" applyFont="1" applyFill="1" applyBorder="1" applyAlignment="1">
      <alignment horizontal="center" vertical="center" wrapText="1"/>
    </xf>
    <xf numFmtId="49" fontId="7" fillId="0" borderId="3" xfId="0" applyNumberFormat="1" applyFont="1" applyBorder="1" applyAlignment="1">
      <alignment horizontal="center" vertical="center" wrapText="1"/>
    </xf>
    <xf numFmtId="49" fontId="7" fillId="0" borderId="9" xfId="0" applyNumberFormat="1" applyFont="1" applyBorder="1" applyAlignment="1">
      <alignment horizontal="center" vertical="center" wrapText="1"/>
    </xf>
    <xf numFmtId="49" fontId="7" fillId="0" borderId="4" xfId="0" applyNumberFormat="1" applyFont="1" applyBorder="1" applyAlignment="1">
      <alignment horizontal="justify" vertical="center" wrapText="1"/>
    </xf>
    <xf numFmtId="49" fontId="7" fillId="0" borderId="10" xfId="0" applyNumberFormat="1" applyFont="1" applyBorder="1" applyAlignment="1">
      <alignment horizontal="justify" vertical="center" wrapText="1"/>
    </xf>
    <xf numFmtId="10" fontId="7" fillId="0" borderId="4" xfId="0" applyNumberFormat="1" applyFont="1" applyBorder="1" applyAlignment="1">
      <alignment horizontal="center" vertical="center" wrapText="1"/>
    </xf>
    <xf numFmtId="10" fontId="7" fillId="0" borderId="10" xfId="0" applyNumberFormat="1" applyFont="1" applyBorder="1" applyAlignment="1">
      <alignment horizontal="center" vertical="center" wrapText="1"/>
    </xf>
    <xf numFmtId="0" fontId="7" fillId="0" borderId="10" xfId="0" applyFont="1" applyBorder="1" applyAlignment="1">
      <alignment horizontal="justify" vertical="center" wrapText="1"/>
    </xf>
    <xf numFmtId="0" fontId="8" fillId="0" borderId="10" xfId="0" applyFont="1" applyBorder="1" applyAlignment="1">
      <alignment horizontal="center" vertical="center" wrapText="1"/>
    </xf>
    <xf numFmtId="3" fontId="7" fillId="0" borderId="4" xfId="0" applyNumberFormat="1" applyFont="1" applyFill="1" applyBorder="1" applyAlignment="1">
      <alignment horizontal="center" vertical="center"/>
    </xf>
    <xf numFmtId="3" fontId="7" fillId="0" borderId="10" xfId="0" applyNumberFormat="1" applyFont="1" applyFill="1" applyBorder="1" applyAlignment="1">
      <alignment horizontal="center" vertical="center"/>
    </xf>
    <xf numFmtId="3" fontId="8" fillId="0" borderId="4" xfId="3" applyNumberFormat="1" applyFont="1" applyFill="1" applyBorder="1" applyAlignment="1">
      <alignment horizontal="center" vertical="center" wrapText="1"/>
    </xf>
    <xf numFmtId="3" fontId="8" fillId="0" borderId="10" xfId="3" applyNumberFormat="1" applyFont="1" applyFill="1" applyBorder="1" applyAlignment="1">
      <alignment horizontal="center" vertical="center" wrapText="1"/>
    </xf>
    <xf numFmtId="0" fontId="7" fillId="0" borderId="4" xfId="0" applyFont="1" applyBorder="1" applyAlignment="1">
      <alignment horizontal="justify" vertical="center"/>
    </xf>
    <xf numFmtId="0" fontId="7" fillId="0" borderId="14" xfId="0" applyFont="1" applyBorder="1" applyAlignment="1">
      <alignment horizontal="justify" vertical="center"/>
    </xf>
    <xf numFmtId="0" fontId="7" fillId="0" borderId="10" xfId="0" applyFont="1" applyBorder="1" applyAlignment="1">
      <alignment horizontal="justify" vertical="center"/>
    </xf>
    <xf numFmtId="0" fontId="7" fillId="0" borderId="4"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0"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10" xfId="0" applyFont="1" applyBorder="1" applyAlignment="1">
      <alignment horizontal="center"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9" xfId="0" applyFont="1" applyBorder="1" applyAlignment="1">
      <alignment horizontal="center" vertical="center" wrapText="1"/>
    </xf>
    <xf numFmtId="1" fontId="7" fillId="0" borderId="4" xfId="3" applyNumberFormat="1" applyFont="1" applyBorder="1" applyAlignment="1">
      <alignment horizontal="center" vertical="center" wrapText="1"/>
    </xf>
    <xf numFmtId="1" fontId="7" fillId="0" borderId="14" xfId="3" applyNumberFormat="1" applyFont="1" applyBorder="1" applyAlignment="1">
      <alignment horizontal="center" vertical="center" wrapText="1"/>
    </xf>
    <xf numFmtId="1" fontId="7" fillId="0" borderId="10" xfId="3" applyNumberFormat="1" applyFont="1" applyBorder="1" applyAlignment="1">
      <alignment horizontal="center" vertical="center" wrapText="1"/>
    </xf>
    <xf numFmtId="0" fontId="19" fillId="0" borderId="4" xfId="0" applyFont="1" applyBorder="1" applyAlignment="1">
      <alignment horizontal="justify" vertical="center" wrapText="1"/>
    </xf>
    <xf numFmtId="0" fontId="19" fillId="0" borderId="10" xfId="0" applyFont="1" applyBorder="1" applyAlignment="1">
      <alignment horizontal="justify" vertical="center" wrapText="1"/>
    </xf>
    <xf numFmtId="9" fontId="9" fillId="0" borderId="4" xfId="0" applyNumberFormat="1" applyFont="1" applyBorder="1" applyAlignment="1">
      <alignment horizontal="center" vertical="center" wrapText="1"/>
    </xf>
    <xf numFmtId="9" fontId="9" fillId="0" borderId="10" xfId="0" applyNumberFormat="1" applyFont="1" applyBorder="1" applyAlignment="1">
      <alignment horizontal="center" vertical="center" wrapText="1"/>
    </xf>
    <xf numFmtId="0" fontId="9" fillId="0" borderId="4" xfId="0" applyFont="1" applyBorder="1" applyAlignment="1">
      <alignment horizontal="justify" vertical="center" wrapText="1"/>
    </xf>
    <xf numFmtId="0" fontId="9" fillId="0" borderId="10" xfId="0" applyFont="1" applyBorder="1" applyAlignment="1">
      <alignment horizontal="justify" vertical="center" wrapText="1"/>
    </xf>
    <xf numFmtId="168" fontId="9" fillId="0" borderId="4" xfId="1" applyNumberFormat="1" applyFont="1" applyBorder="1" applyAlignment="1">
      <alignment vertical="center" wrapText="1"/>
    </xf>
    <xf numFmtId="168" fontId="9" fillId="0" borderId="10" xfId="1" applyNumberFormat="1" applyFont="1" applyBorder="1" applyAlignment="1">
      <alignment vertical="center" wrapText="1"/>
    </xf>
    <xf numFmtId="168" fontId="7" fillId="0" borderId="4" xfId="1" applyNumberFormat="1" applyFont="1" applyBorder="1" applyAlignment="1">
      <alignment vertical="center" wrapText="1"/>
    </xf>
    <xf numFmtId="168" fontId="7" fillId="0" borderId="10" xfId="1" applyNumberFormat="1" applyFont="1" applyBorder="1" applyAlignment="1">
      <alignment vertical="center" wrapText="1"/>
    </xf>
    <xf numFmtId="0" fontId="7" fillId="0" borderId="14" xfId="0" applyFont="1" applyBorder="1" applyAlignment="1">
      <alignment horizontal="center" vertical="center"/>
    </xf>
    <xf numFmtId="0" fontId="7" fillId="0" borderId="10" xfId="0" applyFont="1" applyBorder="1" applyAlignment="1">
      <alignment horizontal="center" vertical="center"/>
    </xf>
    <xf numFmtId="0" fontId="7" fillId="0" borderId="4" xfId="0" applyFont="1" applyBorder="1" applyAlignment="1">
      <alignment horizontal="center" vertical="center"/>
    </xf>
    <xf numFmtId="0" fontId="9" fillId="0" borderId="3" xfId="0" applyFont="1" applyBorder="1" applyAlignment="1">
      <alignment horizontal="center" vertical="center" wrapText="1"/>
    </xf>
    <xf numFmtId="0" fontId="9" fillId="0" borderId="9" xfId="0" applyFont="1" applyBorder="1" applyAlignment="1">
      <alignment horizontal="center" vertical="center" wrapText="1"/>
    </xf>
    <xf numFmtId="9" fontId="7" fillId="0" borderId="14" xfId="0" applyNumberFormat="1" applyFont="1" applyBorder="1" applyAlignment="1">
      <alignment horizontal="center" vertical="center" wrapText="1"/>
    </xf>
    <xf numFmtId="9" fontId="7" fillId="0" borderId="10" xfId="0" applyNumberFormat="1" applyFont="1" applyBorder="1" applyAlignment="1">
      <alignment horizontal="center" vertical="center" wrapText="1"/>
    </xf>
    <xf numFmtId="9" fontId="7" fillId="0" borderId="4" xfId="0" applyNumberFormat="1" applyFont="1" applyBorder="1" applyAlignment="1">
      <alignment horizontal="center" vertical="center" wrapText="1"/>
    </xf>
    <xf numFmtId="0" fontId="9" fillId="0" borderId="14" xfId="0" applyFont="1" applyBorder="1" applyAlignment="1">
      <alignment horizontal="justify" vertical="center" wrapText="1"/>
    </xf>
    <xf numFmtId="10" fontId="9" fillId="0" borderId="4" xfId="0" applyNumberFormat="1" applyFont="1" applyBorder="1" applyAlignment="1">
      <alignment horizontal="center" vertical="center" wrapText="1"/>
    </xf>
    <xf numFmtId="10" fontId="9" fillId="0" borderId="14" xfId="0" applyNumberFormat="1" applyFont="1" applyBorder="1" applyAlignment="1">
      <alignment horizontal="center" vertical="center" wrapText="1"/>
    </xf>
    <xf numFmtId="10" fontId="9" fillId="0" borderId="10" xfId="0" applyNumberFormat="1" applyFont="1" applyBorder="1" applyAlignment="1">
      <alignment horizontal="center" vertical="center" wrapText="1"/>
    </xf>
    <xf numFmtId="1" fontId="7" fillId="0" borderId="4" xfId="0" applyNumberFormat="1" applyFont="1" applyBorder="1" applyAlignment="1">
      <alignment horizontal="center" vertical="center" wrapText="1"/>
    </xf>
    <xf numFmtId="1" fontId="7" fillId="0" borderId="14" xfId="0" applyNumberFormat="1" applyFont="1" applyBorder="1" applyAlignment="1">
      <alignment horizontal="center" vertical="center" wrapText="1"/>
    </xf>
    <xf numFmtId="1" fontId="7" fillId="0" borderId="10" xfId="0" applyNumberFormat="1" applyFont="1" applyBorder="1" applyAlignment="1">
      <alignment horizontal="center" vertical="center" wrapText="1"/>
    </xf>
    <xf numFmtId="0" fontId="7" fillId="0" borderId="23" xfId="0" applyFont="1" applyBorder="1" applyAlignment="1">
      <alignment horizontal="center" vertical="center" wrapText="1"/>
    </xf>
    <xf numFmtId="0" fontId="8" fillId="0" borderId="20" xfId="0" applyFont="1" applyBorder="1" applyAlignment="1">
      <alignment horizontal="center" vertical="center" wrapText="1"/>
    </xf>
    <xf numFmtId="0" fontId="7" fillId="0" borderId="20" xfId="0" applyFont="1" applyBorder="1" applyAlignment="1">
      <alignment horizontal="justify" vertical="center" wrapText="1"/>
    </xf>
    <xf numFmtId="9" fontId="9" fillId="0" borderId="4" xfId="0" applyNumberFormat="1" applyFont="1" applyBorder="1" applyAlignment="1">
      <alignment horizontal="center" vertical="center"/>
    </xf>
    <xf numFmtId="9" fontId="9" fillId="0" borderId="14" xfId="0" applyNumberFormat="1" applyFont="1" applyBorder="1" applyAlignment="1">
      <alignment horizontal="center" vertical="center"/>
    </xf>
    <xf numFmtId="9" fontId="9" fillId="0" borderId="10" xfId="0" applyNumberFormat="1" applyFont="1" applyBorder="1" applyAlignment="1">
      <alignment horizontal="center" vertical="center"/>
    </xf>
    <xf numFmtId="9" fontId="9" fillId="0" borderId="14" xfId="0" applyNumberFormat="1" applyFont="1" applyBorder="1" applyAlignment="1">
      <alignment horizontal="center" vertical="center" wrapText="1"/>
    </xf>
    <xf numFmtId="0" fontId="2" fillId="0" borderId="32" xfId="0" applyFont="1" applyBorder="1" applyAlignment="1">
      <alignment horizontal="left" vertical="center" wrapText="1"/>
    </xf>
    <xf numFmtId="0" fontId="2" fillId="0" borderId="12" xfId="0" applyFont="1" applyBorder="1" applyAlignment="1">
      <alignment horizontal="left" vertical="center" wrapText="1"/>
    </xf>
    <xf numFmtId="0" fontId="2" fillId="0" borderId="3" xfId="0" applyFont="1" applyBorder="1" applyAlignment="1">
      <alignment horizontal="left" vertical="center" wrapText="1"/>
    </xf>
    <xf numFmtId="0" fontId="7" fillId="0" borderId="32" xfId="0" applyFont="1" applyFill="1" applyBorder="1" applyAlignment="1">
      <alignment horizontal="left" vertical="center" wrapText="1"/>
    </xf>
    <xf numFmtId="0" fontId="7" fillId="0" borderId="12" xfId="0" applyFont="1" applyFill="1" applyBorder="1" applyAlignment="1">
      <alignment horizontal="left" vertical="center" wrapText="1"/>
    </xf>
    <xf numFmtId="0" fontId="2" fillId="0" borderId="29" xfId="0" applyFont="1" applyBorder="1" applyAlignment="1">
      <alignment horizontal="left" vertical="justify"/>
    </xf>
    <xf numFmtId="0" fontId="2" fillId="0" borderId="0" xfId="0" applyFont="1" applyBorder="1" applyAlignment="1">
      <alignment horizontal="left" vertical="justify"/>
    </xf>
    <xf numFmtId="0" fontId="8" fillId="0" borderId="4" xfId="0" applyFont="1" applyBorder="1" applyAlignment="1">
      <alignment horizontal="center" vertical="center"/>
    </xf>
    <xf numFmtId="0" fontId="8" fillId="0" borderId="14" xfId="0" applyFont="1" applyBorder="1" applyAlignment="1">
      <alignment horizontal="center" vertical="center"/>
    </xf>
    <xf numFmtId="0" fontId="8" fillId="0" borderId="10" xfId="0" applyFont="1" applyBorder="1" applyAlignment="1">
      <alignment horizontal="center" vertical="center"/>
    </xf>
    <xf numFmtId="0" fontId="4" fillId="0" borderId="4" xfId="0" applyFont="1" applyBorder="1" applyAlignment="1">
      <alignment horizontal="justify" vertical="center" wrapText="1"/>
    </xf>
    <xf numFmtId="0" fontId="4" fillId="0" borderId="14" xfId="0" applyFont="1" applyBorder="1" applyAlignment="1">
      <alignment horizontal="justify" vertical="center" wrapText="1"/>
    </xf>
    <xf numFmtId="0" fontId="4" fillId="0" borderId="10" xfId="0" applyFont="1" applyBorder="1" applyAlignment="1">
      <alignment horizontal="justify" vertical="center" wrapText="1"/>
    </xf>
    <xf numFmtId="3" fontId="7" fillId="0" borderId="4" xfId="0" applyNumberFormat="1" applyFont="1" applyBorder="1" applyAlignment="1">
      <alignment horizontal="justify" vertical="center"/>
    </xf>
    <xf numFmtId="3" fontId="7" fillId="0" borderId="10" xfId="0" applyNumberFormat="1" applyFont="1" applyBorder="1" applyAlignment="1">
      <alignment horizontal="justify" vertical="center"/>
    </xf>
    <xf numFmtId="0" fontId="10" fillId="0" borderId="29" xfId="0" applyFont="1" applyBorder="1" applyAlignment="1">
      <alignment horizontal="center" vertical="center"/>
    </xf>
    <xf numFmtId="0" fontId="10" fillId="0" borderId="0" xfId="0" applyFont="1" applyBorder="1" applyAlignment="1">
      <alignment horizontal="center" vertical="center"/>
    </xf>
    <xf numFmtId="0" fontId="10" fillId="0" borderId="1" xfId="0" applyFont="1" applyBorder="1" applyAlignment="1">
      <alignment horizontal="center" vertical="center"/>
    </xf>
    <xf numFmtId="0" fontId="10" fillId="0" borderId="25" xfId="0" applyFont="1" applyBorder="1" applyAlignment="1">
      <alignment horizontal="center" vertical="center"/>
    </xf>
    <xf numFmtId="0" fontId="10" fillId="0" borderId="26" xfId="0" applyFont="1" applyBorder="1" applyAlignment="1">
      <alignment horizontal="center" vertical="center"/>
    </xf>
    <xf numFmtId="0" fontId="10" fillId="0" borderId="27" xfId="0" applyFont="1" applyBorder="1" applyAlignment="1">
      <alignment horizontal="center" vertical="center"/>
    </xf>
    <xf numFmtId="0" fontId="2" fillId="0" borderId="31" xfId="0" applyFont="1" applyBorder="1" applyAlignment="1">
      <alignment horizontal="center" vertical="center"/>
    </xf>
    <xf numFmtId="0" fontId="2" fillId="0" borderId="15" xfId="0" applyFont="1" applyBorder="1" applyAlignment="1">
      <alignment horizontal="center" vertical="center"/>
    </xf>
    <xf numFmtId="0" fontId="2" fillId="0" borderId="9" xfId="0" applyFont="1" applyBorder="1" applyAlignment="1">
      <alignment horizontal="center" vertical="center"/>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2" fillId="11" borderId="31" xfId="0" applyFont="1" applyFill="1" applyBorder="1" applyAlignment="1">
      <alignment horizontal="center" vertical="center" wrapText="1"/>
    </xf>
    <xf numFmtId="0" fontId="2" fillId="11" borderId="15" xfId="0" applyFont="1" applyFill="1" applyBorder="1" applyAlignment="1">
      <alignment horizontal="center" vertical="center" wrapText="1"/>
    </xf>
    <xf numFmtId="0" fontId="11" fillId="14" borderId="45" xfId="0" applyFont="1" applyFill="1" applyBorder="1" applyAlignment="1">
      <alignment horizontal="left" vertical="center" wrapText="1"/>
    </xf>
    <xf numFmtId="0" fontId="11" fillId="14" borderId="46" xfId="0" applyFont="1" applyFill="1" applyBorder="1" applyAlignment="1">
      <alignment horizontal="left" vertical="center" wrapText="1"/>
    </xf>
    <xf numFmtId="0" fontId="7" fillId="0" borderId="2" xfId="0" applyFont="1" applyBorder="1" applyAlignment="1">
      <alignment horizontal="center" vertical="center" wrapText="1"/>
    </xf>
    <xf numFmtId="0" fontId="9" fillId="0" borderId="2" xfId="0" applyFont="1" applyBorder="1" applyAlignment="1">
      <alignment horizontal="center" vertical="center" wrapText="1"/>
    </xf>
    <xf numFmtId="0" fontId="8" fillId="0" borderId="2" xfId="0" applyFont="1" applyBorder="1" applyAlignment="1">
      <alignment horizontal="center" vertical="center"/>
    </xf>
    <xf numFmtId="0" fontId="4" fillId="0" borderId="2" xfId="0" applyFont="1" applyBorder="1" applyAlignment="1">
      <alignment horizontal="justify" vertical="center" wrapText="1"/>
    </xf>
    <xf numFmtId="0" fontId="2" fillId="0" borderId="2" xfId="0" applyFont="1" applyBorder="1" applyAlignment="1">
      <alignment horizontal="center" vertical="center" wrapText="1"/>
    </xf>
    <xf numFmtId="0" fontId="2" fillId="5" borderId="2" xfId="0" applyFont="1" applyFill="1" applyBorder="1" applyAlignment="1">
      <alignment horizontal="left" vertical="center" wrapText="1"/>
    </xf>
    <xf numFmtId="0" fontId="2" fillId="6" borderId="2" xfId="0" applyFont="1" applyFill="1" applyBorder="1" applyAlignment="1">
      <alignment horizontal="left" vertical="center" wrapText="1"/>
    </xf>
    <xf numFmtId="0" fontId="8" fillId="0" borderId="3" xfId="0" applyFont="1" applyBorder="1" applyAlignment="1">
      <alignment horizontal="center" vertical="center"/>
    </xf>
    <xf numFmtId="0" fontId="8" fillId="0" borderId="1" xfId="0" applyFont="1" applyBorder="1" applyAlignment="1">
      <alignment horizontal="center" vertical="center"/>
    </xf>
    <xf numFmtId="0" fontId="8" fillId="0" borderId="9" xfId="0" applyFont="1" applyBorder="1" applyAlignment="1">
      <alignment horizontal="center" vertical="center"/>
    </xf>
    <xf numFmtId="168" fontId="7" fillId="0" borderId="4" xfId="0" applyNumberFormat="1" applyFont="1" applyBorder="1" applyAlignment="1">
      <alignment horizontal="justify" vertical="center" wrapText="1"/>
    </xf>
    <xf numFmtId="168" fontId="7" fillId="0" borderId="14" xfId="0" applyNumberFormat="1" applyFont="1" applyBorder="1" applyAlignment="1">
      <alignment horizontal="justify" vertical="center" wrapText="1"/>
    </xf>
    <xf numFmtId="168" fontId="7" fillId="0" borderId="10" xfId="0" applyNumberFormat="1" applyFont="1" applyBorder="1" applyAlignment="1">
      <alignment horizontal="justify" vertical="center" wrapText="1"/>
    </xf>
    <xf numFmtId="0" fontId="22" fillId="14" borderId="2" xfId="0" applyFont="1" applyFill="1" applyBorder="1" applyAlignment="1">
      <alignment horizontal="left" vertical="center" wrapText="1"/>
    </xf>
    <xf numFmtId="0" fontId="22" fillId="3" borderId="0" xfId="0" applyFont="1" applyFill="1" applyAlignment="1">
      <alignment horizontal="center"/>
    </xf>
    <xf numFmtId="0" fontId="21" fillId="3" borderId="0" xfId="0" applyFont="1" applyFill="1" applyAlignment="1">
      <alignment horizontal="center"/>
    </xf>
    <xf numFmtId="0" fontId="23" fillId="0" borderId="2" xfId="0" applyFont="1" applyBorder="1" applyAlignment="1">
      <alignment horizontal="justify" vertical="center" wrapText="1"/>
    </xf>
    <xf numFmtId="0" fontId="22" fillId="16" borderId="10" xfId="0" applyFont="1" applyFill="1" applyBorder="1" applyAlignment="1">
      <alignment horizontal="left" vertical="center" wrapText="1"/>
    </xf>
    <xf numFmtId="0" fontId="23" fillId="0" borderId="2" xfId="0" applyFont="1" applyBorder="1" applyAlignment="1">
      <alignment horizontal="center" vertical="center" wrapText="1"/>
    </xf>
    <xf numFmtId="0" fontId="22" fillId="0" borderId="2" xfId="0" applyFont="1" applyBorder="1" applyAlignment="1">
      <alignment horizontal="center" vertical="center" wrapText="1"/>
    </xf>
    <xf numFmtId="0" fontId="22" fillId="16" borderId="2" xfId="0" applyFont="1" applyFill="1" applyBorder="1" applyAlignment="1">
      <alignment horizontal="left" vertical="center" wrapText="1"/>
    </xf>
    <xf numFmtId="49" fontId="23" fillId="0" borderId="2" xfId="0" applyNumberFormat="1" applyFont="1" applyBorder="1" applyAlignment="1">
      <alignment horizontal="justify" vertical="center" wrapText="1"/>
    </xf>
    <xf numFmtId="0" fontId="22" fillId="0" borderId="4" xfId="0" applyFont="1" applyBorder="1" applyAlignment="1">
      <alignment horizontal="center" vertical="center" wrapText="1"/>
    </xf>
    <xf numFmtId="0" fontId="22" fillId="0" borderId="14" xfId="0" applyFont="1" applyBorder="1" applyAlignment="1">
      <alignment horizontal="center" vertical="center" wrapText="1"/>
    </xf>
    <xf numFmtId="0" fontId="22" fillId="0" borderId="10"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14" xfId="0" applyFont="1" applyBorder="1" applyAlignment="1">
      <alignment horizontal="center" vertical="center" wrapText="1"/>
    </xf>
    <xf numFmtId="0" fontId="23" fillId="0" borderId="10" xfId="0" applyFont="1" applyBorder="1" applyAlignment="1">
      <alignment horizontal="center" vertical="center" wrapText="1"/>
    </xf>
    <xf numFmtId="0" fontId="25" fillId="16" borderId="5" xfId="0" applyFont="1" applyFill="1" applyBorder="1" applyAlignment="1">
      <alignment horizontal="left" vertical="center" wrapText="1"/>
    </xf>
    <xf numFmtId="0" fontId="25" fillId="16" borderId="12" xfId="0" applyFont="1" applyFill="1" applyBorder="1" applyAlignment="1">
      <alignment horizontal="left" vertical="center" wrapText="1"/>
    </xf>
    <xf numFmtId="0" fontId="25" fillId="16" borderId="3" xfId="0" applyFont="1" applyFill="1" applyBorder="1" applyAlignment="1">
      <alignment horizontal="left" vertical="center" wrapText="1"/>
    </xf>
    <xf numFmtId="0" fontId="22" fillId="0" borderId="2" xfId="0" applyFont="1" applyBorder="1" applyAlignment="1">
      <alignment horizontal="justify" vertical="center" wrapText="1"/>
    </xf>
    <xf numFmtId="0" fontId="23" fillId="0" borderId="2" xfId="2" applyNumberFormat="1" applyFont="1" applyBorder="1" applyAlignment="1">
      <alignment horizontal="center" vertical="center" wrapText="1"/>
    </xf>
    <xf numFmtId="0" fontId="23" fillId="0" borderId="4" xfId="0" applyFont="1" applyBorder="1" applyAlignment="1">
      <alignment horizontal="justify" vertical="center" wrapText="1"/>
    </xf>
    <xf numFmtId="0" fontId="23" fillId="0" borderId="14" xfId="0" applyFont="1" applyBorder="1" applyAlignment="1">
      <alignment horizontal="justify" vertical="center" wrapText="1"/>
    </xf>
    <xf numFmtId="0" fontId="23" fillId="0" borderId="10" xfId="0" applyFont="1" applyBorder="1" applyAlignment="1">
      <alignment horizontal="justify" vertical="center" wrapText="1"/>
    </xf>
    <xf numFmtId="0" fontId="22" fillId="0" borderId="0" xfId="0" applyFont="1" applyAlignment="1">
      <alignment horizontal="center" vertical="center" wrapText="1"/>
    </xf>
    <xf numFmtId="0" fontId="22" fillId="0" borderId="1" xfId="0" applyFont="1" applyBorder="1" applyAlignment="1">
      <alignment horizontal="center" vertical="center" wrapText="1"/>
    </xf>
    <xf numFmtId="0" fontId="22" fillId="0" borderId="8" xfId="0" applyFont="1" applyBorder="1" applyAlignment="1">
      <alignment horizontal="center" vertical="center" wrapText="1"/>
    </xf>
    <xf numFmtId="0" fontId="22" fillId="0" borderId="7" xfId="0" applyFont="1" applyBorder="1" applyAlignment="1">
      <alignment horizontal="center" vertical="center" wrapText="1"/>
    </xf>
    <xf numFmtId="0" fontId="22" fillId="16" borderId="8" xfId="0" applyFont="1" applyFill="1" applyBorder="1" applyAlignment="1">
      <alignment horizontal="left" vertical="center" wrapText="1"/>
    </xf>
    <xf numFmtId="0" fontId="22" fillId="16" borderId="7" xfId="0" applyFont="1" applyFill="1" applyBorder="1" applyAlignment="1">
      <alignment horizontal="left" vertical="center" wrapText="1"/>
    </xf>
  </cellXfs>
  <cellStyles count="27">
    <cellStyle name="Millares" xfId="1" builtinId="3"/>
    <cellStyle name="Millares [0] 2" xfId="23"/>
    <cellStyle name="Millares 2" xfId="2"/>
    <cellStyle name="Millares 2 10" xfId="12"/>
    <cellStyle name="Millares 2 2" xfId="7"/>
    <cellStyle name="Millares 2 3" xfId="9"/>
    <cellStyle name="Millares 2 4" xfId="13"/>
    <cellStyle name="Millares 3" xfId="10"/>
    <cellStyle name="Millares 3 3" xfId="8"/>
    <cellStyle name="Millares 3 3 3" xfId="11"/>
    <cellStyle name="Millares 4" xfId="6"/>
    <cellStyle name="Millares 5" xfId="14"/>
    <cellStyle name="Millares 6" xfId="24"/>
    <cellStyle name="Millares 7" xfId="19"/>
    <cellStyle name="Moneda [0] 2" xfId="22"/>
    <cellStyle name="Moneda 2" xfId="18"/>
    <cellStyle name="Moneda 3" xfId="4"/>
    <cellStyle name="Moneda 4" xfId="15"/>
    <cellStyle name="Moneda 5" xfId="16"/>
    <cellStyle name="Moneda 6" xfId="25"/>
    <cellStyle name="Moneda 7" xfId="26"/>
    <cellStyle name="Normal" xfId="0" builtinId="0"/>
    <cellStyle name="Normal 2" xfId="5"/>
    <cellStyle name="Normal 2 2" xfId="21"/>
    <cellStyle name="Porcentaje 2" xfId="3"/>
    <cellStyle name="Porcentaje 2 2" xfId="20"/>
    <cellStyle name="Porcentaje 2 3" xfId="17"/>
  </cellStyles>
  <dxfs count="0"/>
  <tableStyles count="0" defaultTableStyle="TableStyleMedium2"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1345"/>
  <sheetViews>
    <sheetView showGridLines="0" tabSelected="1" zoomScale="70" zoomScaleNormal="70" workbookViewId="0">
      <selection activeCell="I13" sqref="I13"/>
    </sheetView>
  </sheetViews>
  <sheetFormatPr baseColWidth="10" defaultColWidth="9.140625" defaultRowHeight="15.75" x14ac:dyDescent="0.25"/>
  <cols>
    <col min="1" max="1" width="21.42578125" style="2" customWidth="1"/>
    <col min="2" max="2" width="18.140625" style="2" customWidth="1"/>
    <col min="3" max="3" width="7.85546875" style="71" customWidth="1"/>
    <col min="4" max="4" width="52" style="2" customWidth="1"/>
    <col min="5" max="5" width="12.85546875" style="2" customWidth="1"/>
    <col min="6" max="6" width="13.7109375" style="2" customWidth="1"/>
    <col min="7" max="7" width="23" style="2" customWidth="1"/>
    <col min="8" max="8" width="11.7109375" style="71" customWidth="1"/>
    <col min="9" max="9" width="66.140625" style="2" customWidth="1"/>
    <col min="10" max="10" width="17.140625" style="2" customWidth="1"/>
    <col min="11" max="12" width="13.140625" style="2" customWidth="1"/>
    <col min="13" max="13" width="16.7109375" style="2" customWidth="1"/>
    <col min="14" max="14" width="27.85546875" style="56" customWidth="1"/>
    <col min="15" max="15" width="53.28515625" style="2" customWidth="1"/>
    <col min="16" max="16" width="15.85546875" style="71" customWidth="1"/>
    <col min="17" max="17" width="37.28515625" style="137" customWidth="1"/>
    <col min="18" max="18" width="35.140625" style="551" customWidth="1"/>
    <col min="19" max="19" width="33.85546875" style="137" customWidth="1"/>
    <col min="20" max="20" width="34.28515625" style="137" customWidth="1"/>
    <col min="21" max="21" width="32" style="137" customWidth="1"/>
    <col min="22" max="22" width="32.7109375" style="137" customWidth="1"/>
    <col min="23" max="23" width="35.7109375" style="137" customWidth="1"/>
    <col min="24" max="24" width="40.28515625" style="137" customWidth="1"/>
    <col min="25" max="25" width="43.42578125" style="137" customWidth="1"/>
    <col min="26" max="26" width="37" style="137" customWidth="1"/>
    <col min="27" max="27" width="38.85546875" style="529" customWidth="1"/>
    <col min="28" max="28" width="43.85546875" style="529" customWidth="1"/>
    <col min="29" max="29" width="40.5703125" style="137" customWidth="1"/>
    <col min="30" max="30" width="37.85546875" style="137" customWidth="1"/>
    <col min="31" max="31" width="34.140625" style="552" customWidth="1"/>
    <col min="32" max="32" width="38.7109375" style="137" customWidth="1"/>
    <col min="33" max="33" width="26.85546875" style="137" customWidth="1"/>
    <col min="34" max="34" width="41.140625" style="551" customWidth="1"/>
    <col min="35" max="35" width="42.42578125" style="534" customWidth="1"/>
    <col min="36" max="16384" width="9.140625" style="2"/>
  </cols>
  <sheetData>
    <row r="1" spans="1:35" ht="19.5" customHeight="1" x14ac:dyDescent="0.25">
      <c r="A1" s="1219" t="s">
        <v>1075</v>
      </c>
      <c r="B1" s="1220"/>
      <c r="C1" s="1220"/>
      <c r="D1" s="1220"/>
      <c r="E1" s="1220"/>
      <c r="F1" s="1220"/>
      <c r="G1" s="1220"/>
      <c r="H1" s="1220"/>
      <c r="I1" s="1220"/>
      <c r="J1" s="1220"/>
      <c r="K1" s="1220"/>
      <c r="L1" s="1220"/>
      <c r="M1" s="1220"/>
      <c r="N1" s="1220"/>
      <c r="O1" s="1220"/>
      <c r="P1" s="1220"/>
      <c r="Q1" s="1220"/>
      <c r="R1" s="1220"/>
      <c r="S1" s="1220"/>
      <c r="T1" s="1220"/>
      <c r="U1" s="1220"/>
      <c r="V1" s="1220"/>
      <c r="W1" s="1220"/>
      <c r="X1" s="1220"/>
      <c r="Y1" s="1220"/>
      <c r="Z1" s="1220"/>
      <c r="AA1" s="1220"/>
      <c r="AB1" s="1220"/>
      <c r="AC1" s="1220"/>
      <c r="AD1" s="1220"/>
      <c r="AE1" s="1220"/>
      <c r="AF1" s="1220"/>
      <c r="AG1" s="1220"/>
      <c r="AH1" s="1221"/>
      <c r="AI1" s="883" t="s">
        <v>1</v>
      </c>
    </row>
    <row r="2" spans="1:35" ht="19.5" customHeight="1" x14ac:dyDescent="0.25">
      <c r="A2" s="1216" t="s">
        <v>1072</v>
      </c>
      <c r="B2" s="1217"/>
      <c r="C2" s="1217"/>
      <c r="D2" s="1217"/>
      <c r="E2" s="1217"/>
      <c r="F2" s="1217"/>
      <c r="G2" s="1217"/>
      <c r="H2" s="1217"/>
      <c r="I2" s="1217"/>
      <c r="J2" s="1217"/>
      <c r="K2" s="1217"/>
      <c r="L2" s="1217"/>
      <c r="M2" s="1217"/>
      <c r="N2" s="1217"/>
      <c r="O2" s="1217"/>
      <c r="P2" s="1217"/>
      <c r="Q2" s="1217"/>
      <c r="R2" s="1217"/>
      <c r="S2" s="1217"/>
      <c r="T2" s="1217"/>
      <c r="U2" s="1217"/>
      <c r="V2" s="1217"/>
      <c r="W2" s="1217"/>
      <c r="X2" s="1217"/>
      <c r="Y2" s="1217"/>
      <c r="Z2" s="1217"/>
      <c r="AA2" s="1217"/>
      <c r="AB2" s="1217"/>
      <c r="AC2" s="1217"/>
      <c r="AD2" s="1217"/>
      <c r="AE2" s="1217"/>
      <c r="AF2" s="1217"/>
      <c r="AG2" s="1217"/>
      <c r="AH2" s="1218"/>
      <c r="AI2" s="884">
        <v>1</v>
      </c>
    </row>
    <row r="3" spans="1:35" ht="19.5" customHeight="1" x14ac:dyDescent="0.25">
      <c r="A3" s="885"/>
      <c r="B3" s="886"/>
      <c r="C3" s="886"/>
      <c r="D3" s="886"/>
      <c r="E3" s="886"/>
      <c r="F3" s="886"/>
      <c r="G3" s="886"/>
      <c r="H3" s="886"/>
      <c r="I3" s="886"/>
      <c r="J3" s="886"/>
      <c r="K3" s="886"/>
      <c r="L3" s="886"/>
      <c r="M3" s="886"/>
      <c r="N3" s="886"/>
      <c r="O3" s="886"/>
      <c r="P3" s="886"/>
      <c r="Q3" s="886"/>
      <c r="R3" s="886"/>
      <c r="S3" s="886"/>
      <c r="T3" s="886"/>
      <c r="U3" s="886"/>
      <c r="V3" s="886"/>
      <c r="W3" s="886"/>
      <c r="X3" s="886"/>
      <c r="Y3" s="886"/>
      <c r="Z3" s="886"/>
      <c r="AA3" s="886"/>
      <c r="AB3" s="886"/>
      <c r="AC3" s="886"/>
      <c r="AD3" s="886"/>
      <c r="AE3" s="886"/>
      <c r="AF3" s="886"/>
      <c r="AG3" s="886"/>
      <c r="AH3" s="872"/>
      <c r="AI3" s="887" t="s">
        <v>2</v>
      </c>
    </row>
    <row r="4" spans="1:35" ht="19.5" customHeight="1" x14ac:dyDescent="0.25">
      <c r="A4" s="1222"/>
      <c r="B4" s="1223"/>
      <c r="C4" s="1223"/>
      <c r="D4" s="1223"/>
      <c r="E4" s="1223"/>
      <c r="F4" s="1223"/>
      <c r="G4" s="1223"/>
      <c r="H4" s="1223"/>
      <c r="I4" s="1223"/>
      <c r="J4" s="1223"/>
      <c r="K4" s="1223"/>
      <c r="L4" s="1223"/>
      <c r="M4" s="1223"/>
      <c r="N4" s="1223"/>
      <c r="O4" s="1223"/>
      <c r="P4" s="1223"/>
      <c r="Q4" s="1223"/>
      <c r="R4" s="1223"/>
      <c r="S4" s="1223"/>
      <c r="T4" s="1223"/>
      <c r="U4" s="1223"/>
      <c r="V4" s="1223"/>
      <c r="W4" s="1223"/>
      <c r="X4" s="1223"/>
      <c r="Y4" s="1223"/>
      <c r="Z4" s="1223"/>
      <c r="AA4" s="1223"/>
      <c r="AB4" s="1223"/>
      <c r="AC4" s="1223"/>
      <c r="AD4" s="1223"/>
      <c r="AE4" s="1223"/>
      <c r="AF4" s="1223"/>
      <c r="AG4" s="1223"/>
      <c r="AH4" s="1224"/>
      <c r="AI4" s="888" t="s">
        <v>3</v>
      </c>
    </row>
    <row r="5" spans="1:35" s="532" customFormat="1" ht="54" customHeight="1" x14ac:dyDescent="0.25">
      <c r="A5" s="889" t="s">
        <v>4</v>
      </c>
      <c r="B5" s="871" t="s">
        <v>5</v>
      </c>
      <c r="C5" s="1227" t="s">
        <v>6</v>
      </c>
      <c r="D5" s="1227"/>
      <c r="E5" s="871" t="s">
        <v>7</v>
      </c>
      <c r="F5" s="871" t="s">
        <v>8</v>
      </c>
      <c r="G5" s="871" t="s">
        <v>9</v>
      </c>
      <c r="H5" s="1228" t="s">
        <v>10</v>
      </c>
      <c r="I5" s="1228"/>
      <c r="J5" s="815" t="s">
        <v>7</v>
      </c>
      <c r="K5" s="1225" t="s">
        <v>8</v>
      </c>
      <c r="L5" s="1226"/>
      <c r="M5" s="871" t="s">
        <v>11</v>
      </c>
      <c r="N5" s="871" t="s">
        <v>12</v>
      </c>
      <c r="O5" s="871" t="s">
        <v>13</v>
      </c>
      <c r="P5" s="871" t="s">
        <v>14</v>
      </c>
      <c r="Q5" s="813" t="s">
        <v>15</v>
      </c>
      <c r="R5" s="812" t="s">
        <v>16</v>
      </c>
      <c r="S5" s="812" t="s">
        <v>1064</v>
      </c>
      <c r="T5" s="812" t="s">
        <v>1063</v>
      </c>
      <c r="U5" s="812" t="s">
        <v>17</v>
      </c>
      <c r="V5" s="812" t="s">
        <v>18</v>
      </c>
      <c r="W5" s="812" t="s">
        <v>19</v>
      </c>
      <c r="X5" s="812" t="s">
        <v>20</v>
      </c>
      <c r="Y5" s="812" t="s">
        <v>1073</v>
      </c>
      <c r="Z5" s="812" t="s">
        <v>1074</v>
      </c>
      <c r="AA5" s="812" t="s">
        <v>21</v>
      </c>
      <c r="AB5" s="812" t="s">
        <v>22</v>
      </c>
      <c r="AC5" s="812" t="s">
        <v>23</v>
      </c>
      <c r="AD5" s="812" t="s">
        <v>24</v>
      </c>
      <c r="AE5" s="814" t="s">
        <v>25</v>
      </c>
      <c r="AF5" s="812" t="s">
        <v>26</v>
      </c>
      <c r="AG5" s="812" t="s">
        <v>27</v>
      </c>
      <c r="AH5" s="812" t="s">
        <v>1076</v>
      </c>
      <c r="AI5" s="890" t="s">
        <v>28</v>
      </c>
    </row>
    <row r="6" spans="1:35" s="24" customFormat="1" ht="25.5" customHeight="1" x14ac:dyDescent="0.25">
      <c r="A6" s="891" t="s">
        <v>29</v>
      </c>
      <c r="B6" s="22"/>
      <c r="C6" s="23"/>
      <c r="D6" s="22"/>
      <c r="E6" s="22"/>
      <c r="F6" s="22"/>
      <c r="G6" s="22"/>
      <c r="H6" s="23"/>
      <c r="I6" s="22"/>
      <c r="J6" s="22"/>
      <c r="K6" s="22"/>
      <c r="L6" s="22"/>
      <c r="M6" s="22"/>
      <c r="N6" s="13"/>
      <c r="O6" s="22"/>
      <c r="P6" s="23"/>
      <c r="Q6" s="138"/>
      <c r="R6" s="138"/>
      <c r="S6" s="138"/>
      <c r="T6" s="138"/>
      <c r="U6" s="138"/>
      <c r="V6" s="138"/>
      <c r="W6" s="138"/>
      <c r="X6" s="138"/>
      <c r="Y6" s="138"/>
      <c r="Z6" s="138"/>
      <c r="AA6" s="138"/>
      <c r="AB6" s="138"/>
      <c r="AC6" s="138"/>
      <c r="AD6" s="138"/>
      <c r="AE6" s="138"/>
      <c r="AF6" s="138"/>
      <c r="AG6" s="138"/>
      <c r="AH6" s="138"/>
      <c r="AI6" s="892"/>
    </row>
    <row r="7" spans="1:35" s="24" customFormat="1" ht="20.25" customHeight="1" x14ac:dyDescent="0.25">
      <c r="A7" s="893">
        <v>5</v>
      </c>
      <c r="B7" s="77" t="s">
        <v>30</v>
      </c>
      <c r="C7" s="139"/>
      <c r="D7" s="77"/>
      <c r="E7" s="77"/>
      <c r="F7" s="77"/>
      <c r="G7" s="77"/>
      <c r="H7" s="139"/>
      <c r="I7" s="77"/>
      <c r="J7" s="77"/>
      <c r="K7" s="77"/>
      <c r="L7" s="77"/>
      <c r="M7" s="77"/>
      <c r="N7" s="14"/>
      <c r="O7" s="77"/>
      <c r="P7" s="77"/>
      <c r="Q7" s="77"/>
      <c r="R7" s="77"/>
      <c r="S7" s="77"/>
      <c r="T7" s="77"/>
      <c r="U7" s="77"/>
      <c r="V7" s="77"/>
      <c r="W7" s="77"/>
      <c r="X7" s="77"/>
      <c r="Y7" s="77"/>
      <c r="Z7" s="77"/>
      <c r="AA7" s="77"/>
      <c r="AB7" s="77"/>
      <c r="AC7" s="77"/>
      <c r="AD7" s="77"/>
      <c r="AE7" s="77"/>
      <c r="AF7" s="77"/>
      <c r="AG7" s="77"/>
      <c r="AH7" s="77"/>
      <c r="AI7" s="894"/>
    </row>
    <row r="8" spans="1:35" s="24" customFormat="1" ht="21.75" customHeight="1" x14ac:dyDescent="0.25">
      <c r="A8" s="895"/>
      <c r="B8" s="836">
        <v>28</v>
      </c>
      <c r="C8" s="837" t="s">
        <v>31</v>
      </c>
      <c r="D8" s="87"/>
      <c r="E8" s="87"/>
      <c r="F8" s="87"/>
      <c r="G8" s="87"/>
      <c r="H8" s="838"/>
      <c r="I8" s="87"/>
      <c r="J8" s="87"/>
      <c r="K8" s="87"/>
      <c r="L8" s="87"/>
      <c r="M8" s="87"/>
      <c r="N8" s="15"/>
      <c r="O8" s="87"/>
      <c r="P8" s="87"/>
      <c r="Q8" s="87"/>
      <c r="R8" s="87"/>
      <c r="S8" s="87"/>
      <c r="T8" s="87"/>
      <c r="U8" s="87"/>
      <c r="V8" s="87"/>
      <c r="W8" s="87"/>
      <c r="X8" s="87"/>
      <c r="Y8" s="87"/>
      <c r="Z8" s="87"/>
      <c r="AA8" s="87"/>
      <c r="AB8" s="87"/>
      <c r="AC8" s="87"/>
      <c r="AD8" s="87"/>
      <c r="AE8" s="87"/>
      <c r="AF8" s="87"/>
      <c r="AG8" s="87"/>
      <c r="AH8" s="87"/>
      <c r="AI8" s="896"/>
    </row>
    <row r="9" spans="1:35" s="24" customFormat="1" ht="22.5" customHeight="1" x14ac:dyDescent="0.25">
      <c r="A9" s="897"/>
      <c r="B9" s="141"/>
      <c r="C9" s="142"/>
      <c r="D9" s="143"/>
      <c r="E9" s="143"/>
      <c r="F9" s="143"/>
      <c r="G9" s="881">
        <v>89</v>
      </c>
      <c r="H9" s="882" t="s">
        <v>32</v>
      </c>
      <c r="I9" s="882"/>
      <c r="J9" s="84"/>
      <c r="K9" s="84"/>
      <c r="L9" s="84"/>
      <c r="M9" s="84"/>
      <c r="N9" s="592"/>
      <c r="O9" s="84"/>
      <c r="P9" s="84"/>
      <c r="Q9" s="84"/>
      <c r="R9" s="84"/>
      <c r="S9" s="84"/>
      <c r="T9" s="84"/>
      <c r="U9" s="84"/>
      <c r="V9" s="84"/>
      <c r="W9" s="84"/>
      <c r="X9" s="84"/>
      <c r="Y9" s="84"/>
      <c r="Z9" s="84"/>
      <c r="AA9" s="84"/>
      <c r="AB9" s="84"/>
      <c r="AC9" s="84"/>
      <c r="AD9" s="84"/>
      <c r="AE9" s="84"/>
      <c r="AF9" s="84"/>
      <c r="AG9" s="84"/>
      <c r="AH9" s="84"/>
      <c r="AI9" s="898"/>
    </row>
    <row r="10" spans="1:35" s="539" customFormat="1" ht="102" customHeight="1" x14ac:dyDescent="0.25">
      <c r="A10" s="899"/>
      <c r="B10" s="541"/>
      <c r="C10" s="827" t="s">
        <v>33</v>
      </c>
      <c r="D10" s="828" t="s">
        <v>34</v>
      </c>
      <c r="E10" s="829">
        <v>0</v>
      </c>
      <c r="F10" s="829">
        <v>2</v>
      </c>
      <c r="G10" s="569"/>
      <c r="H10" s="820">
        <v>282</v>
      </c>
      <c r="I10" s="828" t="s">
        <v>35</v>
      </c>
      <c r="J10" s="543" t="s">
        <v>36</v>
      </c>
      <c r="K10" s="544">
        <v>2</v>
      </c>
      <c r="L10" s="544">
        <v>2</v>
      </c>
      <c r="M10" s="545" t="s">
        <v>37</v>
      </c>
      <c r="N10" s="582" t="s">
        <v>38</v>
      </c>
      <c r="O10" s="828" t="s">
        <v>39</v>
      </c>
      <c r="P10" s="829" t="s">
        <v>40</v>
      </c>
      <c r="Q10" s="546"/>
      <c r="R10" s="546"/>
      <c r="S10" s="546"/>
      <c r="T10" s="546"/>
      <c r="U10" s="546"/>
      <c r="V10" s="546"/>
      <c r="W10" s="546"/>
      <c r="X10" s="546"/>
      <c r="Y10" s="546"/>
      <c r="Z10" s="546"/>
      <c r="AA10" s="546"/>
      <c r="AB10" s="546"/>
      <c r="AC10" s="546"/>
      <c r="AD10" s="546"/>
      <c r="AE10" s="550">
        <v>79103800</v>
      </c>
      <c r="AF10" s="547"/>
      <c r="AG10" s="547"/>
      <c r="AH10" s="547"/>
      <c r="AI10" s="900">
        <f t="shared" ref="AI10:AI16" si="0">+Q10+R10+S10+T10+U10+V10+W10+X10+Y10+Z10+AA10+AB10+AC10+AD10+AE10+AF10+AG10+AH10</f>
        <v>79103800</v>
      </c>
    </row>
    <row r="11" spans="1:35" s="539" customFormat="1" ht="95.25" customHeight="1" x14ac:dyDescent="0.25">
      <c r="A11" s="899"/>
      <c r="B11" s="541"/>
      <c r="C11" s="827" t="s">
        <v>41</v>
      </c>
      <c r="D11" s="828" t="s">
        <v>42</v>
      </c>
      <c r="E11" s="829"/>
      <c r="F11" s="829"/>
      <c r="G11" s="569"/>
      <c r="H11" s="829">
        <v>283</v>
      </c>
      <c r="I11" s="828" t="s">
        <v>43</v>
      </c>
      <c r="J11" s="543" t="s">
        <v>36</v>
      </c>
      <c r="K11" s="544">
        <v>1</v>
      </c>
      <c r="L11" s="758">
        <v>0.7</v>
      </c>
      <c r="M11" s="545" t="s">
        <v>37</v>
      </c>
      <c r="N11" s="583" t="s">
        <v>44</v>
      </c>
      <c r="O11" s="828" t="s">
        <v>45</v>
      </c>
      <c r="P11" s="829" t="s">
        <v>46</v>
      </c>
      <c r="Q11" s="546"/>
      <c r="R11" s="546"/>
      <c r="S11" s="546"/>
      <c r="T11" s="546"/>
      <c r="U11" s="546"/>
      <c r="V11" s="546"/>
      <c r="W11" s="546"/>
      <c r="X11" s="546"/>
      <c r="Y11" s="546"/>
      <c r="Z11" s="546"/>
      <c r="AA11" s="546"/>
      <c r="AB11" s="546"/>
      <c r="AC11" s="546"/>
      <c r="AD11" s="546"/>
      <c r="AE11" s="550">
        <f>39300000+4707000</f>
        <v>44007000</v>
      </c>
      <c r="AF11" s="547"/>
      <c r="AG11" s="547"/>
      <c r="AH11" s="547"/>
      <c r="AI11" s="900">
        <f t="shared" si="0"/>
        <v>44007000</v>
      </c>
    </row>
    <row r="12" spans="1:35" s="539" customFormat="1" ht="74.25" customHeight="1" x14ac:dyDescent="0.25">
      <c r="A12" s="899"/>
      <c r="B12" s="541"/>
      <c r="C12" s="827">
        <v>38</v>
      </c>
      <c r="D12" s="828" t="s">
        <v>47</v>
      </c>
      <c r="E12" s="829"/>
      <c r="F12" s="829"/>
      <c r="G12" s="569"/>
      <c r="H12" s="829">
        <v>285</v>
      </c>
      <c r="I12" s="828" t="s">
        <v>48</v>
      </c>
      <c r="J12" s="543">
        <v>1</v>
      </c>
      <c r="K12" s="544">
        <v>1</v>
      </c>
      <c r="L12" s="758">
        <v>0.9</v>
      </c>
      <c r="M12" s="545" t="s">
        <v>37</v>
      </c>
      <c r="N12" s="583" t="s">
        <v>49</v>
      </c>
      <c r="O12" s="828" t="s">
        <v>50</v>
      </c>
      <c r="P12" s="829" t="s">
        <v>46</v>
      </c>
      <c r="Q12" s="546"/>
      <c r="R12" s="546"/>
      <c r="S12" s="546"/>
      <c r="T12" s="546"/>
      <c r="U12" s="546"/>
      <c r="V12" s="546"/>
      <c r="W12" s="546"/>
      <c r="X12" s="546"/>
      <c r="Y12" s="546"/>
      <c r="Z12" s="546"/>
      <c r="AA12" s="546"/>
      <c r="AB12" s="546"/>
      <c r="AC12" s="546"/>
      <c r="AD12" s="546"/>
      <c r="AE12" s="550">
        <v>78604667</v>
      </c>
      <c r="AF12" s="547"/>
      <c r="AG12" s="547"/>
      <c r="AH12" s="547"/>
      <c r="AI12" s="900">
        <f t="shared" si="0"/>
        <v>78604667</v>
      </c>
    </row>
    <row r="13" spans="1:35" ht="70.5" customHeight="1" x14ac:dyDescent="0.25">
      <c r="A13" s="897"/>
      <c r="B13" s="144"/>
      <c r="C13" s="846">
        <v>38</v>
      </c>
      <c r="D13" s="565" t="s">
        <v>47</v>
      </c>
      <c r="E13" s="865"/>
      <c r="F13" s="865"/>
      <c r="G13" s="7"/>
      <c r="H13" s="865">
        <v>280</v>
      </c>
      <c r="I13" s="565" t="s">
        <v>51</v>
      </c>
      <c r="J13" s="1">
        <v>0</v>
      </c>
      <c r="K13" s="59">
        <v>1</v>
      </c>
      <c r="L13" s="758">
        <v>0.6</v>
      </c>
      <c r="M13" s="1099" t="s">
        <v>37</v>
      </c>
      <c r="N13" s="1101" t="s">
        <v>52</v>
      </c>
      <c r="O13" s="1099" t="s">
        <v>53</v>
      </c>
      <c r="P13" s="865" t="s">
        <v>46</v>
      </c>
      <c r="Q13" s="9"/>
      <c r="R13" s="9"/>
      <c r="S13" s="9"/>
      <c r="T13" s="9"/>
      <c r="U13" s="9"/>
      <c r="V13" s="9"/>
      <c r="W13" s="9"/>
      <c r="X13" s="9"/>
      <c r="Y13" s="9"/>
      <c r="Z13" s="9"/>
      <c r="AA13" s="9"/>
      <c r="AB13" s="9"/>
      <c r="AC13" s="9"/>
      <c r="AD13" s="9"/>
      <c r="AE13" s="550">
        <f>24850000-5000000-4707000</f>
        <v>15143000</v>
      </c>
      <c r="AF13" s="547"/>
      <c r="AG13" s="61"/>
      <c r="AH13" s="61"/>
      <c r="AI13" s="901">
        <f t="shared" si="0"/>
        <v>15143000</v>
      </c>
    </row>
    <row r="14" spans="1:35" ht="59.25" customHeight="1" x14ac:dyDescent="0.25">
      <c r="A14" s="897"/>
      <c r="B14" s="144"/>
      <c r="C14" s="846"/>
      <c r="D14" s="565"/>
      <c r="E14" s="865"/>
      <c r="F14" s="865"/>
      <c r="G14" s="72"/>
      <c r="H14" s="865">
        <v>281</v>
      </c>
      <c r="I14" s="565" t="s">
        <v>54</v>
      </c>
      <c r="J14" s="1">
        <v>0</v>
      </c>
      <c r="K14" s="59">
        <v>1</v>
      </c>
      <c r="L14" s="544">
        <v>0</v>
      </c>
      <c r="M14" s="1100"/>
      <c r="N14" s="1102"/>
      <c r="O14" s="1100"/>
      <c r="P14" s="865" t="s">
        <v>46</v>
      </c>
      <c r="Q14" s="9"/>
      <c r="R14" s="9"/>
      <c r="S14" s="9"/>
      <c r="T14" s="9"/>
      <c r="U14" s="9"/>
      <c r="V14" s="9"/>
      <c r="W14" s="9"/>
      <c r="X14" s="9"/>
      <c r="Y14" s="9"/>
      <c r="Z14" s="9"/>
      <c r="AA14" s="9"/>
      <c r="AB14" s="9"/>
      <c r="AC14" s="9"/>
      <c r="AD14" s="9"/>
      <c r="AE14" s="550">
        <v>83500000</v>
      </c>
      <c r="AF14" s="547"/>
      <c r="AG14" s="61"/>
      <c r="AH14" s="61"/>
      <c r="AI14" s="901">
        <f t="shared" si="0"/>
        <v>83500000</v>
      </c>
    </row>
    <row r="15" spans="1:35" ht="59.25" customHeight="1" x14ac:dyDescent="0.25">
      <c r="A15" s="897"/>
      <c r="B15" s="144"/>
      <c r="C15" s="846"/>
      <c r="D15" s="565"/>
      <c r="E15" s="865"/>
      <c r="F15" s="865"/>
      <c r="G15" s="72"/>
      <c r="H15" s="865">
        <v>287</v>
      </c>
      <c r="I15" s="565" t="s">
        <v>55</v>
      </c>
      <c r="J15" s="1">
        <v>1</v>
      </c>
      <c r="K15" s="59">
        <v>1</v>
      </c>
      <c r="L15" s="758">
        <v>0.7</v>
      </c>
      <c r="M15" s="1100"/>
      <c r="N15" s="1102"/>
      <c r="O15" s="1100"/>
      <c r="P15" s="865" t="s">
        <v>46</v>
      </c>
      <c r="Q15" s="9"/>
      <c r="R15" s="9"/>
      <c r="S15" s="9"/>
      <c r="T15" s="9"/>
      <c r="U15" s="9"/>
      <c r="V15" s="9"/>
      <c r="W15" s="9"/>
      <c r="X15" s="9"/>
      <c r="Y15" s="9"/>
      <c r="Z15" s="9"/>
      <c r="AA15" s="9"/>
      <c r="AB15" s="9"/>
      <c r="AC15" s="9"/>
      <c r="AD15" s="9"/>
      <c r="AE15" s="60">
        <f>108500000+5000000</f>
        <v>113500000</v>
      </c>
      <c r="AF15" s="61"/>
      <c r="AG15" s="61"/>
      <c r="AH15" s="61"/>
      <c r="AI15" s="901">
        <f t="shared" si="0"/>
        <v>113500000</v>
      </c>
    </row>
    <row r="16" spans="1:35" s="74" customFormat="1" ht="51" customHeight="1" x14ac:dyDescent="0.25">
      <c r="A16" s="902"/>
      <c r="B16" s="626"/>
      <c r="C16" s="442"/>
      <c r="D16" s="519"/>
      <c r="E16" s="454"/>
      <c r="F16" s="454"/>
      <c r="G16" s="627"/>
      <c r="H16" s="454">
        <v>289</v>
      </c>
      <c r="I16" s="519" t="s">
        <v>56</v>
      </c>
      <c r="J16" s="628" t="s">
        <v>36</v>
      </c>
      <c r="K16" s="59">
        <v>1</v>
      </c>
      <c r="L16" s="758">
        <v>1</v>
      </c>
      <c r="M16" s="1100"/>
      <c r="N16" s="1102"/>
      <c r="O16" s="1100"/>
      <c r="P16" s="454" t="s">
        <v>40</v>
      </c>
      <c r="Q16" s="248"/>
      <c r="R16" s="248"/>
      <c r="S16" s="248"/>
      <c r="T16" s="248"/>
      <c r="U16" s="248"/>
      <c r="V16" s="248"/>
      <c r="W16" s="248"/>
      <c r="X16" s="248"/>
      <c r="Y16" s="248"/>
      <c r="Z16" s="248"/>
      <c r="AA16" s="248"/>
      <c r="AB16" s="248"/>
      <c r="AC16" s="248"/>
      <c r="AD16" s="248"/>
      <c r="AE16" s="625"/>
      <c r="AF16" s="246"/>
      <c r="AG16" s="246">
        <v>5000000000</v>
      </c>
      <c r="AH16" s="246"/>
      <c r="AI16" s="903">
        <f t="shared" si="0"/>
        <v>5000000000</v>
      </c>
    </row>
    <row r="17" spans="1:35" ht="24.95" customHeight="1" x14ac:dyDescent="0.25">
      <c r="A17" s="897"/>
      <c r="B17" s="146"/>
      <c r="C17" s="846"/>
      <c r="D17" s="565"/>
      <c r="E17" s="865"/>
      <c r="F17" s="865"/>
      <c r="G17" s="147"/>
      <c r="H17" s="148"/>
      <c r="I17" s="147"/>
      <c r="J17" s="149"/>
      <c r="K17" s="149"/>
      <c r="L17" s="149"/>
      <c r="M17" s="149"/>
      <c r="N17" s="584"/>
      <c r="O17" s="147"/>
      <c r="P17" s="148"/>
      <c r="Q17" s="150"/>
      <c r="R17" s="150"/>
      <c r="S17" s="150"/>
      <c r="T17" s="150"/>
      <c r="U17" s="150"/>
      <c r="V17" s="150"/>
      <c r="W17" s="150"/>
      <c r="X17" s="150"/>
      <c r="Y17" s="150">
        <f>SUM(Y10:Y16)</f>
        <v>0</v>
      </c>
      <c r="Z17" s="150"/>
      <c r="AA17" s="150"/>
      <c r="AB17" s="150">
        <f>SUM(AB10:AB16)</f>
        <v>0</v>
      </c>
      <c r="AC17" s="150"/>
      <c r="AD17" s="150"/>
      <c r="AE17" s="150">
        <f>SUM(AE10:AE16)</f>
        <v>413858467</v>
      </c>
      <c r="AF17" s="150">
        <f>SUM(AF10:AF16)</f>
        <v>0</v>
      </c>
      <c r="AG17" s="150">
        <f>SUM(AG10:AG16)</f>
        <v>5000000000</v>
      </c>
      <c r="AH17" s="150">
        <f>SUM(AH10:AH16)</f>
        <v>0</v>
      </c>
      <c r="AI17" s="904">
        <f>SUM(AI10:AI16)</f>
        <v>5413858467</v>
      </c>
    </row>
    <row r="18" spans="1:35" ht="24.95" customHeight="1" x14ac:dyDescent="0.25">
      <c r="A18" s="905"/>
      <c r="B18" s="151"/>
      <c r="C18" s="152"/>
      <c r="D18" s="151"/>
      <c r="E18" s="152"/>
      <c r="F18" s="152"/>
      <c r="G18" s="151"/>
      <c r="H18" s="152"/>
      <c r="I18" s="151"/>
      <c r="J18" s="153"/>
      <c r="K18" s="153"/>
      <c r="L18" s="153"/>
      <c r="M18" s="153"/>
      <c r="N18" s="585"/>
      <c r="O18" s="151"/>
      <c r="P18" s="152"/>
      <c r="Q18" s="154"/>
      <c r="R18" s="154"/>
      <c r="S18" s="154"/>
      <c r="T18" s="154"/>
      <c r="U18" s="154"/>
      <c r="V18" s="154"/>
      <c r="W18" s="154"/>
      <c r="X18" s="154"/>
      <c r="Y18" s="154">
        <f>Y17</f>
        <v>0</v>
      </c>
      <c r="Z18" s="154"/>
      <c r="AA18" s="154"/>
      <c r="AB18" s="154">
        <f>AB17</f>
        <v>0</v>
      </c>
      <c r="AC18" s="154"/>
      <c r="AD18" s="154"/>
      <c r="AE18" s="154">
        <f>AE17</f>
        <v>413858467</v>
      </c>
      <c r="AF18" s="154">
        <f>AF17</f>
        <v>0</v>
      </c>
      <c r="AG18" s="154">
        <f>AG17</f>
        <v>5000000000</v>
      </c>
      <c r="AH18" s="154">
        <f>AH17</f>
        <v>0</v>
      </c>
      <c r="AI18" s="906">
        <f>AI17</f>
        <v>5413858467</v>
      </c>
    </row>
    <row r="19" spans="1:35" ht="24.95" customHeight="1" x14ac:dyDescent="0.25">
      <c r="A19" s="907"/>
      <c r="B19" s="155"/>
      <c r="C19" s="67"/>
      <c r="D19" s="155"/>
      <c r="E19" s="67"/>
      <c r="F19" s="67"/>
      <c r="G19" s="155"/>
      <c r="H19" s="67"/>
      <c r="I19" s="155"/>
      <c r="J19" s="156"/>
      <c r="K19" s="156"/>
      <c r="L19" s="156"/>
      <c r="M19" s="156"/>
      <c r="N19" s="586"/>
      <c r="O19" s="155"/>
      <c r="P19" s="67"/>
      <c r="Q19" s="157"/>
      <c r="R19" s="157"/>
      <c r="S19" s="157"/>
      <c r="T19" s="157"/>
      <c r="U19" s="157"/>
      <c r="V19" s="157"/>
      <c r="W19" s="157"/>
      <c r="X19" s="157"/>
      <c r="Y19" s="157">
        <f>+Y18</f>
        <v>0</v>
      </c>
      <c r="Z19" s="157"/>
      <c r="AA19" s="157"/>
      <c r="AB19" s="157">
        <f>+AB18</f>
        <v>0</v>
      </c>
      <c r="AC19" s="157"/>
      <c r="AD19" s="157"/>
      <c r="AE19" s="157">
        <f>+AE18</f>
        <v>413858467</v>
      </c>
      <c r="AF19" s="157">
        <f>+AF18</f>
        <v>0</v>
      </c>
      <c r="AG19" s="157">
        <f>+AG18</f>
        <v>5000000000</v>
      </c>
      <c r="AH19" s="157">
        <f>+AH18</f>
        <v>0</v>
      </c>
      <c r="AI19" s="908">
        <f>+AI18</f>
        <v>5413858467</v>
      </c>
    </row>
    <row r="20" spans="1:35" ht="24.95" customHeight="1" x14ac:dyDescent="0.25">
      <c r="A20" s="909"/>
      <c r="B20" s="158"/>
      <c r="C20" s="159"/>
      <c r="D20" s="158"/>
      <c r="E20" s="159"/>
      <c r="F20" s="159"/>
      <c r="G20" s="158"/>
      <c r="H20" s="159"/>
      <c r="I20" s="158"/>
      <c r="J20" s="160"/>
      <c r="K20" s="160"/>
      <c r="L20" s="160"/>
      <c r="M20" s="160"/>
      <c r="N20" s="587"/>
      <c r="O20" s="158"/>
      <c r="P20" s="159"/>
      <c r="Q20" s="11"/>
      <c r="R20" s="11"/>
      <c r="S20" s="11"/>
      <c r="T20" s="11"/>
      <c r="U20" s="11"/>
      <c r="V20" s="11"/>
      <c r="W20" s="11"/>
      <c r="X20" s="11"/>
      <c r="Y20" s="11">
        <f>Y19</f>
        <v>0</v>
      </c>
      <c r="Z20" s="11"/>
      <c r="AA20" s="11"/>
      <c r="AB20" s="11">
        <f>AB19</f>
        <v>0</v>
      </c>
      <c r="AC20" s="11"/>
      <c r="AD20" s="11"/>
      <c r="AE20" s="11">
        <f>AE19</f>
        <v>413858467</v>
      </c>
      <c r="AF20" s="11">
        <f t="shared" ref="AF20:AH20" si="1">AF19</f>
        <v>0</v>
      </c>
      <c r="AG20" s="11">
        <f t="shared" si="1"/>
        <v>5000000000</v>
      </c>
      <c r="AH20" s="11">
        <f t="shared" si="1"/>
        <v>0</v>
      </c>
      <c r="AI20" s="910">
        <f>AI19</f>
        <v>5413858467</v>
      </c>
    </row>
    <row r="21" spans="1:35" ht="26.25" customHeight="1" x14ac:dyDescent="0.25">
      <c r="A21" s="911"/>
      <c r="B21" s="161"/>
      <c r="C21" s="845"/>
      <c r="D21" s="161"/>
      <c r="E21" s="845"/>
      <c r="F21" s="845"/>
      <c r="G21" s="161"/>
      <c r="H21" s="845"/>
      <c r="I21" s="161"/>
      <c r="J21" s="162"/>
      <c r="K21" s="162"/>
      <c r="L21" s="162"/>
      <c r="M21" s="162"/>
      <c r="N21" s="21"/>
      <c r="O21" s="161"/>
      <c r="P21" s="845"/>
      <c r="Q21" s="12"/>
      <c r="R21" s="163"/>
      <c r="S21" s="12"/>
      <c r="T21" s="12"/>
      <c r="U21" s="12"/>
      <c r="V21" s="12"/>
      <c r="W21" s="12"/>
      <c r="X21" s="12"/>
      <c r="Y21" s="12"/>
      <c r="Z21" s="12"/>
      <c r="AA21" s="163"/>
      <c r="AB21" s="163"/>
      <c r="AC21" s="12"/>
      <c r="AD21" s="12"/>
      <c r="AE21" s="64"/>
      <c r="AF21" s="12"/>
      <c r="AG21" s="12"/>
      <c r="AH21" s="163"/>
      <c r="AI21" s="912"/>
    </row>
    <row r="22" spans="1:35" s="24" customFormat="1" ht="24.95" customHeight="1" x14ac:dyDescent="0.25">
      <c r="A22" s="891" t="s">
        <v>57</v>
      </c>
      <c r="B22" s="22"/>
      <c r="C22" s="23"/>
      <c r="D22" s="22"/>
      <c r="E22" s="22"/>
      <c r="F22" s="22"/>
      <c r="G22" s="22"/>
      <c r="H22" s="23"/>
      <c r="I22" s="22"/>
      <c r="J22" s="22"/>
      <c r="K22" s="22"/>
      <c r="L22" s="22"/>
      <c r="M22" s="22"/>
      <c r="N22" s="13"/>
      <c r="O22" s="22"/>
      <c r="P22" s="23"/>
      <c r="Q22" s="164"/>
      <c r="R22" s="164"/>
      <c r="S22" s="164"/>
      <c r="T22" s="164"/>
      <c r="U22" s="164"/>
      <c r="V22" s="164"/>
      <c r="W22" s="164"/>
      <c r="X22" s="164"/>
      <c r="Y22" s="164"/>
      <c r="Z22" s="164"/>
      <c r="AA22" s="164"/>
      <c r="AB22" s="164"/>
      <c r="AC22" s="164"/>
      <c r="AD22" s="164"/>
      <c r="AE22" s="165"/>
      <c r="AF22" s="164"/>
      <c r="AG22" s="164"/>
      <c r="AH22" s="164"/>
      <c r="AI22" s="913" t="s">
        <v>0</v>
      </c>
    </row>
    <row r="23" spans="1:35" ht="24.95" customHeight="1" x14ac:dyDescent="0.25">
      <c r="A23" s="893">
        <v>5</v>
      </c>
      <c r="B23" s="77" t="s">
        <v>30</v>
      </c>
      <c r="C23" s="139"/>
      <c r="D23" s="77"/>
      <c r="E23" s="77"/>
      <c r="F23" s="77"/>
      <c r="G23" s="77"/>
      <c r="H23" s="139"/>
      <c r="I23" s="77"/>
      <c r="J23" s="77"/>
      <c r="K23" s="77"/>
      <c r="L23" s="77"/>
      <c r="M23" s="77"/>
      <c r="N23" s="14"/>
      <c r="O23" s="77"/>
      <c r="P23" s="77"/>
      <c r="Q23" s="166"/>
      <c r="R23" s="166"/>
      <c r="S23" s="166"/>
      <c r="T23" s="166"/>
      <c r="U23" s="166"/>
      <c r="V23" s="166"/>
      <c r="W23" s="166"/>
      <c r="X23" s="166"/>
      <c r="Y23" s="166"/>
      <c r="Z23" s="166"/>
      <c r="AA23" s="166"/>
      <c r="AB23" s="166"/>
      <c r="AC23" s="166"/>
      <c r="AD23" s="166"/>
      <c r="AE23" s="167"/>
      <c r="AF23" s="166"/>
      <c r="AG23" s="166"/>
      <c r="AH23" s="166"/>
      <c r="AI23" s="914"/>
    </row>
    <row r="24" spans="1:35" ht="24.95" customHeight="1" x14ac:dyDescent="0.25">
      <c r="A24" s="915"/>
      <c r="B24" s="837">
        <v>26</v>
      </c>
      <c r="C24" s="837" t="s">
        <v>58</v>
      </c>
      <c r="D24" s="87"/>
      <c r="E24" s="87"/>
      <c r="F24" s="87"/>
      <c r="G24" s="87"/>
      <c r="H24" s="838"/>
      <c r="I24" s="87"/>
      <c r="J24" s="87"/>
      <c r="K24" s="87"/>
      <c r="L24" s="87"/>
      <c r="M24" s="87"/>
      <c r="N24" s="15"/>
      <c r="O24" s="87"/>
      <c r="P24" s="87"/>
      <c r="Q24" s="169"/>
      <c r="R24" s="169"/>
      <c r="S24" s="169"/>
      <c r="T24" s="169"/>
      <c r="U24" s="169"/>
      <c r="V24" s="169"/>
      <c r="W24" s="169"/>
      <c r="X24" s="169"/>
      <c r="Y24" s="169"/>
      <c r="Z24" s="169"/>
      <c r="AA24" s="169"/>
      <c r="AB24" s="169"/>
      <c r="AC24" s="169"/>
      <c r="AD24" s="169"/>
      <c r="AE24" s="170"/>
      <c r="AF24" s="169"/>
      <c r="AG24" s="169"/>
      <c r="AH24" s="169"/>
      <c r="AI24" s="916"/>
    </row>
    <row r="25" spans="1:35" ht="24.95" customHeight="1" x14ac:dyDescent="0.25">
      <c r="A25" s="917"/>
      <c r="B25" s="172"/>
      <c r="C25" s="869"/>
      <c r="D25" s="173"/>
      <c r="E25" s="173"/>
      <c r="F25" s="174"/>
      <c r="G25" s="175">
        <v>83</v>
      </c>
      <c r="H25" s="78" t="s">
        <v>59</v>
      </c>
      <c r="I25" s="81"/>
      <c r="J25" s="81"/>
      <c r="K25" s="81"/>
      <c r="L25" s="81"/>
      <c r="M25" s="81"/>
      <c r="N25" s="588"/>
      <c r="O25" s="81"/>
      <c r="P25" s="81"/>
      <c r="Q25" s="176"/>
      <c r="R25" s="176"/>
      <c r="S25" s="176"/>
      <c r="T25" s="176"/>
      <c r="U25" s="176"/>
      <c r="V25" s="176"/>
      <c r="W25" s="176"/>
      <c r="X25" s="176"/>
      <c r="Y25" s="176"/>
      <c r="Z25" s="176"/>
      <c r="AA25" s="176"/>
      <c r="AB25" s="176"/>
      <c r="AC25" s="176"/>
      <c r="AD25" s="176"/>
      <c r="AE25" s="177"/>
      <c r="AF25" s="176"/>
      <c r="AG25" s="176"/>
      <c r="AH25" s="176"/>
      <c r="AI25" s="918"/>
    </row>
    <row r="26" spans="1:35" s="539" customFormat="1" ht="122.25" customHeight="1" x14ac:dyDescent="0.25">
      <c r="A26" s="919"/>
      <c r="B26" s="541"/>
      <c r="C26" s="829">
        <v>37</v>
      </c>
      <c r="D26" s="616" t="s">
        <v>60</v>
      </c>
      <c r="E26" s="617" t="s">
        <v>61</v>
      </c>
      <c r="F26" s="618">
        <v>0.6</v>
      </c>
      <c r="G26" s="828"/>
      <c r="H26" s="829">
        <v>246</v>
      </c>
      <c r="I26" s="828" t="s">
        <v>62</v>
      </c>
      <c r="J26" s="543" t="s">
        <v>36</v>
      </c>
      <c r="K26" s="544">
        <v>13</v>
      </c>
      <c r="L26" s="544">
        <v>13</v>
      </c>
      <c r="M26" s="545" t="s">
        <v>37</v>
      </c>
      <c r="N26" s="619" t="s">
        <v>63</v>
      </c>
      <c r="O26" s="828" t="s">
        <v>64</v>
      </c>
      <c r="P26" s="829" t="s">
        <v>46</v>
      </c>
      <c r="Q26" s="546"/>
      <c r="R26" s="546"/>
      <c r="S26" s="546"/>
      <c r="T26" s="546"/>
      <c r="U26" s="546"/>
      <c r="V26" s="546"/>
      <c r="W26" s="546"/>
      <c r="X26" s="546"/>
      <c r="Y26" s="546"/>
      <c r="Z26" s="546"/>
      <c r="AA26" s="546"/>
      <c r="AB26" s="546"/>
      <c r="AC26" s="546"/>
      <c r="AD26" s="547"/>
      <c r="AE26" s="550">
        <v>17500000</v>
      </c>
      <c r="AF26" s="547"/>
      <c r="AG26" s="547"/>
      <c r="AH26" s="547"/>
      <c r="AI26" s="900">
        <f>+Q26+R26+S26+T26+U26+V26+W26+X26+Y26+Z26+AA26+AB26+AC26+AD26+AE26+AF26+AG26+AH26</f>
        <v>17500000</v>
      </c>
    </row>
    <row r="27" spans="1:35" ht="15" x14ac:dyDescent="0.25">
      <c r="A27" s="917"/>
      <c r="B27" s="144"/>
      <c r="C27" s="865"/>
      <c r="D27" s="565"/>
      <c r="E27" s="865"/>
      <c r="F27" s="865"/>
      <c r="G27" s="181"/>
      <c r="H27" s="182"/>
      <c r="I27" s="183"/>
      <c r="J27" s="184"/>
      <c r="K27" s="185"/>
      <c r="L27" s="185"/>
      <c r="M27" s="186"/>
      <c r="N27" s="589"/>
      <c r="O27" s="183"/>
      <c r="P27" s="182"/>
      <c r="Q27" s="187"/>
      <c r="R27" s="187"/>
      <c r="S27" s="187"/>
      <c r="T27" s="187"/>
      <c r="U27" s="187"/>
      <c r="V27" s="187"/>
      <c r="W27" s="187"/>
      <c r="X27" s="187"/>
      <c r="Y27" s="187">
        <f>SUM(Y26)</f>
        <v>0</v>
      </c>
      <c r="Z27" s="187"/>
      <c r="AA27" s="187"/>
      <c r="AB27" s="187">
        <f>SUM(AB26)</f>
        <v>0</v>
      </c>
      <c r="AC27" s="187"/>
      <c r="AD27" s="187"/>
      <c r="AE27" s="187">
        <f>SUM(AE26)</f>
        <v>17500000</v>
      </c>
      <c r="AF27" s="187"/>
      <c r="AG27" s="187"/>
      <c r="AH27" s="187"/>
      <c r="AI27" s="920">
        <f>SUM(AI26)</f>
        <v>17500000</v>
      </c>
    </row>
    <row r="28" spans="1:35" ht="15" x14ac:dyDescent="0.25">
      <c r="A28" s="917"/>
      <c r="B28" s="144"/>
      <c r="C28" s="865"/>
      <c r="D28" s="161"/>
      <c r="E28" s="845"/>
      <c r="F28" s="845"/>
      <c r="G28" s="161"/>
      <c r="H28" s="845"/>
      <c r="I28" s="161"/>
      <c r="J28" s="162"/>
      <c r="K28" s="188"/>
      <c r="L28" s="188"/>
      <c r="M28" s="162"/>
      <c r="N28" s="21"/>
      <c r="O28" s="161"/>
      <c r="P28" s="845"/>
      <c r="Q28" s="12"/>
      <c r="R28" s="163"/>
      <c r="S28" s="12"/>
      <c r="T28" s="12"/>
      <c r="U28" s="12"/>
      <c r="V28" s="12"/>
      <c r="W28" s="12"/>
      <c r="X28" s="12"/>
      <c r="Y28" s="12"/>
      <c r="Z28" s="12"/>
      <c r="AA28" s="163"/>
      <c r="AB28" s="163"/>
      <c r="AC28" s="12"/>
      <c r="AD28" s="12"/>
      <c r="AE28" s="189"/>
      <c r="AF28" s="12"/>
      <c r="AG28" s="12"/>
      <c r="AH28" s="163"/>
      <c r="AI28" s="921"/>
    </row>
    <row r="29" spans="1:35" x14ac:dyDescent="0.25">
      <c r="A29" s="917"/>
      <c r="B29" s="144"/>
      <c r="C29" s="865"/>
      <c r="D29" s="161"/>
      <c r="E29" s="845"/>
      <c r="F29" s="845"/>
      <c r="G29" s="191">
        <v>84</v>
      </c>
      <c r="H29" s="79" t="s">
        <v>65</v>
      </c>
      <c r="I29" s="192"/>
      <c r="J29" s="192"/>
      <c r="K29" s="193"/>
      <c r="L29" s="193"/>
      <c r="M29" s="192"/>
      <c r="N29" s="590"/>
      <c r="O29" s="192"/>
      <c r="P29" s="192"/>
      <c r="Q29" s="194"/>
      <c r="R29" s="194"/>
      <c r="S29" s="194"/>
      <c r="T29" s="194"/>
      <c r="U29" s="194"/>
      <c r="V29" s="194"/>
      <c r="W29" s="194"/>
      <c r="X29" s="194"/>
      <c r="Y29" s="194"/>
      <c r="Z29" s="194"/>
      <c r="AA29" s="194"/>
      <c r="AB29" s="194"/>
      <c r="AC29" s="194"/>
      <c r="AD29" s="194"/>
      <c r="AE29" s="195"/>
      <c r="AF29" s="194"/>
      <c r="AG29" s="194"/>
      <c r="AH29" s="194"/>
      <c r="AI29" s="922"/>
    </row>
    <row r="30" spans="1:35" s="539" customFormat="1" ht="114" customHeight="1" x14ac:dyDescent="0.25">
      <c r="A30" s="919"/>
      <c r="B30" s="541"/>
      <c r="C30" s="827">
        <v>37</v>
      </c>
      <c r="D30" s="828" t="s">
        <v>60</v>
      </c>
      <c r="E30" s="617" t="s">
        <v>61</v>
      </c>
      <c r="F30" s="618">
        <v>0.6</v>
      </c>
      <c r="G30" s="828"/>
      <c r="H30" s="829">
        <v>248</v>
      </c>
      <c r="I30" s="828" t="s">
        <v>66</v>
      </c>
      <c r="J30" s="543" t="s">
        <v>36</v>
      </c>
      <c r="K30" s="544">
        <v>12</v>
      </c>
      <c r="L30" s="544">
        <v>12</v>
      </c>
      <c r="M30" s="545" t="s">
        <v>37</v>
      </c>
      <c r="N30" s="619" t="s">
        <v>67</v>
      </c>
      <c r="O30" s="828" t="s">
        <v>68</v>
      </c>
      <c r="P30" s="829" t="s">
        <v>46</v>
      </c>
      <c r="Q30" s="546"/>
      <c r="R30" s="546"/>
      <c r="S30" s="546"/>
      <c r="T30" s="546"/>
      <c r="U30" s="546"/>
      <c r="V30" s="546"/>
      <c r="W30" s="546"/>
      <c r="X30" s="546"/>
      <c r="Y30" s="546"/>
      <c r="Z30" s="546"/>
      <c r="AA30" s="546"/>
      <c r="AB30" s="546"/>
      <c r="AC30" s="546"/>
      <c r="AD30" s="546"/>
      <c r="AE30" s="550">
        <f>28500000+30000000</f>
        <v>58500000</v>
      </c>
      <c r="AF30" s="547"/>
      <c r="AG30" s="547"/>
      <c r="AH30" s="547"/>
      <c r="AI30" s="900">
        <f>+Q30+R30+S30+T30+U30+V30+W30+X30+Y30+Z30+AA30+AB30+AC30+AD30+AE30+AF30+AG30+AH30</f>
        <v>58500000</v>
      </c>
    </row>
    <row r="31" spans="1:35" s="24" customFormat="1" ht="20.25" x14ac:dyDescent="0.25">
      <c r="A31" s="917"/>
      <c r="B31" s="146"/>
      <c r="C31" s="846"/>
      <c r="D31" s="565"/>
      <c r="E31" s="865"/>
      <c r="F31" s="865"/>
      <c r="G31" s="147"/>
      <c r="H31" s="148"/>
      <c r="I31" s="147"/>
      <c r="J31" s="149"/>
      <c r="K31" s="196"/>
      <c r="L31" s="196"/>
      <c r="M31" s="149"/>
      <c r="N31" s="584"/>
      <c r="O31" s="147"/>
      <c r="P31" s="148"/>
      <c r="Q31" s="150"/>
      <c r="R31" s="150"/>
      <c r="S31" s="150"/>
      <c r="T31" s="150"/>
      <c r="U31" s="150"/>
      <c r="V31" s="150"/>
      <c r="W31" s="150"/>
      <c r="X31" s="150"/>
      <c r="Y31" s="150">
        <f>Y30</f>
        <v>0</v>
      </c>
      <c r="Z31" s="150"/>
      <c r="AA31" s="150"/>
      <c r="AB31" s="150">
        <f>AB30</f>
        <v>0</v>
      </c>
      <c r="AC31" s="150"/>
      <c r="AD31" s="150"/>
      <c r="AE31" s="150">
        <f>AE30</f>
        <v>58500000</v>
      </c>
      <c r="AF31" s="150"/>
      <c r="AG31" s="150"/>
      <c r="AH31" s="150"/>
      <c r="AI31" s="904">
        <f>AI30</f>
        <v>58500000</v>
      </c>
    </row>
    <row r="32" spans="1:35" ht="15" x14ac:dyDescent="0.25">
      <c r="A32" s="917"/>
      <c r="B32" s="197"/>
      <c r="C32" s="198"/>
      <c r="D32" s="197"/>
      <c r="E32" s="198"/>
      <c r="F32" s="198"/>
      <c r="G32" s="197"/>
      <c r="H32" s="198"/>
      <c r="I32" s="197"/>
      <c r="J32" s="199"/>
      <c r="K32" s="200"/>
      <c r="L32" s="200"/>
      <c r="M32" s="201"/>
      <c r="N32" s="591"/>
      <c r="O32" s="197"/>
      <c r="P32" s="198"/>
      <c r="Q32" s="202"/>
      <c r="R32" s="202"/>
      <c r="S32" s="202"/>
      <c r="T32" s="202"/>
      <c r="U32" s="202"/>
      <c r="V32" s="202"/>
      <c r="W32" s="202"/>
      <c r="X32" s="202"/>
      <c r="Y32" s="202">
        <f>Y27+Y31</f>
        <v>0</v>
      </c>
      <c r="Z32" s="202"/>
      <c r="AA32" s="202"/>
      <c r="AB32" s="202">
        <f>AB27+AB31</f>
        <v>0</v>
      </c>
      <c r="AC32" s="202"/>
      <c r="AD32" s="202"/>
      <c r="AE32" s="202">
        <f>AE27+AE31</f>
        <v>76000000</v>
      </c>
      <c r="AF32" s="202"/>
      <c r="AG32" s="202"/>
      <c r="AH32" s="202"/>
      <c r="AI32" s="906">
        <f>AI27+AI31</f>
        <v>76000000</v>
      </c>
    </row>
    <row r="33" spans="1:35" ht="15" x14ac:dyDescent="0.25">
      <c r="A33" s="917"/>
      <c r="B33" s="161"/>
      <c r="C33" s="845"/>
      <c r="D33" s="161"/>
      <c r="E33" s="845"/>
      <c r="F33" s="845"/>
      <c r="G33" s="161"/>
      <c r="H33" s="845"/>
      <c r="I33" s="161"/>
      <c r="J33" s="162"/>
      <c r="K33" s="188"/>
      <c r="L33" s="188"/>
      <c r="M33" s="203"/>
      <c r="N33" s="21"/>
      <c r="O33" s="161"/>
      <c r="P33" s="845"/>
      <c r="Q33" s="12"/>
      <c r="R33" s="163"/>
      <c r="S33" s="12"/>
      <c r="T33" s="12"/>
      <c r="U33" s="12"/>
      <c r="V33" s="12"/>
      <c r="W33" s="12"/>
      <c r="X33" s="12"/>
      <c r="Y33" s="12"/>
      <c r="Z33" s="12"/>
      <c r="AA33" s="163"/>
      <c r="AB33" s="163"/>
      <c r="AC33" s="12"/>
      <c r="AD33" s="12"/>
      <c r="AE33" s="189"/>
      <c r="AF33" s="12"/>
      <c r="AG33" s="12"/>
      <c r="AH33" s="163"/>
      <c r="AI33" s="921"/>
    </row>
    <row r="34" spans="1:35" x14ac:dyDescent="0.25">
      <c r="A34" s="917"/>
      <c r="B34" s="837">
        <v>27</v>
      </c>
      <c r="C34" s="837" t="s">
        <v>69</v>
      </c>
      <c r="D34" s="87"/>
      <c r="E34" s="87"/>
      <c r="F34" s="87"/>
      <c r="G34" s="87"/>
      <c r="H34" s="838"/>
      <c r="I34" s="87"/>
      <c r="J34" s="87"/>
      <c r="K34" s="204"/>
      <c r="L34" s="204"/>
      <c r="M34" s="87"/>
      <c r="N34" s="15"/>
      <c r="O34" s="87"/>
      <c r="P34" s="87"/>
      <c r="Q34" s="169"/>
      <c r="R34" s="169"/>
      <c r="S34" s="169"/>
      <c r="T34" s="169"/>
      <c r="U34" s="169"/>
      <c r="V34" s="169"/>
      <c r="W34" s="169"/>
      <c r="X34" s="169"/>
      <c r="Y34" s="169"/>
      <c r="Z34" s="169"/>
      <c r="AA34" s="169"/>
      <c r="AB34" s="169"/>
      <c r="AC34" s="169"/>
      <c r="AD34" s="169"/>
      <c r="AE34" s="170"/>
      <c r="AF34" s="169"/>
      <c r="AG34" s="169"/>
      <c r="AH34" s="169"/>
      <c r="AI34" s="916"/>
    </row>
    <row r="35" spans="1:35" x14ac:dyDescent="0.25">
      <c r="A35" s="917"/>
      <c r="B35" s="145"/>
      <c r="C35" s="845"/>
      <c r="D35" s="205"/>
      <c r="E35" s="205"/>
      <c r="F35" s="206"/>
      <c r="G35" s="175">
        <v>85</v>
      </c>
      <c r="H35" s="78" t="s">
        <v>70</v>
      </c>
      <c r="I35" s="81"/>
      <c r="J35" s="81"/>
      <c r="K35" s="207"/>
      <c r="L35" s="207"/>
      <c r="M35" s="81"/>
      <c r="N35" s="588"/>
      <c r="O35" s="81"/>
      <c r="P35" s="81"/>
      <c r="Q35" s="176"/>
      <c r="R35" s="176"/>
      <c r="S35" s="176"/>
      <c r="T35" s="176"/>
      <c r="U35" s="176"/>
      <c r="V35" s="176"/>
      <c r="W35" s="176"/>
      <c r="X35" s="176"/>
      <c r="Y35" s="176"/>
      <c r="Z35" s="176"/>
      <c r="AA35" s="176"/>
      <c r="AB35" s="176"/>
      <c r="AC35" s="176"/>
      <c r="AD35" s="176"/>
      <c r="AE35" s="177"/>
      <c r="AF35" s="176"/>
      <c r="AG35" s="176"/>
      <c r="AH35" s="176"/>
      <c r="AI35" s="918"/>
    </row>
    <row r="36" spans="1:35" ht="97.5" customHeight="1" x14ac:dyDescent="0.25">
      <c r="A36" s="917"/>
      <c r="B36" s="3"/>
      <c r="C36" s="846">
        <v>37</v>
      </c>
      <c r="D36" s="565" t="s">
        <v>60</v>
      </c>
      <c r="E36" s="179" t="s">
        <v>61</v>
      </c>
      <c r="F36" s="180">
        <v>0.6</v>
      </c>
      <c r="G36" s="832"/>
      <c r="H36" s="851">
        <v>249</v>
      </c>
      <c r="I36" s="565" t="s">
        <v>71</v>
      </c>
      <c r="J36" s="1">
        <v>1</v>
      </c>
      <c r="K36" s="59">
        <v>1</v>
      </c>
      <c r="L36" s="774">
        <v>0.67</v>
      </c>
      <c r="M36" s="73" t="s">
        <v>72</v>
      </c>
      <c r="N36" s="568" t="s">
        <v>73</v>
      </c>
      <c r="O36" s="565" t="s">
        <v>74</v>
      </c>
      <c r="P36" s="865" t="s">
        <v>46</v>
      </c>
      <c r="Q36" s="9"/>
      <c r="R36" s="9"/>
      <c r="S36" s="9"/>
      <c r="T36" s="9"/>
      <c r="U36" s="9"/>
      <c r="V36" s="9"/>
      <c r="W36" s="9"/>
      <c r="X36" s="9"/>
      <c r="Y36" s="9"/>
      <c r="Z36" s="9"/>
      <c r="AA36" s="9"/>
      <c r="AB36" s="9"/>
      <c r="AC36" s="9"/>
      <c r="AD36" s="9"/>
      <c r="AE36" s="60">
        <v>120000000</v>
      </c>
      <c r="AF36" s="61"/>
      <c r="AG36" s="61"/>
      <c r="AH36" s="61"/>
      <c r="AI36" s="901">
        <f>+Q36+R36+S36+T36+U36+V36+W36+X36+Y36+Z36+AA36+AB36+AC36+AD36+AE36+AF36+AG36+AH36</f>
        <v>120000000</v>
      </c>
    </row>
    <row r="37" spans="1:35" ht="15" x14ac:dyDescent="0.25">
      <c r="A37" s="917"/>
      <c r="B37" s="72"/>
      <c r="C37" s="846"/>
      <c r="D37" s="565"/>
      <c r="E37" s="865"/>
      <c r="F37" s="865"/>
      <c r="G37" s="208"/>
      <c r="H37" s="209"/>
      <c r="I37" s="147"/>
      <c r="J37" s="149"/>
      <c r="K37" s="196"/>
      <c r="L37" s="196"/>
      <c r="M37" s="149"/>
      <c r="N37" s="584"/>
      <c r="O37" s="147"/>
      <c r="P37" s="148"/>
      <c r="Q37" s="150"/>
      <c r="R37" s="150"/>
      <c r="S37" s="150"/>
      <c r="T37" s="150"/>
      <c r="U37" s="150"/>
      <c r="V37" s="150"/>
      <c r="W37" s="150"/>
      <c r="X37" s="150"/>
      <c r="Y37" s="150">
        <f>SUM(Y36)</f>
        <v>0</v>
      </c>
      <c r="Z37" s="150"/>
      <c r="AA37" s="150"/>
      <c r="AB37" s="150">
        <f>SUM(AB36)</f>
        <v>0</v>
      </c>
      <c r="AC37" s="150"/>
      <c r="AD37" s="150"/>
      <c r="AE37" s="150">
        <f>SUM(AE36)</f>
        <v>120000000</v>
      </c>
      <c r="AF37" s="150"/>
      <c r="AG37" s="150"/>
      <c r="AH37" s="150"/>
      <c r="AI37" s="904">
        <f>SUM(AI36)</f>
        <v>120000000</v>
      </c>
    </row>
    <row r="38" spans="1:35" ht="15" x14ac:dyDescent="0.25">
      <c r="A38" s="917"/>
      <c r="B38" s="210"/>
      <c r="C38" s="211"/>
      <c r="D38" s="197"/>
      <c r="E38" s="198"/>
      <c r="F38" s="212"/>
      <c r="G38" s="213"/>
      <c r="H38" s="214"/>
      <c r="I38" s="151"/>
      <c r="J38" s="153"/>
      <c r="K38" s="215"/>
      <c r="L38" s="215"/>
      <c r="M38" s="153"/>
      <c r="N38" s="585"/>
      <c r="O38" s="151"/>
      <c r="P38" s="152"/>
      <c r="Q38" s="154"/>
      <c r="R38" s="154"/>
      <c r="S38" s="154"/>
      <c r="T38" s="154"/>
      <c r="U38" s="154"/>
      <c r="V38" s="154"/>
      <c r="W38" s="154"/>
      <c r="X38" s="154"/>
      <c r="Y38" s="154">
        <f>Y37</f>
        <v>0</v>
      </c>
      <c r="Z38" s="154"/>
      <c r="AA38" s="154"/>
      <c r="AB38" s="154">
        <f>AB37</f>
        <v>0</v>
      </c>
      <c r="AC38" s="154"/>
      <c r="AD38" s="154"/>
      <c r="AE38" s="154">
        <f>AE37</f>
        <v>120000000</v>
      </c>
      <c r="AF38" s="154"/>
      <c r="AG38" s="154"/>
      <c r="AH38" s="154"/>
      <c r="AI38" s="906">
        <f>AI37</f>
        <v>120000000</v>
      </c>
    </row>
    <row r="39" spans="1:35" ht="15" x14ac:dyDescent="0.25">
      <c r="A39" s="917"/>
      <c r="B39" s="161"/>
      <c r="C39" s="845"/>
      <c r="D39" s="161"/>
      <c r="E39" s="845"/>
      <c r="F39" s="845"/>
      <c r="G39" s="216"/>
      <c r="H39" s="566"/>
      <c r="I39" s="161"/>
      <c r="J39" s="162"/>
      <c r="K39" s="188"/>
      <c r="L39" s="188"/>
      <c r="M39" s="162"/>
      <c r="N39" s="21"/>
      <c r="O39" s="161"/>
      <c r="P39" s="845"/>
      <c r="Q39" s="12"/>
      <c r="R39" s="163"/>
      <c r="S39" s="12"/>
      <c r="T39" s="12"/>
      <c r="U39" s="12"/>
      <c r="V39" s="12"/>
      <c r="W39" s="12"/>
      <c r="X39" s="12"/>
      <c r="Y39" s="12"/>
      <c r="Z39" s="12"/>
      <c r="AA39" s="163"/>
      <c r="AB39" s="163"/>
      <c r="AC39" s="12"/>
      <c r="AD39" s="12"/>
      <c r="AE39" s="189"/>
      <c r="AF39" s="12"/>
      <c r="AG39" s="12"/>
      <c r="AH39" s="12"/>
      <c r="AI39" s="921"/>
    </row>
    <row r="40" spans="1:35" x14ac:dyDescent="0.25">
      <c r="A40" s="917"/>
      <c r="B40" s="217">
        <v>28</v>
      </c>
      <c r="C40" s="1106" t="s">
        <v>31</v>
      </c>
      <c r="D40" s="1107"/>
      <c r="E40" s="87"/>
      <c r="F40" s="87"/>
      <c r="G40" s="87"/>
      <c r="H40" s="838"/>
      <c r="I40" s="87"/>
      <c r="J40" s="87"/>
      <c r="K40" s="204"/>
      <c r="L40" s="204"/>
      <c r="M40" s="87"/>
      <c r="N40" s="15"/>
      <c r="O40" s="87"/>
      <c r="P40" s="87"/>
      <c r="Q40" s="169"/>
      <c r="R40" s="169"/>
      <c r="S40" s="169"/>
      <c r="T40" s="169"/>
      <c r="U40" s="169"/>
      <c r="V40" s="169"/>
      <c r="W40" s="169"/>
      <c r="X40" s="169"/>
      <c r="Y40" s="169"/>
      <c r="Z40" s="169"/>
      <c r="AA40" s="169"/>
      <c r="AB40" s="169"/>
      <c r="AC40" s="169"/>
      <c r="AD40" s="169"/>
      <c r="AE40" s="170"/>
      <c r="AF40" s="169"/>
      <c r="AG40" s="169"/>
      <c r="AH40" s="169"/>
      <c r="AI40" s="916"/>
    </row>
    <row r="41" spans="1:35" x14ac:dyDescent="0.25">
      <c r="A41" s="917"/>
      <c r="B41" s="145"/>
      <c r="C41" s="865"/>
      <c r="D41" s="565"/>
      <c r="E41" s="865"/>
      <c r="F41" s="865"/>
      <c r="G41" s="218">
        <v>87</v>
      </c>
      <c r="H41" s="80" t="s">
        <v>75</v>
      </c>
      <c r="I41" s="84"/>
      <c r="J41" s="84"/>
      <c r="K41" s="219"/>
      <c r="L41" s="219"/>
      <c r="M41" s="84"/>
      <c r="N41" s="592"/>
      <c r="O41" s="84"/>
      <c r="P41" s="84"/>
      <c r="Q41" s="220"/>
      <c r="R41" s="220"/>
      <c r="S41" s="220"/>
      <c r="T41" s="220"/>
      <c r="U41" s="220"/>
      <c r="V41" s="220"/>
      <c r="W41" s="220"/>
      <c r="X41" s="220"/>
      <c r="Y41" s="220"/>
      <c r="Z41" s="220"/>
      <c r="AA41" s="220"/>
      <c r="AB41" s="220"/>
      <c r="AC41" s="220"/>
      <c r="AD41" s="220"/>
      <c r="AE41" s="221"/>
      <c r="AF41" s="220"/>
      <c r="AG41" s="220"/>
      <c r="AH41" s="220"/>
      <c r="AI41" s="923"/>
    </row>
    <row r="42" spans="1:35" s="539" customFormat="1" ht="55.5" customHeight="1" x14ac:dyDescent="0.25">
      <c r="A42" s="1028"/>
      <c r="B42" s="835"/>
      <c r="C42" s="1085">
        <v>38</v>
      </c>
      <c r="D42" s="1080" t="s">
        <v>47</v>
      </c>
      <c r="E42" s="1085">
        <v>0</v>
      </c>
      <c r="F42" s="1085">
        <v>2</v>
      </c>
      <c r="G42" s="820"/>
      <c r="H42" s="819">
        <v>257</v>
      </c>
      <c r="I42" s="835" t="s">
        <v>76</v>
      </c>
      <c r="J42" s="820">
        <v>0</v>
      </c>
      <c r="K42" s="819">
        <v>1</v>
      </c>
      <c r="L42" s="774">
        <v>0.75</v>
      </c>
      <c r="M42" s="1085" t="s">
        <v>37</v>
      </c>
      <c r="N42" s="1084" t="s">
        <v>77</v>
      </c>
      <c r="O42" s="1103" t="s">
        <v>78</v>
      </c>
      <c r="P42" s="621" t="s">
        <v>46</v>
      </c>
      <c r="Q42" s="546"/>
      <c r="R42" s="546"/>
      <c r="S42" s="546"/>
      <c r="T42" s="546"/>
      <c r="U42" s="546"/>
      <c r="V42" s="546"/>
      <c r="W42" s="546"/>
      <c r="X42" s="546"/>
      <c r="Y42" s="546"/>
      <c r="Z42" s="546"/>
      <c r="AA42" s="546"/>
      <c r="AB42" s="546"/>
      <c r="AC42" s="546"/>
      <c r="AD42" s="546"/>
      <c r="AE42" s="550">
        <f>160000000+40640000+21050000</f>
        <v>221690000</v>
      </c>
      <c r="AF42" s="547"/>
      <c r="AG42" s="547"/>
      <c r="AH42" s="547"/>
      <c r="AI42" s="900">
        <f t="shared" ref="AI42:AI59" si="2">+Q42+R42+S42+T42+U42+V42+W42+X42+Y42+Z42+AA42+AB42+AC42+AD42+AE42+AF42+AG42+AH42</f>
        <v>221690000</v>
      </c>
    </row>
    <row r="43" spans="1:35" s="539" customFormat="1" ht="42.75" x14ac:dyDescent="0.25">
      <c r="A43" s="919"/>
      <c r="B43" s="549"/>
      <c r="C43" s="1088"/>
      <c r="D43" s="1087"/>
      <c r="E43" s="1088"/>
      <c r="F43" s="1088"/>
      <c r="G43" s="549"/>
      <c r="H43" s="829">
        <v>258</v>
      </c>
      <c r="I43" s="828" t="s">
        <v>79</v>
      </c>
      <c r="J43" s="829">
        <v>0</v>
      </c>
      <c r="K43" s="620">
        <v>1</v>
      </c>
      <c r="L43" s="774">
        <v>0.75</v>
      </c>
      <c r="M43" s="1088"/>
      <c r="N43" s="1082"/>
      <c r="O43" s="1104"/>
      <c r="P43" s="621" t="s">
        <v>46</v>
      </c>
      <c r="Q43" s="546"/>
      <c r="R43" s="546"/>
      <c r="S43" s="546"/>
      <c r="T43" s="546"/>
      <c r="U43" s="546"/>
      <c r="V43" s="546"/>
      <c r="W43" s="546"/>
      <c r="X43" s="546"/>
      <c r="Y43" s="546"/>
      <c r="Z43" s="546"/>
      <c r="AA43" s="546"/>
      <c r="AB43" s="546"/>
      <c r="AC43" s="546"/>
      <c r="AD43" s="546"/>
      <c r="AE43" s="550">
        <v>29800000</v>
      </c>
      <c r="AF43" s="547"/>
      <c r="AG43" s="547"/>
      <c r="AH43" s="547"/>
      <c r="AI43" s="900">
        <f t="shared" si="2"/>
        <v>29800000</v>
      </c>
    </row>
    <row r="44" spans="1:35" s="539" customFormat="1" ht="60.75" customHeight="1" x14ac:dyDescent="0.25">
      <c r="A44" s="919"/>
      <c r="B44" s="549"/>
      <c r="C44" s="1088"/>
      <c r="D44" s="1087"/>
      <c r="E44" s="1088"/>
      <c r="F44" s="1088"/>
      <c r="G44" s="549"/>
      <c r="H44" s="829">
        <v>259</v>
      </c>
      <c r="I44" s="828" t="s">
        <v>80</v>
      </c>
      <c r="J44" s="543">
        <v>1</v>
      </c>
      <c r="K44" s="544">
        <v>1</v>
      </c>
      <c r="L44" s="773">
        <v>0.7</v>
      </c>
      <c r="M44" s="1088"/>
      <c r="N44" s="1082"/>
      <c r="O44" s="1104"/>
      <c r="P44" s="621" t="s">
        <v>46</v>
      </c>
      <c r="Q44" s="546"/>
      <c r="R44" s="546"/>
      <c r="S44" s="546"/>
      <c r="T44" s="546"/>
      <c r="U44" s="546"/>
      <c r="V44" s="546"/>
      <c r="W44" s="546"/>
      <c r="X44" s="546"/>
      <c r="Y44" s="546"/>
      <c r="Z44" s="546"/>
      <c r="AA44" s="546"/>
      <c r="AB44" s="546"/>
      <c r="AC44" s="546"/>
      <c r="AD44" s="546"/>
      <c r="AE44" s="550">
        <v>8500000</v>
      </c>
      <c r="AF44" s="547"/>
      <c r="AG44" s="547"/>
      <c r="AH44" s="547"/>
      <c r="AI44" s="900">
        <f t="shared" si="2"/>
        <v>8500000</v>
      </c>
    </row>
    <row r="45" spans="1:35" s="539" customFormat="1" ht="53.25" customHeight="1" x14ac:dyDescent="0.25">
      <c r="A45" s="919"/>
      <c r="B45" s="549"/>
      <c r="C45" s="1088"/>
      <c r="D45" s="1087"/>
      <c r="E45" s="1088"/>
      <c r="F45" s="1088"/>
      <c r="G45" s="549"/>
      <c r="H45" s="829">
        <v>263</v>
      </c>
      <c r="I45" s="828" t="s">
        <v>81</v>
      </c>
      <c r="J45" s="543">
        <v>1</v>
      </c>
      <c r="K45" s="544">
        <v>1</v>
      </c>
      <c r="L45" s="774"/>
      <c r="M45" s="1088"/>
      <c r="N45" s="1082"/>
      <c r="O45" s="1104"/>
      <c r="P45" s="621" t="s">
        <v>46</v>
      </c>
      <c r="Q45" s="546"/>
      <c r="R45" s="546"/>
      <c r="S45" s="546"/>
      <c r="T45" s="546"/>
      <c r="U45" s="546"/>
      <c r="V45" s="546"/>
      <c r="W45" s="546"/>
      <c r="X45" s="546"/>
      <c r="Y45" s="546"/>
      <c r="Z45" s="546"/>
      <c r="AA45" s="546"/>
      <c r="AB45" s="546"/>
      <c r="AC45" s="546"/>
      <c r="AD45" s="546"/>
      <c r="AE45" s="550">
        <v>80000000</v>
      </c>
      <c r="AF45" s="547"/>
      <c r="AG45" s="547"/>
      <c r="AH45" s="547"/>
      <c r="AI45" s="900">
        <f t="shared" si="2"/>
        <v>80000000</v>
      </c>
    </row>
    <row r="46" spans="1:35" s="539" customFormat="1" ht="63.75" customHeight="1" x14ac:dyDescent="0.25">
      <c r="A46" s="919"/>
      <c r="B46" s="549"/>
      <c r="C46" s="1086"/>
      <c r="D46" s="1081"/>
      <c r="E46" s="1086"/>
      <c r="F46" s="1086"/>
      <c r="G46" s="549"/>
      <c r="H46" s="829">
        <v>261</v>
      </c>
      <c r="I46" s="828" t="s">
        <v>82</v>
      </c>
      <c r="J46" s="543">
        <v>1</v>
      </c>
      <c r="K46" s="544">
        <v>2</v>
      </c>
      <c r="L46" s="59">
        <v>2</v>
      </c>
      <c r="M46" s="1086"/>
      <c r="N46" s="1083"/>
      <c r="O46" s="1105"/>
      <c r="P46" s="621" t="s">
        <v>46</v>
      </c>
      <c r="Q46" s="546"/>
      <c r="R46" s="546"/>
      <c r="S46" s="546"/>
      <c r="T46" s="546"/>
      <c r="U46" s="546"/>
      <c r="V46" s="546"/>
      <c r="W46" s="546"/>
      <c r="X46" s="546"/>
      <c r="Y46" s="546"/>
      <c r="Z46" s="546"/>
      <c r="AA46" s="546"/>
      <c r="AB46" s="546"/>
      <c r="AC46" s="546"/>
      <c r="AD46" s="547"/>
      <c r="AE46" s="550">
        <f>40000000+19360000</f>
        <v>59360000</v>
      </c>
      <c r="AF46" s="547"/>
      <c r="AG46" s="547"/>
      <c r="AH46" s="547"/>
      <c r="AI46" s="900">
        <f t="shared" si="2"/>
        <v>59360000</v>
      </c>
    </row>
    <row r="47" spans="1:35" s="539" customFormat="1" ht="85.5" customHeight="1" x14ac:dyDescent="0.25">
      <c r="A47" s="919"/>
      <c r="B47" s="549"/>
      <c r="C47" s="820">
        <v>38</v>
      </c>
      <c r="D47" s="816" t="s">
        <v>47</v>
      </c>
      <c r="E47" s="829">
        <v>0</v>
      </c>
      <c r="F47" s="829">
        <v>2</v>
      </c>
      <c r="G47" s="549"/>
      <c r="H47" s="829">
        <v>262</v>
      </c>
      <c r="I47" s="828" t="s">
        <v>83</v>
      </c>
      <c r="J47" s="543">
        <v>1</v>
      </c>
      <c r="K47" s="544">
        <v>1</v>
      </c>
      <c r="L47" s="774">
        <v>0.56000000000000005</v>
      </c>
      <c r="M47" s="828" t="s">
        <v>37</v>
      </c>
      <c r="N47" s="619" t="s">
        <v>84</v>
      </c>
      <c r="O47" s="828" t="s">
        <v>85</v>
      </c>
      <c r="P47" s="621" t="s">
        <v>46</v>
      </c>
      <c r="Q47" s="546"/>
      <c r="R47" s="546"/>
      <c r="S47" s="546"/>
      <c r="T47" s="546"/>
      <c r="U47" s="546"/>
      <c r="V47" s="546"/>
      <c r="W47" s="546"/>
      <c r="X47" s="546"/>
      <c r="Y47" s="546"/>
      <c r="Z47" s="546"/>
      <c r="AA47" s="546"/>
      <c r="AB47" s="546"/>
      <c r="AC47" s="546"/>
      <c r="AD47" s="546"/>
      <c r="AE47" s="550">
        <f>30000000+30000000+12350000+10250000</f>
        <v>82600000</v>
      </c>
      <c r="AF47" s="547"/>
      <c r="AG47" s="547"/>
      <c r="AH47" s="547"/>
      <c r="AI47" s="900">
        <f t="shared" si="2"/>
        <v>82600000</v>
      </c>
    </row>
    <row r="48" spans="1:35" s="539" customFormat="1" ht="96.75" customHeight="1" x14ac:dyDescent="0.25">
      <c r="A48" s="924"/>
      <c r="B48" s="549"/>
      <c r="C48" s="820">
        <v>38</v>
      </c>
      <c r="D48" s="816" t="s">
        <v>47</v>
      </c>
      <c r="E48" s="829">
        <v>0</v>
      </c>
      <c r="F48" s="829">
        <v>2</v>
      </c>
      <c r="G48" s="549"/>
      <c r="H48" s="829">
        <v>264</v>
      </c>
      <c r="I48" s="828" t="s">
        <v>86</v>
      </c>
      <c r="J48" s="543">
        <v>0</v>
      </c>
      <c r="K48" s="544">
        <v>1</v>
      </c>
      <c r="L48" s="774">
        <v>0.75</v>
      </c>
      <c r="M48" s="828" t="s">
        <v>37</v>
      </c>
      <c r="N48" s="619" t="s">
        <v>87</v>
      </c>
      <c r="O48" s="828" t="s">
        <v>88</v>
      </c>
      <c r="P48" s="621" t="s">
        <v>46</v>
      </c>
      <c r="Q48" s="546"/>
      <c r="R48" s="546"/>
      <c r="S48" s="546"/>
      <c r="T48" s="546"/>
      <c r="U48" s="546"/>
      <c r="V48" s="546"/>
      <c r="W48" s="546"/>
      <c r="X48" s="546"/>
      <c r="Y48" s="546"/>
      <c r="Z48" s="546"/>
      <c r="AA48" s="546"/>
      <c r="AB48" s="546"/>
      <c r="AC48" s="546"/>
      <c r="AD48" s="546"/>
      <c r="AE48" s="550">
        <f>50000000+50000000-62350000</f>
        <v>37650000</v>
      </c>
      <c r="AF48" s="547"/>
      <c r="AG48" s="547"/>
      <c r="AH48" s="547"/>
      <c r="AI48" s="900">
        <f t="shared" si="2"/>
        <v>37650000</v>
      </c>
    </row>
    <row r="49" spans="1:35" s="539" customFormat="1" ht="94.5" customHeight="1" x14ac:dyDescent="0.25">
      <c r="A49" s="919"/>
      <c r="B49" s="549"/>
      <c r="C49" s="820">
        <v>38</v>
      </c>
      <c r="D49" s="816" t="s">
        <v>47</v>
      </c>
      <c r="E49" s="829">
        <v>0</v>
      </c>
      <c r="F49" s="829">
        <v>2</v>
      </c>
      <c r="G49" s="549"/>
      <c r="H49" s="829">
        <v>265</v>
      </c>
      <c r="I49" s="828" t="s">
        <v>89</v>
      </c>
      <c r="J49" s="829">
        <v>0</v>
      </c>
      <c r="K49" s="620">
        <v>1</v>
      </c>
      <c r="L49" s="775">
        <v>0.8</v>
      </c>
      <c r="M49" s="829" t="s">
        <v>90</v>
      </c>
      <c r="N49" s="619" t="s">
        <v>91</v>
      </c>
      <c r="O49" s="828" t="s">
        <v>92</v>
      </c>
      <c r="P49" s="621" t="s">
        <v>46</v>
      </c>
      <c r="Q49" s="546"/>
      <c r="R49" s="546"/>
      <c r="S49" s="546"/>
      <c r="T49" s="546"/>
      <c r="U49" s="546"/>
      <c r="V49" s="546"/>
      <c r="W49" s="546"/>
      <c r="X49" s="546"/>
      <c r="Y49" s="546"/>
      <c r="Z49" s="546"/>
      <c r="AA49" s="546"/>
      <c r="AB49" s="546"/>
      <c r="AC49" s="546"/>
      <c r="AD49" s="546"/>
      <c r="AE49" s="550">
        <f>400000000+75000000+18700000</f>
        <v>493700000</v>
      </c>
      <c r="AF49" s="547"/>
      <c r="AG49" s="547"/>
      <c r="AH49" s="547"/>
      <c r="AI49" s="900">
        <f t="shared" si="2"/>
        <v>493700000</v>
      </c>
    </row>
    <row r="50" spans="1:35" s="539" customFormat="1" ht="42.75" x14ac:dyDescent="0.25">
      <c r="A50" s="919"/>
      <c r="B50" s="549"/>
      <c r="C50" s="829">
        <v>38</v>
      </c>
      <c r="D50" s="828" t="s">
        <v>47</v>
      </c>
      <c r="E50" s="829">
        <v>0</v>
      </c>
      <c r="F50" s="829">
        <v>2</v>
      </c>
      <c r="G50" s="549"/>
      <c r="H50" s="829">
        <v>266</v>
      </c>
      <c r="I50" s="828" t="s">
        <v>93</v>
      </c>
      <c r="J50" s="543">
        <v>1</v>
      </c>
      <c r="K50" s="544">
        <v>1</v>
      </c>
      <c r="L50" s="774">
        <v>0.75</v>
      </c>
      <c r="M50" s="828" t="s">
        <v>37</v>
      </c>
      <c r="N50" s="619" t="s">
        <v>94</v>
      </c>
      <c r="O50" s="828" t="s">
        <v>95</v>
      </c>
      <c r="P50" s="621" t="s">
        <v>46</v>
      </c>
      <c r="Q50" s="546"/>
      <c r="R50" s="546"/>
      <c r="S50" s="546"/>
      <c r="T50" s="546"/>
      <c r="U50" s="546"/>
      <c r="V50" s="546"/>
      <c r="W50" s="546"/>
      <c r="X50" s="546"/>
      <c r="Y50" s="546"/>
      <c r="Z50" s="546"/>
      <c r="AA50" s="546"/>
      <c r="AB50" s="546"/>
      <c r="AC50" s="546"/>
      <c r="AD50" s="546"/>
      <c r="AE50" s="550">
        <f>38000000+10000000</f>
        <v>48000000</v>
      </c>
      <c r="AF50" s="547"/>
      <c r="AG50" s="547"/>
      <c r="AH50" s="547"/>
      <c r="AI50" s="900">
        <f t="shared" si="2"/>
        <v>48000000</v>
      </c>
    </row>
    <row r="51" spans="1:35" s="539" customFormat="1" ht="48.75" customHeight="1" x14ac:dyDescent="0.25">
      <c r="A51" s="919"/>
      <c r="B51" s="549"/>
      <c r="C51" s="1085">
        <v>38</v>
      </c>
      <c r="D51" s="1080" t="s">
        <v>47</v>
      </c>
      <c r="E51" s="1085">
        <v>0</v>
      </c>
      <c r="F51" s="1085">
        <v>2</v>
      </c>
      <c r="G51" s="549"/>
      <c r="H51" s="829">
        <v>267</v>
      </c>
      <c r="I51" s="828" t="s">
        <v>96</v>
      </c>
      <c r="J51" s="543">
        <v>1</v>
      </c>
      <c r="K51" s="544">
        <v>1</v>
      </c>
      <c r="L51" s="775">
        <v>0.5</v>
      </c>
      <c r="M51" s="1092" t="s">
        <v>37</v>
      </c>
      <c r="N51" s="1084" t="s">
        <v>97</v>
      </c>
      <c r="O51" s="1080" t="s">
        <v>98</v>
      </c>
      <c r="P51" s="621" t="s">
        <v>46</v>
      </c>
      <c r="Q51" s="546"/>
      <c r="R51" s="546"/>
      <c r="S51" s="546"/>
      <c r="T51" s="546"/>
      <c r="U51" s="546"/>
      <c r="V51" s="546"/>
      <c r="W51" s="546"/>
      <c r="X51" s="546"/>
      <c r="Y51" s="546"/>
      <c r="Z51" s="546"/>
      <c r="AA51" s="546"/>
      <c r="AB51" s="546"/>
      <c r="AC51" s="546"/>
      <c r="AD51" s="546"/>
      <c r="AE51" s="550">
        <f>9500000+15420000</f>
        <v>24920000</v>
      </c>
      <c r="AF51" s="547"/>
      <c r="AG51" s="547"/>
      <c r="AH51" s="547"/>
      <c r="AI51" s="900">
        <f t="shared" si="2"/>
        <v>24920000</v>
      </c>
    </row>
    <row r="52" spans="1:35" s="539" customFormat="1" ht="42.75" x14ac:dyDescent="0.25">
      <c r="A52" s="919"/>
      <c r="B52" s="549"/>
      <c r="C52" s="1088"/>
      <c r="D52" s="1087"/>
      <c r="E52" s="1088"/>
      <c r="F52" s="1088"/>
      <c r="G52" s="549"/>
      <c r="H52" s="829">
        <v>268</v>
      </c>
      <c r="I52" s="828" t="s">
        <v>99</v>
      </c>
      <c r="J52" s="543">
        <v>12</v>
      </c>
      <c r="K52" s="544">
        <v>12</v>
      </c>
      <c r="L52" s="544">
        <v>12</v>
      </c>
      <c r="M52" s="1093"/>
      <c r="N52" s="1082"/>
      <c r="O52" s="1087"/>
      <c r="P52" s="621" t="s">
        <v>46</v>
      </c>
      <c r="Q52" s="546"/>
      <c r="R52" s="546"/>
      <c r="S52" s="546"/>
      <c r="T52" s="546"/>
      <c r="U52" s="546"/>
      <c r="V52" s="546"/>
      <c r="W52" s="546"/>
      <c r="X52" s="546"/>
      <c r="Y52" s="546"/>
      <c r="Z52" s="546"/>
      <c r="AA52" s="546"/>
      <c r="AB52" s="546"/>
      <c r="AC52" s="546"/>
      <c r="AD52" s="546"/>
      <c r="AE52" s="550">
        <f>20500000+9860000</f>
        <v>30360000</v>
      </c>
      <c r="AF52" s="547"/>
      <c r="AG52" s="547"/>
      <c r="AH52" s="547"/>
      <c r="AI52" s="900">
        <f t="shared" si="2"/>
        <v>30360000</v>
      </c>
    </row>
    <row r="53" spans="1:35" s="539" customFormat="1" ht="42.75" x14ac:dyDescent="0.25">
      <c r="A53" s="919"/>
      <c r="B53" s="549"/>
      <c r="C53" s="1088"/>
      <c r="D53" s="1087"/>
      <c r="E53" s="1088"/>
      <c r="F53" s="1088"/>
      <c r="G53" s="549"/>
      <c r="H53" s="829">
        <v>269</v>
      </c>
      <c r="I53" s="828" t="s">
        <v>100</v>
      </c>
      <c r="J53" s="543">
        <v>12</v>
      </c>
      <c r="K53" s="544">
        <v>12</v>
      </c>
      <c r="L53" s="544">
        <v>12</v>
      </c>
      <c r="M53" s="1093"/>
      <c r="N53" s="1082"/>
      <c r="O53" s="1087"/>
      <c r="P53" s="621" t="s">
        <v>46</v>
      </c>
      <c r="Q53" s="546"/>
      <c r="R53" s="546"/>
      <c r="S53" s="546"/>
      <c r="T53" s="546"/>
      <c r="U53" s="546"/>
      <c r="V53" s="546"/>
      <c r="W53" s="546"/>
      <c r="X53" s="546"/>
      <c r="Y53" s="546"/>
      <c r="Z53" s="546"/>
      <c r="AA53" s="546"/>
      <c r="AB53" s="546"/>
      <c r="AC53" s="546"/>
      <c r="AD53" s="546"/>
      <c r="AE53" s="550">
        <v>21000000</v>
      </c>
      <c r="AF53" s="547"/>
      <c r="AG53" s="547"/>
      <c r="AH53" s="547"/>
      <c r="AI53" s="900">
        <f t="shared" si="2"/>
        <v>21000000</v>
      </c>
    </row>
    <row r="54" spans="1:35" s="539" customFormat="1" ht="57" x14ac:dyDescent="0.25">
      <c r="A54" s="919"/>
      <c r="B54" s="549"/>
      <c r="C54" s="1088"/>
      <c r="D54" s="1087"/>
      <c r="E54" s="1088"/>
      <c r="F54" s="1088"/>
      <c r="G54" s="549"/>
      <c r="H54" s="829">
        <v>270</v>
      </c>
      <c r="I54" s="828" t="s">
        <v>101</v>
      </c>
      <c r="J54" s="543" t="s">
        <v>36</v>
      </c>
      <c r="K54" s="544">
        <v>12</v>
      </c>
      <c r="L54" s="544">
        <v>12</v>
      </c>
      <c r="M54" s="1093"/>
      <c r="N54" s="1082"/>
      <c r="O54" s="1087"/>
      <c r="P54" s="621" t="s">
        <v>46</v>
      </c>
      <c r="Q54" s="546"/>
      <c r="R54" s="546"/>
      <c r="S54" s="546"/>
      <c r="T54" s="546"/>
      <c r="U54" s="546"/>
      <c r="V54" s="546"/>
      <c r="W54" s="546"/>
      <c r="X54" s="546"/>
      <c r="Y54" s="546"/>
      <c r="Z54" s="546"/>
      <c r="AA54" s="546"/>
      <c r="AB54" s="546"/>
      <c r="AC54" s="546"/>
      <c r="AD54" s="546"/>
      <c r="AE54" s="550">
        <v>21000000</v>
      </c>
      <c r="AF54" s="547"/>
      <c r="AG54" s="547"/>
      <c r="AH54" s="547"/>
      <c r="AI54" s="900">
        <f t="shared" si="2"/>
        <v>21000000</v>
      </c>
    </row>
    <row r="55" spans="1:35" s="539" customFormat="1" ht="85.5" customHeight="1" x14ac:dyDescent="0.25">
      <c r="A55" s="919"/>
      <c r="B55" s="549"/>
      <c r="C55" s="1088"/>
      <c r="D55" s="1087"/>
      <c r="E55" s="1088"/>
      <c r="F55" s="1088"/>
      <c r="G55" s="549"/>
      <c r="H55" s="829">
        <v>271</v>
      </c>
      <c r="I55" s="828" t="s">
        <v>102</v>
      </c>
      <c r="J55" s="543">
        <v>12</v>
      </c>
      <c r="K55" s="544">
        <v>12</v>
      </c>
      <c r="L55" s="544">
        <v>12</v>
      </c>
      <c r="M55" s="1093"/>
      <c r="N55" s="1082"/>
      <c r="O55" s="1087"/>
      <c r="P55" s="621" t="s">
        <v>46</v>
      </c>
      <c r="Q55" s="546"/>
      <c r="R55" s="546"/>
      <c r="S55" s="546"/>
      <c r="T55" s="546"/>
      <c r="U55" s="546"/>
      <c r="V55" s="546"/>
      <c r="W55" s="546"/>
      <c r="X55" s="546"/>
      <c r="Y55" s="546"/>
      <c r="Z55" s="546"/>
      <c r="AA55" s="546"/>
      <c r="AB55" s="546"/>
      <c r="AC55" s="546"/>
      <c r="AD55" s="546"/>
      <c r="AE55" s="550">
        <f>38200000+2030000</f>
        <v>40230000</v>
      </c>
      <c r="AF55" s="547"/>
      <c r="AG55" s="547"/>
      <c r="AH55" s="547"/>
      <c r="AI55" s="900">
        <f t="shared" si="2"/>
        <v>40230000</v>
      </c>
    </row>
    <row r="56" spans="1:35" s="539" customFormat="1" ht="123" customHeight="1" x14ac:dyDescent="0.25">
      <c r="A56" s="919"/>
      <c r="B56" s="549"/>
      <c r="C56" s="1088"/>
      <c r="D56" s="1087"/>
      <c r="E56" s="1088"/>
      <c r="F56" s="1088"/>
      <c r="G56" s="549"/>
      <c r="H56" s="829">
        <v>272</v>
      </c>
      <c r="I56" s="828" t="s">
        <v>103</v>
      </c>
      <c r="J56" s="543" t="s">
        <v>36</v>
      </c>
      <c r="K56" s="544">
        <v>12</v>
      </c>
      <c r="L56" s="544">
        <v>12</v>
      </c>
      <c r="M56" s="1093"/>
      <c r="N56" s="1082"/>
      <c r="O56" s="1087"/>
      <c r="P56" s="621" t="s">
        <v>46</v>
      </c>
      <c r="Q56" s="546"/>
      <c r="R56" s="546"/>
      <c r="S56" s="546"/>
      <c r="T56" s="546"/>
      <c r="U56" s="546"/>
      <c r="V56" s="546"/>
      <c r="W56" s="546"/>
      <c r="X56" s="546"/>
      <c r="Y56" s="546"/>
      <c r="Z56" s="546"/>
      <c r="AA56" s="546"/>
      <c r="AB56" s="546"/>
      <c r="AC56" s="546"/>
      <c r="AD56" s="546"/>
      <c r="AE56" s="550">
        <f>38200000+2030000</f>
        <v>40230000</v>
      </c>
      <c r="AF56" s="547"/>
      <c r="AG56" s="547"/>
      <c r="AH56" s="547"/>
      <c r="AI56" s="900">
        <f t="shared" si="2"/>
        <v>40230000</v>
      </c>
    </row>
    <row r="57" spans="1:35" s="539" customFormat="1" ht="122.25" customHeight="1" x14ac:dyDescent="0.25">
      <c r="A57" s="919"/>
      <c r="B57" s="549"/>
      <c r="C57" s="1088"/>
      <c r="D57" s="1087"/>
      <c r="E57" s="1088"/>
      <c r="F57" s="1088"/>
      <c r="G57" s="549"/>
      <c r="H57" s="829">
        <v>273</v>
      </c>
      <c r="I57" s="828" t="s">
        <v>104</v>
      </c>
      <c r="J57" s="543">
        <v>12</v>
      </c>
      <c r="K57" s="544">
        <v>12</v>
      </c>
      <c r="L57" s="544">
        <v>12</v>
      </c>
      <c r="M57" s="1093"/>
      <c r="N57" s="1082"/>
      <c r="O57" s="1087"/>
      <c r="P57" s="621" t="s">
        <v>46</v>
      </c>
      <c r="Q57" s="546"/>
      <c r="R57" s="546"/>
      <c r="S57" s="546"/>
      <c r="T57" s="546"/>
      <c r="U57" s="546"/>
      <c r="V57" s="546"/>
      <c r="W57" s="546"/>
      <c r="X57" s="546"/>
      <c r="Y57" s="546"/>
      <c r="Z57" s="546"/>
      <c r="AA57" s="546"/>
      <c r="AB57" s="546"/>
      <c r="AC57" s="546"/>
      <c r="AD57" s="546"/>
      <c r="AE57" s="550">
        <v>1900000</v>
      </c>
      <c r="AF57" s="547"/>
      <c r="AG57" s="547"/>
      <c r="AH57" s="547"/>
      <c r="AI57" s="900">
        <f t="shared" si="2"/>
        <v>1900000</v>
      </c>
    </row>
    <row r="58" spans="1:35" s="539" customFormat="1" ht="102" customHeight="1" x14ac:dyDescent="0.25">
      <c r="A58" s="919"/>
      <c r="B58" s="549"/>
      <c r="C58" s="1088"/>
      <c r="D58" s="1087"/>
      <c r="E58" s="1088"/>
      <c r="F58" s="1088"/>
      <c r="G58" s="549"/>
      <c r="H58" s="829">
        <v>274</v>
      </c>
      <c r="I58" s="828" t="s">
        <v>105</v>
      </c>
      <c r="J58" s="543" t="s">
        <v>36</v>
      </c>
      <c r="K58" s="544">
        <v>12</v>
      </c>
      <c r="L58" s="544">
        <v>12</v>
      </c>
      <c r="M58" s="1093"/>
      <c r="N58" s="1082"/>
      <c r="O58" s="1087"/>
      <c r="P58" s="621" t="s">
        <v>46</v>
      </c>
      <c r="Q58" s="546"/>
      <c r="R58" s="546"/>
      <c r="S58" s="546"/>
      <c r="T58" s="546"/>
      <c r="U58" s="546"/>
      <c r="V58" s="546"/>
      <c r="W58" s="546"/>
      <c r="X58" s="546"/>
      <c r="Y58" s="546"/>
      <c r="Z58" s="546"/>
      <c r="AA58" s="546"/>
      <c r="AB58" s="546"/>
      <c r="AC58" s="546"/>
      <c r="AD58" s="546"/>
      <c r="AE58" s="550">
        <f>20500000+15660000</f>
        <v>36160000</v>
      </c>
      <c r="AF58" s="547"/>
      <c r="AG58" s="547"/>
      <c r="AH58" s="547"/>
      <c r="AI58" s="900">
        <f t="shared" si="2"/>
        <v>36160000</v>
      </c>
    </row>
    <row r="59" spans="1:35" s="539" customFormat="1" ht="111.75" customHeight="1" x14ac:dyDescent="0.25">
      <c r="A59" s="919"/>
      <c r="B59" s="549"/>
      <c r="C59" s="1086"/>
      <c r="D59" s="1081"/>
      <c r="E59" s="1086"/>
      <c r="F59" s="1086"/>
      <c r="G59" s="624"/>
      <c r="H59" s="829">
        <v>260</v>
      </c>
      <c r="I59" s="828" t="s">
        <v>106</v>
      </c>
      <c r="J59" s="543">
        <v>12</v>
      </c>
      <c r="K59" s="544">
        <v>12</v>
      </c>
      <c r="L59" s="544">
        <v>12</v>
      </c>
      <c r="M59" s="1094"/>
      <c r="N59" s="1083"/>
      <c r="O59" s="1081"/>
      <c r="P59" s="621" t="s">
        <v>46</v>
      </c>
      <c r="Q59" s="546"/>
      <c r="R59" s="546"/>
      <c r="S59" s="546"/>
      <c r="T59" s="546"/>
      <c r="U59" s="546"/>
      <c r="V59" s="546"/>
      <c r="W59" s="546"/>
      <c r="X59" s="546"/>
      <c r="Y59" s="546"/>
      <c r="Z59" s="546"/>
      <c r="AA59" s="546"/>
      <c r="AB59" s="546"/>
      <c r="AC59" s="546"/>
      <c r="AD59" s="546"/>
      <c r="AE59" s="550">
        <v>16387634</v>
      </c>
      <c r="AF59" s="547"/>
      <c r="AG59" s="547"/>
      <c r="AH59" s="547"/>
      <c r="AI59" s="900">
        <f t="shared" si="2"/>
        <v>16387634</v>
      </c>
    </row>
    <row r="60" spans="1:35" ht="15" x14ac:dyDescent="0.25">
      <c r="A60" s="917"/>
      <c r="B60" s="3"/>
      <c r="C60" s="851"/>
      <c r="D60" s="832"/>
      <c r="E60" s="851"/>
      <c r="F60" s="851"/>
      <c r="G60" s="208"/>
      <c r="H60" s="209"/>
      <c r="I60" s="208"/>
      <c r="J60" s="223"/>
      <c r="K60" s="224"/>
      <c r="L60" s="224"/>
      <c r="M60" s="223"/>
      <c r="N60" s="593"/>
      <c r="O60" s="208"/>
      <c r="P60" s="209"/>
      <c r="Q60" s="225"/>
      <c r="R60" s="225"/>
      <c r="S60" s="225"/>
      <c r="T60" s="225"/>
      <c r="U60" s="225"/>
      <c r="V60" s="225"/>
      <c r="W60" s="225"/>
      <c r="X60" s="225"/>
      <c r="Y60" s="225">
        <f>SUM(Y42:Y59)</f>
        <v>0</v>
      </c>
      <c r="Z60" s="225"/>
      <c r="AA60" s="225"/>
      <c r="AB60" s="225">
        <f>SUM(AB42:AB59)</f>
        <v>0</v>
      </c>
      <c r="AC60" s="225"/>
      <c r="AD60" s="225"/>
      <c r="AE60" s="225">
        <f>SUM(AE42:AE59)</f>
        <v>1293487634</v>
      </c>
      <c r="AF60" s="225"/>
      <c r="AG60" s="225"/>
      <c r="AH60" s="225"/>
      <c r="AI60" s="925">
        <f>SUM(AI42:AI59)</f>
        <v>1293487634</v>
      </c>
    </row>
    <row r="61" spans="1:35" ht="15" x14ac:dyDescent="0.25">
      <c r="A61" s="897"/>
      <c r="B61" s="151"/>
      <c r="C61" s="152"/>
      <c r="D61" s="151"/>
      <c r="E61" s="152"/>
      <c r="F61" s="152"/>
      <c r="G61" s="151"/>
      <c r="H61" s="152"/>
      <c r="I61" s="151"/>
      <c r="J61" s="153"/>
      <c r="K61" s="226"/>
      <c r="L61" s="226"/>
      <c r="M61" s="153"/>
      <c r="N61" s="585"/>
      <c r="O61" s="151"/>
      <c r="P61" s="152"/>
      <c r="Q61" s="154"/>
      <c r="R61" s="154"/>
      <c r="S61" s="154"/>
      <c r="T61" s="154"/>
      <c r="U61" s="154"/>
      <c r="V61" s="154"/>
      <c r="W61" s="154"/>
      <c r="X61" s="154"/>
      <c r="Y61" s="154">
        <f>Y60</f>
        <v>0</v>
      </c>
      <c r="Z61" s="154"/>
      <c r="AA61" s="154"/>
      <c r="AB61" s="154">
        <f>AB60</f>
        <v>0</v>
      </c>
      <c r="AC61" s="154"/>
      <c r="AD61" s="154"/>
      <c r="AE61" s="154">
        <f>AE60</f>
        <v>1293487634</v>
      </c>
      <c r="AF61" s="154"/>
      <c r="AG61" s="154"/>
      <c r="AH61" s="154"/>
      <c r="AI61" s="906">
        <f>AI60</f>
        <v>1293487634</v>
      </c>
    </row>
    <row r="62" spans="1:35" s="25" customFormat="1" ht="20.25" x14ac:dyDescent="0.25">
      <c r="A62" s="907"/>
      <c r="B62" s="155"/>
      <c r="C62" s="67"/>
      <c r="D62" s="155"/>
      <c r="E62" s="67"/>
      <c r="F62" s="67"/>
      <c r="G62" s="155"/>
      <c r="H62" s="67"/>
      <c r="I62" s="155"/>
      <c r="J62" s="156"/>
      <c r="K62" s="227"/>
      <c r="L62" s="227"/>
      <c r="M62" s="156"/>
      <c r="N62" s="586"/>
      <c r="O62" s="155"/>
      <c r="P62" s="67"/>
      <c r="Q62" s="157"/>
      <c r="R62" s="157"/>
      <c r="S62" s="157"/>
      <c r="T62" s="157"/>
      <c r="U62" s="157"/>
      <c r="V62" s="157"/>
      <c r="W62" s="157"/>
      <c r="X62" s="157"/>
      <c r="Y62" s="157">
        <f>Y32+Y38+Y61</f>
        <v>0</v>
      </c>
      <c r="Z62" s="157"/>
      <c r="AA62" s="157"/>
      <c r="AB62" s="157">
        <f>AB32+AB38+AB61</f>
        <v>0</v>
      </c>
      <c r="AC62" s="157"/>
      <c r="AD62" s="157"/>
      <c r="AE62" s="157">
        <f>AE32+AE38+AE61</f>
        <v>1489487634</v>
      </c>
      <c r="AF62" s="157"/>
      <c r="AG62" s="157"/>
      <c r="AH62" s="157"/>
      <c r="AI62" s="908">
        <f>AI32+AI38+AI61</f>
        <v>1489487634</v>
      </c>
    </row>
    <row r="63" spans="1:35" s="25" customFormat="1" ht="20.25" x14ac:dyDescent="0.25">
      <c r="A63" s="909"/>
      <c r="B63" s="158"/>
      <c r="C63" s="159"/>
      <c r="D63" s="158"/>
      <c r="E63" s="159"/>
      <c r="F63" s="159"/>
      <c r="G63" s="158"/>
      <c r="H63" s="159"/>
      <c r="I63" s="158"/>
      <c r="J63" s="160"/>
      <c r="K63" s="228"/>
      <c r="L63" s="228"/>
      <c r="M63" s="160"/>
      <c r="N63" s="587"/>
      <c r="O63" s="158"/>
      <c r="P63" s="159"/>
      <c r="Q63" s="11"/>
      <c r="R63" s="11"/>
      <c r="S63" s="11"/>
      <c r="T63" s="11"/>
      <c r="U63" s="11"/>
      <c r="V63" s="11"/>
      <c r="W63" s="11"/>
      <c r="X63" s="11"/>
      <c r="Y63" s="11">
        <f>Y62</f>
        <v>0</v>
      </c>
      <c r="Z63" s="11"/>
      <c r="AA63" s="11"/>
      <c r="AB63" s="11">
        <f>AB62</f>
        <v>0</v>
      </c>
      <c r="AC63" s="11"/>
      <c r="AD63" s="11"/>
      <c r="AE63" s="11">
        <f>AE62</f>
        <v>1489487634</v>
      </c>
      <c r="AF63" s="11"/>
      <c r="AG63" s="11"/>
      <c r="AH63" s="11"/>
      <c r="AI63" s="910">
        <f>AI62</f>
        <v>1489487634</v>
      </c>
    </row>
    <row r="64" spans="1:35" s="24" customFormat="1" ht="27.75" customHeight="1" x14ac:dyDescent="0.25">
      <c r="A64" s="926"/>
      <c r="B64" s="927"/>
      <c r="C64" s="928"/>
      <c r="D64" s="927"/>
      <c r="E64" s="928"/>
      <c r="F64" s="928"/>
      <c r="G64" s="927"/>
      <c r="H64" s="928"/>
      <c r="I64" s="927"/>
      <c r="J64" s="929"/>
      <c r="K64" s="930"/>
      <c r="L64" s="930"/>
      <c r="M64" s="929"/>
      <c r="N64" s="931"/>
      <c r="O64" s="927"/>
      <c r="P64" s="567"/>
      <c r="Q64" s="932"/>
      <c r="R64" s="933"/>
      <c r="S64" s="932"/>
      <c r="T64" s="932"/>
      <c r="U64" s="932"/>
      <c r="V64" s="932"/>
      <c r="W64" s="932"/>
      <c r="X64" s="932"/>
      <c r="Y64" s="932"/>
      <c r="Z64" s="932"/>
      <c r="AA64" s="933"/>
      <c r="AB64" s="933"/>
      <c r="AC64" s="932"/>
      <c r="AD64" s="932"/>
      <c r="AE64" s="934"/>
      <c r="AF64" s="932"/>
      <c r="AG64" s="932"/>
      <c r="AH64" s="933"/>
      <c r="AI64" s="935"/>
    </row>
    <row r="65" spans="1:35" ht="24.95" customHeight="1" x14ac:dyDescent="0.25">
      <c r="A65" s="936" t="s">
        <v>107</v>
      </c>
      <c r="B65" s="26"/>
      <c r="C65" s="27"/>
      <c r="D65" s="26"/>
      <c r="E65" s="26"/>
      <c r="F65" s="26"/>
      <c r="G65" s="26"/>
      <c r="H65" s="27"/>
      <c r="I65" s="26"/>
      <c r="J65" s="26"/>
      <c r="K65" s="28"/>
      <c r="L65" s="28"/>
      <c r="M65" s="26"/>
      <c r="N65" s="16"/>
      <c r="O65" s="26"/>
      <c r="P65" s="23"/>
      <c r="Q65" s="229"/>
      <c r="R65" s="229"/>
      <c r="S65" s="229"/>
      <c r="T65" s="229"/>
      <c r="U65" s="229"/>
      <c r="V65" s="229"/>
      <c r="W65" s="229"/>
      <c r="X65" s="229"/>
      <c r="Y65" s="229"/>
      <c r="Z65" s="229"/>
      <c r="AA65" s="229"/>
      <c r="AB65" s="229"/>
      <c r="AC65" s="229"/>
      <c r="AD65" s="229"/>
      <c r="AE65" s="230"/>
      <c r="AF65" s="229"/>
      <c r="AG65" s="229"/>
      <c r="AH65" s="229"/>
      <c r="AI65" s="937"/>
    </row>
    <row r="66" spans="1:35" ht="24.95" customHeight="1" x14ac:dyDescent="0.25">
      <c r="A66" s="893">
        <v>5</v>
      </c>
      <c r="B66" s="77" t="s">
        <v>30</v>
      </c>
      <c r="C66" s="139"/>
      <c r="D66" s="77"/>
      <c r="E66" s="77"/>
      <c r="F66" s="77"/>
      <c r="G66" s="77"/>
      <c r="H66" s="139"/>
      <c r="I66" s="77"/>
      <c r="J66" s="77"/>
      <c r="K66" s="231"/>
      <c r="L66" s="231"/>
      <c r="M66" s="77"/>
      <c r="N66" s="14"/>
      <c r="O66" s="77"/>
      <c r="P66" s="77"/>
      <c r="Q66" s="166"/>
      <c r="R66" s="166"/>
      <c r="S66" s="166"/>
      <c r="T66" s="166"/>
      <c r="U66" s="166"/>
      <c r="V66" s="166"/>
      <c r="W66" s="166"/>
      <c r="X66" s="166"/>
      <c r="Y66" s="166"/>
      <c r="Z66" s="166"/>
      <c r="AA66" s="166"/>
      <c r="AB66" s="166"/>
      <c r="AC66" s="166"/>
      <c r="AD66" s="166"/>
      <c r="AE66" s="167"/>
      <c r="AF66" s="166"/>
      <c r="AG66" s="166"/>
      <c r="AH66" s="166"/>
      <c r="AI66" s="914"/>
    </row>
    <row r="67" spans="1:35" ht="24.95" customHeight="1" x14ac:dyDescent="0.25">
      <c r="A67" s="915"/>
      <c r="B67" s="232">
        <v>28</v>
      </c>
      <c r="C67" s="1095" t="s">
        <v>31</v>
      </c>
      <c r="D67" s="1095"/>
      <c r="E67" s="1095"/>
      <c r="F67" s="87"/>
      <c r="G67" s="87"/>
      <c r="H67" s="838"/>
      <c r="I67" s="87"/>
      <c r="J67" s="87"/>
      <c r="K67" s="233"/>
      <c r="L67" s="233"/>
      <c r="M67" s="87"/>
      <c r="N67" s="15"/>
      <c r="O67" s="87"/>
      <c r="P67" s="87"/>
      <c r="Q67" s="169"/>
      <c r="R67" s="169"/>
      <c r="S67" s="169"/>
      <c r="T67" s="169"/>
      <c r="U67" s="169"/>
      <c r="V67" s="169"/>
      <c r="W67" s="169"/>
      <c r="X67" s="169"/>
      <c r="Y67" s="169"/>
      <c r="Z67" s="169"/>
      <c r="AA67" s="169"/>
      <c r="AB67" s="169"/>
      <c r="AC67" s="169"/>
      <c r="AD67" s="169"/>
      <c r="AE67" s="170"/>
      <c r="AF67" s="169"/>
      <c r="AG67" s="169"/>
      <c r="AH67" s="169"/>
      <c r="AI67" s="916"/>
    </row>
    <row r="68" spans="1:35" ht="24.95" customHeight="1" x14ac:dyDescent="0.25">
      <c r="A68" s="917"/>
      <c r="B68" s="168"/>
      <c r="C68" s="234"/>
      <c r="D68" s="173"/>
      <c r="E68" s="173"/>
      <c r="F68" s="174"/>
      <c r="G68" s="175">
        <v>88</v>
      </c>
      <c r="H68" s="78" t="s">
        <v>108</v>
      </c>
      <c r="I68" s="81"/>
      <c r="J68" s="81"/>
      <c r="K68" s="235"/>
      <c r="L68" s="235"/>
      <c r="M68" s="81"/>
      <c r="N68" s="588"/>
      <c r="O68" s="81"/>
      <c r="P68" s="81"/>
      <c r="Q68" s="176"/>
      <c r="R68" s="176"/>
      <c r="S68" s="176"/>
      <c r="T68" s="176"/>
      <c r="U68" s="176"/>
      <c r="V68" s="176"/>
      <c r="W68" s="176"/>
      <c r="X68" s="176"/>
      <c r="Y68" s="176"/>
      <c r="Z68" s="176"/>
      <c r="AA68" s="176"/>
      <c r="AB68" s="176"/>
      <c r="AC68" s="176"/>
      <c r="AD68" s="176"/>
      <c r="AE68" s="177"/>
      <c r="AF68" s="176"/>
      <c r="AG68" s="176"/>
      <c r="AH68" s="176"/>
      <c r="AI68" s="918"/>
    </row>
    <row r="69" spans="1:35" s="539" customFormat="1" ht="66.75" customHeight="1" x14ac:dyDescent="0.25">
      <c r="A69" s="919"/>
      <c r="B69" s="615"/>
      <c r="C69" s="1096">
        <v>38</v>
      </c>
      <c r="D69" s="1080" t="s">
        <v>47</v>
      </c>
      <c r="E69" s="1085">
        <v>0</v>
      </c>
      <c r="F69" s="1085">
        <v>2</v>
      </c>
      <c r="G69" s="542"/>
      <c r="H69" s="821">
        <v>275</v>
      </c>
      <c r="I69" s="817" t="s">
        <v>109</v>
      </c>
      <c r="J69" s="635" t="s">
        <v>36</v>
      </c>
      <c r="K69" s="622">
        <v>4</v>
      </c>
      <c r="L69" s="544">
        <v>4</v>
      </c>
      <c r="M69" s="1093" t="s">
        <v>37</v>
      </c>
      <c r="N69" s="1084" t="s">
        <v>110</v>
      </c>
      <c r="O69" s="1080" t="s">
        <v>111</v>
      </c>
      <c r="P69" s="821" t="s">
        <v>46</v>
      </c>
      <c r="Q69" s="636"/>
      <c r="R69" s="636"/>
      <c r="S69" s="636"/>
      <c r="T69" s="637"/>
      <c r="U69" s="638"/>
      <c r="V69" s="638"/>
      <c r="W69" s="636"/>
      <c r="X69" s="636"/>
      <c r="Y69" s="636"/>
      <c r="Z69" s="636"/>
      <c r="AA69" s="636"/>
      <c r="AB69" s="636"/>
      <c r="AC69" s="636"/>
      <c r="AD69" s="636"/>
      <c r="AE69" s="550">
        <f>952473039+359941904-25058096-44941904</f>
        <v>1242414943</v>
      </c>
      <c r="AF69" s="636"/>
      <c r="AG69" s="636"/>
      <c r="AH69" s="636"/>
      <c r="AI69" s="900">
        <f>+Q69+R69+S69+T69+U69+V69+W69+X69+Y69+Z69+AA69+AB69+AC69+AD69+AE69+AF69+AG69+AH69</f>
        <v>1242414943</v>
      </c>
    </row>
    <row r="70" spans="1:35" s="539" customFormat="1" ht="63" customHeight="1" x14ac:dyDescent="0.25">
      <c r="A70" s="919"/>
      <c r="B70" s="615"/>
      <c r="C70" s="1089"/>
      <c r="D70" s="1087"/>
      <c r="E70" s="1088"/>
      <c r="F70" s="1088"/>
      <c r="G70" s="549"/>
      <c r="H70" s="821">
        <v>276</v>
      </c>
      <c r="I70" s="828" t="s">
        <v>112</v>
      </c>
      <c r="J70" s="543">
        <v>1</v>
      </c>
      <c r="K70" s="544">
        <v>1</v>
      </c>
      <c r="L70" s="544">
        <v>1</v>
      </c>
      <c r="M70" s="1093"/>
      <c r="N70" s="1082"/>
      <c r="O70" s="1087"/>
      <c r="P70" s="829" t="s">
        <v>46</v>
      </c>
      <c r="Q70" s="636"/>
      <c r="R70" s="636"/>
      <c r="S70" s="636"/>
      <c r="T70" s="639"/>
      <c r="U70" s="640"/>
      <c r="V70" s="636"/>
      <c r="W70" s="636"/>
      <c r="X70" s="636"/>
      <c r="Y70" s="636"/>
      <c r="Z70" s="636"/>
      <c r="AA70" s="636"/>
      <c r="AB70" s="636"/>
      <c r="AC70" s="636"/>
      <c r="AD70" s="636"/>
      <c r="AE70" s="550">
        <f>240000000+103531048+25058096+44941904</f>
        <v>413531048</v>
      </c>
      <c r="AF70" s="636"/>
      <c r="AG70" s="636"/>
      <c r="AH70" s="636"/>
      <c r="AI70" s="900">
        <f>+Q70+R70+S70+T70+U70+V70+W70+X70+Y70+Z70+AA70+AB70+AC70+AD70+AE70+AF70+AG70+AH70</f>
        <v>413531048</v>
      </c>
    </row>
    <row r="71" spans="1:35" s="641" customFormat="1" ht="63" customHeight="1" x14ac:dyDescent="0.25">
      <c r="A71" s="919"/>
      <c r="B71" s="615"/>
      <c r="C71" s="1090"/>
      <c r="D71" s="1081"/>
      <c r="E71" s="1086"/>
      <c r="F71" s="1086"/>
      <c r="G71" s="549"/>
      <c r="H71" s="821">
        <v>277</v>
      </c>
      <c r="I71" s="828" t="s">
        <v>113</v>
      </c>
      <c r="J71" s="543">
        <v>1</v>
      </c>
      <c r="K71" s="544">
        <v>1</v>
      </c>
      <c r="L71" s="758">
        <v>0.4</v>
      </c>
      <c r="M71" s="1094"/>
      <c r="N71" s="1083"/>
      <c r="O71" s="1081"/>
      <c r="P71" s="829" t="s">
        <v>46</v>
      </c>
      <c r="Q71" s="636"/>
      <c r="R71" s="636"/>
      <c r="S71" s="636"/>
      <c r="T71" s="637"/>
      <c r="U71" s="638">
        <v>250000000</v>
      </c>
      <c r="V71" s="636"/>
      <c r="W71" s="636"/>
      <c r="X71" s="636"/>
      <c r="Y71" s="636"/>
      <c r="Z71" s="636"/>
      <c r="AA71" s="636"/>
      <c r="AB71" s="636"/>
      <c r="AC71" s="636"/>
      <c r="AD71" s="636"/>
      <c r="AE71" s="550">
        <v>0</v>
      </c>
      <c r="AF71" s="547"/>
      <c r="AG71" s="547"/>
      <c r="AH71" s="640"/>
      <c r="AI71" s="900">
        <f>+Q71+R71+S71+T71+U71+V71+W71+X71+Y71+Z71+AA71+AB71+AC71+AD71+AE71+AF71+AG71+AH71</f>
        <v>250000000</v>
      </c>
    </row>
    <row r="72" spans="1:35" s="539" customFormat="1" ht="41.25" customHeight="1" x14ac:dyDescent="0.25">
      <c r="A72" s="919"/>
      <c r="B72" s="615"/>
      <c r="C72" s="1096">
        <v>38</v>
      </c>
      <c r="D72" s="1080" t="s">
        <v>47</v>
      </c>
      <c r="E72" s="1085">
        <v>0</v>
      </c>
      <c r="F72" s="1085">
        <v>2</v>
      </c>
      <c r="G72" s="549"/>
      <c r="H72" s="821">
        <v>278</v>
      </c>
      <c r="I72" s="828" t="s">
        <v>114</v>
      </c>
      <c r="J72" s="543" t="s">
        <v>36</v>
      </c>
      <c r="K72" s="544">
        <v>1</v>
      </c>
      <c r="L72" s="759">
        <v>0.25</v>
      </c>
      <c r="M72" s="1092" t="s">
        <v>37</v>
      </c>
      <c r="N72" s="1084" t="s">
        <v>115</v>
      </c>
      <c r="O72" s="1080" t="s">
        <v>116</v>
      </c>
      <c r="P72" s="829" t="s">
        <v>46</v>
      </c>
      <c r="Q72" s="546"/>
      <c r="R72" s="546"/>
      <c r="S72" s="546"/>
      <c r="T72" s="546"/>
      <c r="U72" s="546"/>
      <c r="V72" s="546"/>
      <c r="W72" s="546"/>
      <c r="X72" s="546"/>
      <c r="Y72" s="546"/>
      <c r="Z72" s="546"/>
      <c r="AA72" s="546"/>
      <c r="AB72" s="546"/>
      <c r="AC72" s="546"/>
      <c r="AD72" s="546"/>
      <c r="AE72" s="550">
        <f>10000000</f>
        <v>10000000</v>
      </c>
      <c r="AF72" s="547"/>
      <c r="AG72" s="547"/>
      <c r="AH72" s="547"/>
      <c r="AI72" s="900">
        <f>+Q72+R72+S72+T72+U72+V72+W72+X72+Y72+Z72+AA72+AB72+AC72+AD72+AE72+AF72+AG72+AH72</f>
        <v>10000000</v>
      </c>
    </row>
    <row r="73" spans="1:35" s="539" customFormat="1" ht="66.75" customHeight="1" x14ac:dyDescent="0.25">
      <c r="A73" s="919"/>
      <c r="B73" s="615"/>
      <c r="C73" s="1090"/>
      <c r="D73" s="1081"/>
      <c r="E73" s="1086"/>
      <c r="F73" s="1086"/>
      <c r="G73" s="624"/>
      <c r="H73" s="821">
        <v>279</v>
      </c>
      <c r="I73" s="828" t="s">
        <v>117</v>
      </c>
      <c r="J73" s="543" t="s">
        <v>36</v>
      </c>
      <c r="K73" s="544">
        <v>1</v>
      </c>
      <c r="L73" s="544">
        <v>1</v>
      </c>
      <c r="M73" s="1094"/>
      <c r="N73" s="1083"/>
      <c r="O73" s="1081"/>
      <c r="P73" s="829" t="s">
        <v>46</v>
      </c>
      <c r="Q73" s="546"/>
      <c r="R73" s="546"/>
      <c r="S73" s="546"/>
      <c r="T73" s="546"/>
      <c r="U73" s="546"/>
      <c r="V73" s="546"/>
      <c r="W73" s="546"/>
      <c r="X73" s="546"/>
      <c r="Y73" s="546"/>
      <c r="Z73" s="546"/>
      <c r="AA73" s="546"/>
      <c r="AB73" s="546"/>
      <c r="AC73" s="546"/>
      <c r="AD73" s="546"/>
      <c r="AE73" s="550">
        <f>306000000+126527048</f>
        <v>432527048</v>
      </c>
      <c r="AF73" s="547"/>
      <c r="AG73" s="547"/>
      <c r="AH73" s="547"/>
      <c r="AI73" s="900">
        <f>+Q73+R73+S73+T73+U73+V73+W73+X73+Y73+Z73+AA73+AB73+AC73+AD73+AE73+AF73+AG73+AH73</f>
        <v>432527048</v>
      </c>
    </row>
    <row r="74" spans="1:35" ht="24.95" customHeight="1" x14ac:dyDescent="0.25">
      <c r="A74" s="917"/>
      <c r="B74" s="237"/>
      <c r="C74" s="865"/>
      <c r="D74" s="7"/>
      <c r="E74" s="7"/>
      <c r="F74" s="7"/>
      <c r="G74" s="147"/>
      <c r="H74" s="148"/>
      <c r="I74" s="147"/>
      <c r="J74" s="149"/>
      <c r="K74" s="196"/>
      <c r="L74" s="196"/>
      <c r="M74" s="149"/>
      <c r="N74" s="584"/>
      <c r="O74" s="147"/>
      <c r="P74" s="148"/>
      <c r="Q74" s="150"/>
      <c r="R74" s="150"/>
      <c r="S74" s="150"/>
      <c r="T74" s="150"/>
      <c r="U74" s="150">
        <f>SUM(U69:U73)</f>
        <v>250000000</v>
      </c>
      <c r="V74" s="150"/>
      <c r="W74" s="150"/>
      <c r="X74" s="150"/>
      <c r="Y74" s="150"/>
      <c r="Z74" s="150"/>
      <c r="AA74" s="150"/>
      <c r="AB74" s="150"/>
      <c r="AC74" s="150"/>
      <c r="AD74" s="150"/>
      <c r="AE74" s="54">
        <f>SUM(AE69:AE73)</f>
        <v>2098473039</v>
      </c>
      <c r="AF74" s="150"/>
      <c r="AG74" s="150"/>
      <c r="AH74" s="150"/>
      <c r="AI74" s="904">
        <f>SUM(AI69:AI73)</f>
        <v>2348473039</v>
      </c>
    </row>
    <row r="75" spans="1:35" ht="24.95" customHeight="1" x14ac:dyDescent="0.25">
      <c r="A75" s="938"/>
      <c r="B75" s="210"/>
      <c r="C75" s="152"/>
      <c r="D75" s="151"/>
      <c r="E75" s="152"/>
      <c r="F75" s="152"/>
      <c r="G75" s="151"/>
      <c r="H75" s="152"/>
      <c r="I75" s="151"/>
      <c r="J75" s="153"/>
      <c r="K75" s="215"/>
      <c r="L75" s="215"/>
      <c r="M75" s="153"/>
      <c r="N75" s="585"/>
      <c r="O75" s="151"/>
      <c r="P75" s="152"/>
      <c r="Q75" s="154"/>
      <c r="R75" s="154"/>
      <c r="S75" s="154"/>
      <c r="T75" s="154"/>
      <c r="U75" s="154">
        <f>U74</f>
        <v>250000000</v>
      </c>
      <c r="V75" s="154"/>
      <c r="W75" s="154"/>
      <c r="X75" s="154"/>
      <c r="Y75" s="154"/>
      <c r="Z75" s="154"/>
      <c r="AA75" s="154"/>
      <c r="AB75" s="154"/>
      <c r="AC75" s="154"/>
      <c r="AD75" s="154"/>
      <c r="AE75" s="238">
        <f>AE74</f>
        <v>2098473039</v>
      </c>
      <c r="AF75" s="154"/>
      <c r="AG75" s="154"/>
      <c r="AH75" s="154"/>
      <c r="AI75" s="906">
        <f t="shared" ref="AI75:AI77" si="3">AI74</f>
        <v>2348473039</v>
      </c>
    </row>
    <row r="76" spans="1:35" ht="24.95" customHeight="1" x14ac:dyDescent="0.25">
      <c r="A76" s="907"/>
      <c r="B76" s="155"/>
      <c r="C76" s="67"/>
      <c r="D76" s="155"/>
      <c r="E76" s="67"/>
      <c r="F76" s="67"/>
      <c r="G76" s="155"/>
      <c r="H76" s="67"/>
      <c r="I76" s="155"/>
      <c r="J76" s="156"/>
      <c r="K76" s="239"/>
      <c r="L76" s="239"/>
      <c r="M76" s="156"/>
      <c r="N76" s="586"/>
      <c r="O76" s="155"/>
      <c r="P76" s="67"/>
      <c r="Q76" s="157"/>
      <c r="R76" s="157"/>
      <c r="S76" s="157"/>
      <c r="T76" s="157"/>
      <c r="U76" s="157">
        <f>U75</f>
        <v>250000000</v>
      </c>
      <c r="V76" s="157"/>
      <c r="W76" s="157"/>
      <c r="X76" s="157"/>
      <c r="Y76" s="157"/>
      <c r="Z76" s="157"/>
      <c r="AA76" s="157"/>
      <c r="AB76" s="157"/>
      <c r="AC76" s="157"/>
      <c r="AD76" s="157"/>
      <c r="AE76" s="240">
        <f>AE75</f>
        <v>2098473039</v>
      </c>
      <c r="AF76" s="157"/>
      <c r="AG76" s="157"/>
      <c r="AH76" s="157"/>
      <c r="AI76" s="908">
        <f t="shared" si="3"/>
        <v>2348473039</v>
      </c>
    </row>
    <row r="77" spans="1:35" ht="24.95" customHeight="1" x14ac:dyDescent="0.25">
      <c r="A77" s="909"/>
      <c r="B77" s="158"/>
      <c r="C77" s="159"/>
      <c r="D77" s="158"/>
      <c r="E77" s="159"/>
      <c r="F77" s="159"/>
      <c r="G77" s="158"/>
      <c r="H77" s="159"/>
      <c r="I77" s="158"/>
      <c r="J77" s="160"/>
      <c r="K77" s="241"/>
      <c r="L77" s="241"/>
      <c r="M77" s="160"/>
      <c r="N77" s="587"/>
      <c r="O77" s="158"/>
      <c r="P77" s="159"/>
      <c r="Q77" s="11"/>
      <c r="R77" s="11"/>
      <c r="S77" s="11"/>
      <c r="T77" s="11"/>
      <c r="U77" s="11">
        <f>U76</f>
        <v>250000000</v>
      </c>
      <c r="V77" s="11"/>
      <c r="W77" s="11"/>
      <c r="X77" s="11"/>
      <c r="Y77" s="11"/>
      <c r="Z77" s="11"/>
      <c r="AA77" s="11"/>
      <c r="AB77" s="11"/>
      <c r="AC77" s="11"/>
      <c r="AD77" s="11"/>
      <c r="AE77" s="242">
        <f>AE76</f>
        <v>2098473039</v>
      </c>
      <c r="AF77" s="11"/>
      <c r="AG77" s="11"/>
      <c r="AH77" s="11"/>
      <c r="AI77" s="910">
        <f t="shared" si="3"/>
        <v>2348473039</v>
      </c>
    </row>
    <row r="78" spans="1:35" ht="36" customHeight="1" x14ac:dyDescent="0.25">
      <c r="A78" s="911"/>
      <c r="B78" s="161"/>
      <c r="C78" s="845"/>
      <c r="D78" s="161"/>
      <c r="E78" s="845"/>
      <c r="F78" s="845"/>
      <c r="G78" s="161"/>
      <c r="H78" s="845"/>
      <c r="I78" s="161"/>
      <c r="J78" s="162"/>
      <c r="K78" s="188"/>
      <c r="L78" s="188"/>
      <c r="M78" s="162"/>
      <c r="N78" s="21"/>
      <c r="O78" s="161"/>
      <c r="P78" s="845"/>
      <c r="Q78" s="12"/>
      <c r="R78" s="163"/>
      <c r="S78" s="12"/>
      <c r="T78" s="12"/>
      <c r="U78" s="12"/>
      <c r="V78" s="12"/>
      <c r="W78" s="12"/>
      <c r="X78" s="12"/>
      <c r="Y78" s="12"/>
      <c r="Z78" s="12"/>
      <c r="AA78" s="163"/>
      <c r="AB78" s="163"/>
      <c r="AC78" s="12"/>
      <c r="AD78" s="12"/>
      <c r="AE78" s="64"/>
      <c r="AF78" s="12"/>
      <c r="AG78" s="12"/>
      <c r="AH78" s="163"/>
      <c r="AI78" s="939"/>
    </row>
    <row r="79" spans="1:35" ht="24.95" customHeight="1" x14ac:dyDescent="0.25">
      <c r="A79" s="891" t="s">
        <v>118</v>
      </c>
      <c r="B79" s="22"/>
      <c r="C79" s="23"/>
      <c r="D79" s="22"/>
      <c r="E79" s="22"/>
      <c r="F79" s="22"/>
      <c r="G79" s="22"/>
      <c r="H79" s="23"/>
      <c r="I79" s="22"/>
      <c r="J79" s="22"/>
      <c r="K79" s="29"/>
      <c r="L79" s="29"/>
      <c r="M79" s="22"/>
      <c r="N79" s="13"/>
      <c r="O79" s="22"/>
      <c r="P79" s="23"/>
      <c r="Q79" s="164"/>
      <c r="R79" s="164"/>
      <c r="S79" s="164"/>
      <c r="T79" s="164"/>
      <c r="U79" s="164"/>
      <c r="V79" s="164"/>
      <c r="W79" s="164"/>
      <c r="X79" s="164"/>
      <c r="Y79" s="164"/>
      <c r="Z79" s="164"/>
      <c r="AA79" s="164"/>
      <c r="AB79" s="164"/>
      <c r="AC79" s="164"/>
      <c r="AD79" s="164"/>
      <c r="AE79" s="165"/>
      <c r="AF79" s="164"/>
      <c r="AG79" s="164"/>
      <c r="AH79" s="164"/>
      <c r="AI79" s="913"/>
    </row>
    <row r="80" spans="1:35" ht="24.95" customHeight="1" x14ac:dyDescent="0.25">
      <c r="A80" s="893">
        <v>2</v>
      </c>
      <c r="B80" s="77" t="s">
        <v>119</v>
      </c>
      <c r="C80" s="139"/>
      <c r="D80" s="77"/>
      <c r="E80" s="77"/>
      <c r="F80" s="77"/>
      <c r="G80" s="77"/>
      <c r="H80" s="139"/>
      <c r="I80" s="77"/>
      <c r="J80" s="77"/>
      <c r="K80" s="243"/>
      <c r="L80" s="243"/>
      <c r="M80" s="77"/>
      <c r="N80" s="14"/>
      <c r="O80" s="77"/>
      <c r="P80" s="77"/>
      <c r="Q80" s="166"/>
      <c r="R80" s="166"/>
      <c r="S80" s="166"/>
      <c r="T80" s="166"/>
      <c r="U80" s="166"/>
      <c r="V80" s="166"/>
      <c r="W80" s="166"/>
      <c r="X80" s="166"/>
      <c r="Y80" s="166"/>
      <c r="Z80" s="166"/>
      <c r="AA80" s="166"/>
      <c r="AB80" s="166"/>
      <c r="AC80" s="166"/>
      <c r="AD80" s="166"/>
      <c r="AE80" s="167"/>
      <c r="AF80" s="166"/>
      <c r="AG80" s="166"/>
      <c r="AH80" s="166"/>
      <c r="AI80" s="914"/>
    </row>
    <row r="81" spans="1:35" ht="24.95" customHeight="1" x14ac:dyDescent="0.25">
      <c r="A81" s="915"/>
      <c r="B81" s="232">
        <v>4</v>
      </c>
      <c r="C81" s="837" t="s">
        <v>120</v>
      </c>
      <c r="D81" s="87"/>
      <c r="E81" s="87"/>
      <c r="F81" s="87"/>
      <c r="G81" s="87"/>
      <c r="H81" s="838"/>
      <c r="I81" s="87"/>
      <c r="J81" s="87"/>
      <c r="K81" s="204"/>
      <c r="L81" s="204"/>
      <c r="M81" s="87"/>
      <c r="N81" s="15"/>
      <c r="O81" s="87"/>
      <c r="P81" s="87"/>
      <c r="Q81" s="169"/>
      <c r="R81" s="169"/>
      <c r="S81" s="169"/>
      <c r="T81" s="169"/>
      <c r="U81" s="169"/>
      <c r="V81" s="169"/>
      <c r="W81" s="169"/>
      <c r="X81" s="169"/>
      <c r="Y81" s="169"/>
      <c r="Z81" s="169"/>
      <c r="AA81" s="169"/>
      <c r="AB81" s="169"/>
      <c r="AC81" s="169"/>
      <c r="AD81" s="169"/>
      <c r="AE81" s="170"/>
      <c r="AF81" s="169"/>
      <c r="AG81" s="169"/>
      <c r="AH81" s="169"/>
      <c r="AI81" s="916"/>
    </row>
    <row r="82" spans="1:35" ht="24.95" customHeight="1" x14ac:dyDescent="0.25">
      <c r="A82" s="917"/>
      <c r="B82" s="140"/>
      <c r="C82" s="234"/>
      <c r="D82" s="173"/>
      <c r="E82" s="173"/>
      <c r="F82" s="174"/>
      <c r="G82" s="175">
        <v>14</v>
      </c>
      <c r="H82" s="81" t="s">
        <v>121</v>
      </c>
      <c r="I82" s="81"/>
      <c r="J82" s="81"/>
      <c r="K82" s="207"/>
      <c r="L82" s="207"/>
      <c r="M82" s="81"/>
      <c r="N82" s="588"/>
      <c r="O82" s="81"/>
      <c r="P82" s="81"/>
      <c r="Q82" s="176"/>
      <c r="R82" s="176"/>
      <c r="S82" s="176"/>
      <c r="T82" s="176"/>
      <c r="U82" s="176"/>
      <c r="V82" s="176"/>
      <c r="W82" s="176"/>
      <c r="X82" s="176"/>
      <c r="Y82" s="176"/>
      <c r="Z82" s="176"/>
      <c r="AA82" s="176"/>
      <c r="AB82" s="176"/>
      <c r="AC82" s="176"/>
      <c r="AD82" s="176"/>
      <c r="AE82" s="177"/>
      <c r="AF82" s="176"/>
      <c r="AG82" s="176"/>
      <c r="AH82" s="176"/>
      <c r="AI82" s="918"/>
    </row>
    <row r="83" spans="1:35" s="539" customFormat="1" ht="78" customHeight="1" x14ac:dyDescent="0.25">
      <c r="A83" s="919"/>
      <c r="B83" s="940"/>
      <c r="C83" s="1085">
        <v>9</v>
      </c>
      <c r="D83" s="1080" t="s">
        <v>122</v>
      </c>
      <c r="E83" s="1085">
        <v>59</v>
      </c>
      <c r="F83" s="1085">
        <v>87</v>
      </c>
      <c r="G83" s="549"/>
      <c r="H83" s="642">
        <v>54</v>
      </c>
      <c r="I83" s="828" t="s">
        <v>123</v>
      </c>
      <c r="J83" s="829">
        <v>129.85</v>
      </c>
      <c r="K83" s="620">
        <v>130</v>
      </c>
      <c r="L83" s="776">
        <v>199.51</v>
      </c>
      <c r="M83" s="1085" t="s">
        <v>124</v>
      </c>
      <c r="N83" s="1084" t="s">
        <v>125</v>
      </c>
      <c r="O83" s="1080" t="s">
        <v>126</v>
      </c>
      <c r="P83" s="829" t="s">
        <v>46</v>
      </c>
      <c r="Q83" s="546"/>
      <c r="R83" s="546"/>
      <c r="S83" s="546"/>
      <c r="T83" s="546"/>
      <c r="U83" s="546"/>
      <c r="V83" s="553">
        <v>459573502</v>
      </c>
      <c r="W83" s="546"/>
      <c r="X83" s="546"/>
      <c r="Y83" s="546"/>
      <c r="Z83" s="546"/>
      <c r="AA83" s="546"/>
      <c r="AB83" s="546"/>
      <c r="AC83" s="546"/>
      <c r="AD83" s="546"/>
      <c r="AE83" s="550">
        <v>393689004</v>
      </c>
      <c r="AF83" s="547"/>
      <c r="AG83" s="547">
        <f>2320000000+1565383782</f>
        <v>3885383782</v>
      </c>
      <c r="AH83" s="547"/>
      <c r="AI83" s="900">
        <f>+Q83+R83+S83+T83+U83+V83+W83+X83+Y83+Z83+AA83+AB83+AC83+AD83+AE83+AF83+AG83+AH83</f>
        <v>4738646288</v>
      </c>
    </row>
    <row r="84" spans="1:35" s="539" customFormat="1" ht="62.25" customHeight="1" x14ac:dyDescent="0.25">
      <c r="A84" s="919"/>
      <c r="B84" s="940"/>
      <c r="C84" s="1088"/>
      <c r="D84" s="1087"/>
      <c r="E84" s="1088"/>
      <c r="F84" s="1086"/>
      <c r="G84" s="549"/>
      <c r="H84" s="829">
        <v>55</v>
      </c>
      <c r="I84" s="828" t="s">
        <v>127</v>
      </c>
      <c r="J84" s="829">
        <v>12</v>
      </c>
      <c r="K84" s="620">
        <v>12</v>
      </c>
      <c r="L84" s="620">
        <v>9</v>
      </c>
      <c r="M84" s="1088"/>
      <c r="N84" s="1082"/>
      <c r="O84" s="1087"/>
      <c r="P84" s="829" t="s">
        <v>46</v>
      </c>
      <c r="Q84" s="546"/>
      <c r="R84" s="546"/>
      <c r="S84" s="546"/>
      <c r="T84" s="546"/>
      <c r="U84" s="546"/>
      <c r="V84" s="553">
        <f>500000000+42594386</f>
        <v>542594386</v>
      </c>
      <c r="W84" s="546"/>
      <c r="X84" s="546"/>
      <c r="Y84" s="546"/>
      <c r="Z84" s="546"/>
      <c r="AA84" s="546"/>
      <c r="AB84" s="546"/>
      <c r="AC84" s="546"/>
      <c r="AD84" s="546"/>
      <c r="AE84" s="550">
        <v>185000000</v>
      </c>
      <c r="AF84" s="547"/>
      <c r="AG84" s="547">
        <v>800000000</v>
      </c>
      <c r="AH84" s="547"/>
      <c r="AI84" s="900">
        <f>+Q84+R84+S84+T84+U84+V84+W84+X84+Y84+Z84+AA84+AB84+AC84+AD84+AE84+AF84+AG84+AH84</f>
        <v>1527594386</v>
      </c>
    </row>
    <row r="85" spans="1:35" ht="15" x14ac:dyDescent="0.25">
      <c r="A85" s="917"/>
      <c r="B85" s="941"/>
      <c r="C85" s="865"/>
      <c r="D85" s="565"/>
      <c r="E85" s="865"/>
      <c r="F85" s="865"/>
      <c r="G85" s="147"/>
      <c r="H85" s="148"/>
      <c r="I85" s="147"/>
      <c r="J85" s="148"/>
      <c r="K85" s="247"/>
      <c r="L85" s="247"/>
      <c r="M85" s="148"/>
      <c r="N85" s="584"/>
      <c r="O85" s="147"/>
      <c r="P85" s="148"/>
      <c r="Q85" s="150"/>
      <c r="R85" s="150"/>
      <c r="S85" s="150"/>
      <c r="T85" s="150"/>
      <c r="U85" s="150"/>
      <c r="V85" s="150">
        <f t="shared" ref="V85:AI85" si="4">SUM(V83:V84)</f>
        <v>1002167888</v>
      </c>
      <c r="W85" s="150">
        <f t="shared" si="4"/>
        <v>0</v>
      </c>
      <c r="X85" s="150">
        <f t="shared" si="4"/>
        <v>0</v>
      </c>
      <c r="Y85" s="150">
        <f t="shared" si="4"/>
        <v>0</v>
      </c>
      <c r="Z85" s="150">
        <f t="shared" si="4"/>
        <v>0</v>
      </c>
      <c r="AA85" s="150">
        <f t="shared" si="4"/>
        <v>0</v>
      </c>
      <c r="AB85" s="150">
        <f t="shared" si="4"/>
        <v>0</v>
      </c>
      <c r="AC85" s="150">
        <f t="shared" si="4"/>
        <v>0</v>
      </c>
      <c r="AD85" s="150">
        <f t="shared" si="4"/>
        <v>0</v>
      </c>
      <c r="AE85" s="150">
        <f t="shared" si="4"/>
        <v>578689004</v>
      </c>
      <c r="AF85" s="150">
        <f t="shared" si="4"/>
        <v>0</v>
      </c>
      <c r="AG85" s="150">
        <f t="shared" si="4"/>
        <v>4685383782</v>
      </c>
      <c r="AH85" s="150">
        <f t="shared" si="4"/>
        <v>0</v>
      </c>
      <c r="AI85" s="904">
        <f t="shared" si="4"/>
        <v>6266240674</v>
      </c>
    </row>
    <row r="86" spans="1:35" ht="15" x14ac:dyDescent="0.25">
      <c r="A86" s="917"/>
      <c r="B86" s="941"/>
      <c r="C86" s="865"/>
      <c r="D86" s="565"/>
      <c r="E86" s="865"/>
      <c r="F86" s="865"/>
      <c r="G86" s="565"/>
      <c r="H86" s="865"/>
      <c r="I86" s="565"/>
      <c r="J86" s="865"/>
      <c r="K86" s="222"/>
      <c r="L86" s="222"/>
      <c r="M86" s="865"/>
      <c r="N86" s="568"/>
      <c r="O86" s="565"/>
      <c r="P86" s="865"/>
      <c r="Q86" s="9"/>
      <c r="R86" s="248"/>
      <c r="S86" s="9"/>
      <c r="T86" s="9"/>
      <c r="U86" s="9"/>
      <c r="V86" s="9"/>
      <c r="W86" s="9"/>
      <c r="X86" s="9"/>
      <c r="Y86" s="9"/>
      <c r="Z86" s="9"/>
      <c r="AA86" s="248"/>
      <c r="AB86" s="248"/>
      <c r="AC86" s="9"/>
      <c r="AD86" s="9"/>
      <c r="AE86" s="249"/>
      <c r="AF86" s="61"/>
      <c r="AG86" s="61"/>
      <c r="AH86" s="246"/>
      <c r="AI86" s="942"/>
    </row>
    <row r="87" spans="1:35" x14ac:dyDescent="0.25">
      <c r="A87" s="917"/>
      <c r="B87" s="941"/>
      <c r="C87" s="250"/>
      <c r="D87" s="205"/>
      <c r="E87" s="205"/>
      <c r="F87" s="206"/>
      <c r="G87" s="251">
        <v>15</v>
      </c>
      <c r="H87" s="82" t="s">
        <v>128</v>
      </c>
      <c r="I87" s="81"/>
      <c r="J87" s="81"/>
      <c r="K87" s="235"/>
      <c r="L87" s="235"/>
      <c r="M87" s="81"/>
      <c r="N87" s="594"/>
      <c r="O87" s="271"/>
      <c r="P87" s="81"/>
      <c r="Q87" s="176"/>
      <c r="R87" s="176"/>
      <c r="S87" s="176"/>
      <c r="T87" s="176"/>
      <c r="U87" s="176"/>
      <c r="V87" s="176"/>
      <c r="W87" s="176"/>
      <c r="X87" s="176"/>
      <c r="Y87" s="176"/>
      <c r="Z87" s="176"/>
      <c r="AA87" s="176"/>
      <c r="AB87" s="176"/>
      <c r="AC87" s="176"/>
      <c r="AD87" s="176"/>
      <c r="AE87" s="177"/>
      <c r="AF87" s="176"/>
      <c r="AG87" s="176"/>
      <c r="AH87" s="176"/>
      <c r="AI87" s="918"/>
    </row>
    <row r="88" spans="1:35" s="539" customFormat="1" ht="69.75" customHeight="1" x14ac:dyDescent="0.25">
      <c r="A88" s="919"/>
      <c r="B88" s="940"/>
      <c r="C88" s="1085">
        <v>7</v>
      </c>
      <c r="D88" s="1080" t="s">
        <v>129</v>
      </c>
      <c r="E88" s="1108">
        <v>0.317</v>
      </c>
      <c r="F88" s="1111">
        <v>0.27</v>
      </c>
      <c r="G88" s="549"/>
      <c r="H88" s="829">
        <v>57</v>
      </c>
      <c r="I88" s="828" t="s">
        <v>130</v>
      </c>
      <c r="J88" s="829">
        <v>103</v>
      </c>
      <c r="K88" s="643">
        <v>12</v>
      </c>
      <c r="L88" s="644">
        <v>29</v>
      </c>
      <c r="M88" s="645" t="s">
        <v>131</v>
      </c>
      <c r="N88" s="1114" t="s">
        <v>132</v>
      </c>
      <c r="O88" s="1115" t="s">
        <v>133</v>
      </c>
      <c r="P88" s="827" t="s">
        <v>40</v>
      </c>
      <c r="Q88" s="546"/>
      <c r="R88" s="546"/>
      <c r="S88" s="553">
        <f>2800000000+1706255081</f>
        <v>4506255081</v>
      </c>
      <c r="T88" s="546"/>
      <c r="U88" s="546"/>
      <c r="V88" s="546"/>
      <c r="W88" s="546"/>
      <c r="X88" s="546"/>
      <c r="Y88" s="546"/>
      <c r="Z88" s="546"/>
      <c r="AA88" s="546"/>
      <c r="AB88" s="546"/>
      <c r="AC88" s="546"/>
      <c r="AD88" s="546"/>
      <c r="AE88" s="550">
        <v>0</v>
      </c>
      <c r="AF88" s="547"/>
      <c r="AG88" s="547"/>
      <c r="AH88" s="646"/>
      <c r="AI88" s="900">
        <f t="shared" ref="AI88:AI95" si="5">+Q88+R88+S88+T88+U88+V88+W88+X88+Y88+Z88+AA88+AB88+AC88+AD88+AE88+AF88+AG88+AH88</f>
        <v>4506255081</v>
      </c>
    </row>
    <row r="89" spans="1:35" s="539" customFormat="1" ht="97.5" customHeight="1" x14ac:dyDescent="0.25">
      <c r="A89" s="919"/>
      <c r="B89" s="940"/>
      <c r="C89" s="1088"/>
      <c r="D89" s="1087"/>
      <c r="E89" s="1109"/>
      <c r="F89" s="1112"/>
      <c r="G89" s="549"/>
      <c r="H89" s="829">
        <v>58</v>
      </c>
      <c r="I89" s="828" t="s">
        <v>134</v>
      </c>
      <c r="J89" s="829">
        <v>6</v>
      </c>
      <c r="K89" s="643">
        <v>1</v>
      </c>
      <c r="L89" s="644"/>
      <c r="M89" s="645" t="s">
        <v>135</v>
      </c>
      <c r="N89" s="1114"/>
      <c r="O89" s="1115"/>
      <c r="P89" s="827" t="s">
        <v>40</v>
      </c>
      <c r="Q89" s="546"/>
      <c r="R89" s="546"/>
      <c r="S89" s="553"/>
      <c r="T89" s="546"/>
      <c r="U89" s="546"/>
      <c r="V89" s="546"/>
      <c r="W89" s="546"/>
      <c r="X89" s="546"/>
      <c r="Y89" s="546"/>
      <c r="Z89" s="546"/>
      <c r="AA89" s="546"/>
      <c r="AB89" s="546"/>
      <c r="AC89" s="546"/>
      <c r="AD89" s="546"/>
      <c r="AE89" s="550">
        <v>0</v>
      </c>
      <c r="AF89" s="546"/>
      <c r="AG89" s="647">
        <v>4981825364</v>
      </c>
      <c r="AH89" s="547"/>
      <c r="AI89" s="900">
        <f t="shared" si="5"/>
        <v>4981825364</v>
      </c>
    </row>
    <row r="90" spans="1:35" s="539" customFormat="1" ht="90.75" customHeight="1" x14ac:dyDescent="0.25">
      <c r="A90" s="919"/>
      <c r="B90" s="940"/>
      <c r="C90" s="1088"/>
      <c r="D90" s="1087"/>
      <c r="E90" s="1109"/>
      <c r="F90" s="1112"/>
      <c r="G90" s="549"/>
      <c r="H90" s="829">
        <v>59</v>
      </c>
      <c r="I90" s="828" t="s">
        <v>136</v>
      </c>
      <c r="J90" s="829">
        <v>82</v>
      </c>
      <c r="K90" s="643">
        <v>12</v>
      </c>
      <c r="L90" s="644">
        <v>5</v>
      </c>
      <c r="M90" s="645" t="s">
        <v>135</v>
      </c>
      <c r="N90" s="1114"/>
      <c r="O90" s="1115"/>
      <c r="P90" s="827" t="s">
        <v>40</v>
      </c>
      <c r="Q90" s="546"/>
      <c r="R90" s="546"/>
      <c r="S90" s="553">
        <f>2727403974+246521300</f>
        <v>2973925274</v>
      </c>
      <c r="T90" s="546"/>
      <c r="U90" s="546"/>
      <c r="V90" s="546"/>
      <c r="W90" s="546"/>
      <c r="X90" s="546"/>
      <c r="Y90" s="546"/>
      <c r="Z90" s="546"/>
      <c r="AA90" s="546"/>
      <c r="AB90" s="546"/>
      <c r="AC90" s="546"/>
      <c r="AD90" s="546"/>
      <c r="AE90" s="550">
        <v>0</v>
      </c>
      <c r="AF90" s="547"/>
      <c r="AG90" s="547">
        <f>600000000-600000000</f>
        <v>0</v>
      </c>
      <c r="AH90" s="547"/>
      <c r="AI90" s="900">
        <f t="shared" si="5"/>
        <v>2973925274</v>
      </c>
    </row>
    <row r="91" spans="1:35" s="539" customFormat="1" ht="152.25" customHeight="1" x14ac:dyDescent="0.25">
      <c r="A91" s="919"/>
      <c r="B91" s="940"/>
      <c r="C91" s="1088"/>
      <c r="D91" s="1087"/>
      <c r="E91" s="1109"/>
      <c r="F91" s="1112"/>
      <c r="G91" s="549"/>
      <c r="H91" s="829">
        <v>60</v>
      </c>
      <c r="I91" s="828" t="s">
        <v>137</v>
      </c>
      <c r="J91" s="829">
        <v>9</v>
      </c>
      <c r="K91" s="643">
        <v>12</v>
      </c>
      <c r="L91" s="644">
        <v>8</v>
      </c>
      <c r="M91" s="645" t="s">
        <v>135</v>
      </c>
      <c r="N91" s="1114"/>
      <c r="O91" s="1115"/>
      <c r="P91" s="827" t="s">
        <v>40</v>
      </c>
      <c r="Q91" s="546"/>
      <c r="R91" s="546"/>
      <c r="S91" s="538"/>
      <c r="T91" s="546"/>
      <c r="U91" s="546"/>
      <c r="V91" s="546"/>
      <c r="W91" s="546"/>
      <c r="X91" s="546"/>
      <c r="Y91" s="546"/>
      <c r="Z91" s="546"/>
      <c r="AA91" s="546"/>
      <c r="AB91" s="546"/>
      <c r="AC91" s="546"/>
      <c r="AD91" s="546"/>
      <c r="AE91" s="550">
        <v>224581000</v>
      </c>
      <c r="AF91" s="547"/>
      <c r="AG91" s="547">
        <f>2468941717+500000000+700000000+600000000+1000000000</f>
        <v>5268941717</v>
      </c>
      <c r="AH91" s="547"/>
      <c r="AI91" s="900">
        <f t="shared" si="5"/>
        <v>5493522717</v>
      </c>
    </row>
    <row r="92" spans="1:35" s="539" customFormat="1" ht="123" customHeight="1" x14ac:dyDescent="0.25">
      <c r="A92" s="919"/>
      <c r="B92" s="940"/>
      <c r="C92" s="1088"/>
      <c r="D92" s="1087"/>
      <c r="E92" s="1109"/>
      <c r="F92" s="1112"/>
      <c r="G92" s="549"/>
      <c r="H92" s="829">
        <v>62</v>
      </c>
      <c r="I92" s="828" t="s">
        <v>138</v>
      </c>
      <c r="J92" s="829">
        <v>1</v>
      </c>
      <c r="K92" s="643">
        <v>2</v>
      </c>
      <c r="L92" s="648">
        <v>4</v>
      </c>
      <c r="M92" s="649" t="s">
        <v>135</v>
      </c>
      <c r="N92" s="1114"/>
      <c r="O92" s="1115"/>
      <c r="P92" s="827" t="s">
        <v>46</v>
      </c>
      <c r="Q92" s="546"/>
      <c r="R92" s="546"/>
      <c r="S92" s="538"/>
      <c r="T92" s="546"/>
      <c r="U92" s="546"/>
      <c r="V92" s="546"/>
      <c r="W92" s="546"/>
      <c r="X92" s="546"/>
      <c r="Y92" s="546"/>
      <c r="Z92" s="546"/>
      <c r="AA92" s="546"/>
      <c r="AB92" s="546"/>
      <c r="AC92" s="546"/>
      <c r="AD92" s="546"/>
      <c r="AE92" s="550">
        <v>0</v>
      </c>
      <c r="AF92" s="546"/>
      <c r="AG92" s="647">
        <v>1000000000</v>
      </c>
      <c r="AH92" s="547"/>
      <c r="AI92" s="900">
        <f t="shared" si="5"/>
        <v>1000000000</v>
      </c>
    </row>
    <row r="93" spans="1:35" s="539" customFormat="1" ht="100.5" customHeight="1" x14ac:dyDescent="0.25">
      <c r="A93" s="919"/>
      <c r="B93" s="940"/>
      <c r="C93" s="1088"/>
      <c r="D93" s="1087"/>
      <c r="E93" s="1109"/>
      <c r="F93" s="1112"/>
      <c r="G93" s="549"/>
      <c r="H93" s="829">
        <v>63</v>
      </c>
      <c r="I93" s="828" t="s">
        <v>139</v>
      </c>
      <c r="J93" s="829" t="s">
        <v>36</v>
      </c>
      <c r="K93" s="643">
        <v>250</v>
      </c>
      <c r="L93" s="648">
        <v>0</v>
      </c>
      <c r="M93" s="649" t="s">
        <v>140</v>
      </c>
      <c r="N93" s="1114"/>
      <c r="O93" s="1115"/>
      <c r="P93" s="827" t="s">
        <v>40</v>
      </c>
      <c r="Q93" s="546"/>
      <c r="R93" s="546"/>
      <c r="S93" s="538"/>
      <c r="T93" s="546"/>
      <c r="U93" s="546"/>
      <c r="V93" s="546"/>
      <c r="W93" s="546"/>
      <c r="X93" s="546"/>
      <c r="Y93" s="546"/>
      <c r="Z93" s="546"/>
      <c r="AA93" s="546"/>
      <c r="AB93" s="546"/>
      <c r="AC93" s="546"/>
      <c r="AD93" s="547"/>
      <c r="AE93" s="550">
        <v>0</v>
      </c>
      <c r="AF93" s="546"/>
      <c r="AG93" s="647">
        <f>3000000000-1000000000</f>
        <v>2000000000</v>
      </c>
      <c r="AH93" s="547"/>
      <c r="AI93" s="900">
        <f t="shared" si="5"/>
        <v>2000000000</v>
      </c>
    </row>
    <row r="94" spans="1:35" s="539" customFormat="1" ht="100.5" customHeight="1" x14ac:dyDescent="0.25">
      <c r="A94" s="919"/>
      <c r="B94" s="940"/>
      <c r="C94" s="1088"/>
      <c r="D94" s="1087"/>
      <c r="E94" s="1109"/>
      <c r="F94" s="1112"/>
      <c r="G94" s="549"/>
      <c r="H94" s="829">
        <v>64</v>
      </c>
      <c r="I94" s="828" t="s">
        <v>141</v>
      </c>
      <c r="J94" s="829">
        <v>0</v>
      </c>
      <c r="K94" s="643">
        <v>1</v>
      </c>
      <c r="L94" s="644">
        <v>0</v>
      </c>
      <c r="M94" s="645" t="s">
        <v>135</v>
      </c>
      <c r="N94" s="1114"/>
      <c r="O94" s="1115"/>
      <c r="P94" s="827" t="s">
        <v>40</v>
      </c>
      <c r="Q94" s="546"/>
      <c r="R94" s="546"/>
      <c r="S94" s="538"/>
      <c r="T94" s="546"/>
      <c r="U94" s="546"/>
      <c r="V94" s="546"/>
      <c r="W94" s="546"/>
      <c r="X94" s="546"/>
      <c r="Y94" s="546"/>
      <c r="Z94" s="546"/>
      <c r="AA94" s="546"/>
      <c r="AB94" s="546"/>
      <c r="AC94" s="546"/>
      <c r="AD94" s="547"/>
      <c r="AE94" s="550">
        <v>29812345</v>
      </c>
      <c r="AF94" s="547"/>
      <c r="AG94" s="647"/>
      <c r="AH94" s="547"/>
      <c r="AI94" s="900">
        <f t="shared" si="5"/>
        <v>29812345</v>
      </c>
    </row>
    <row r="95" spans="1:35" s="539" customFormat="1" ht="71.25" customHeight="1" x14ac:dyDescent="0.25">
      <c r="A95" s="919"/>
      <c r="B95" s="940"/>
      <c r="C95" s="1086"/>
      <c r="D95" s="1081"/>
      <c r="E95" s="1110"/>
      <c r="F95" s="1113"/>
      <c r="G95" s="624"/>
      <c r="H95" s="829">
        <v>59</v>
      </c>
      <c r="I95" s="828" t="s">
        <v>136</v>
      </c>
      <c r="J95" s="829">
        <v>82</v>
      </c>
      <c r="K95" s="643">
        <v>1</v>
      </c>
      <c r="L95" s="650">
        <v>0</v>
      </c>
      <c r="M95" s="542" t="s">
        <v>135</v>
      </c>
      <c r="N95" s="818" t="s">
        <v>142</v>
      </c>
      <c r="O95" s="624" t="s">
        <v>143</v>
      </c>
      <c r="P95" s="829" t="s">
        <v>40</v>
      </c>
      <c r="Q95" s="547">
        <v>0</v>
      </c>
      <c r="R95" s="546"/>
      <c r="S95" s="547">
        <v>0</v>
      </c>
      <c r="T95" s="547">
        <v>0</v>
      </c>
      <c r="U95" s="547">
        <v>0</v>
      </c>
      <c r="V95" s="547">
        <v>0</v>
      </c>
      <c r="W95" s="547">
        <v>0</v>
      </c>
      <c r="X95" s="547">
        <v>0</v>
      </c>
      <c r="Y95" s="547">
        <v>0</v>
      </c>
      <c r="Z95" s="547">
        <v>0</v>
      </c>
      <c r="AA95" s="547">
        <v>0</v>
      </c>
      <c r="AB95" s="547">
        <v>0</v>
      </c>
      <c r="AC95" s="547">
        <v>0</v>
      </c>
      <c r="AD95" s="547">
        <v>0</v>
      </c>
      <c r="AE95" s="547">
        <v>0</v>
      </c>
      <c r="AF95" s="547">
        <v>0</v>
      </c>
      <c r="AG95" s="547">
        <v>0</v>
      </c>
      <c r="AH95" s="547">
        <v>815853756</v>
      </c>
      <c r="AI95" s="900">
        <f t="shared" si="5"/>
        <v>815853756</v>
      </c>
    </row>
    <row r="96" spans="1:35" ht="15" x14ac:dyDescent="0.25">
      <c r="A96" s="917"/>
      <c r="B96" s="4"/>
      <c r="C96" s="865"/>
      <c r="D96" s="565"/>
      <c r="E96" s="865"/>
      <c r="F96" s="865"/>
      <c r="G96" s="147"/>
      <c r="H96" s="148"/>
      <c r="I96" s="255"/>
      <c r="J96" s="148"/>
      <c r="K96" s="247"/>
      <c r="L96" s="247"/>
      <c r="M96" s="256"/>
      <c r="N96" s="584"/>
      <c r="O96" s="255"/>
      <c r="P96" s="148"/>
      <c r="Q96" s="150"/>
      <c r="R96" s="150"/>
      <c r="S96" s="150">
        <f>SUM(S88:S95)</f>
        <v>7480180355</v>
      </c>
      <c r="T96" s="150"/>
      <c r="U96" s="150"/>
      <c r="V96" s="150">
        <f>SUM(V88:V95)</f>
        <v>0</v>
      </c>
      <c r="W96" s="150"/>
      <c r="X96" s="150"/>
      <c r="Y96" s="150">
        <f>SUM(Y88:Y95)</f>
        <v>0</v>
      </c>
      <c r="Z96" s="150"/>
      <c r="AA96" s="150"/>
      <c r="AB96" s="150">
        <f>SUM(AB88:AB95)</f>
        <v>0</v>
      </c>
      <c r="AC96" s="150"/>
      <c r="AD96" s="150"/>
      <c r="AE96" s="150">
        <f>SUM(AE88:AE95)</f>
        <v>254393345</v>
      </c>
      <c r="AF96" s="150">
        <f>SUM(AF88:AF95)</f>
        <v>0</v>
      </c>
      <c r="AG96" s="150">
        <f>SUM(AG88:AG95)</f>
        <v>13250767081</v>
      </c>
      <c r="AH96" s="150">
        <f>SUM(AH88:AH95)</f>
        <v>815853756</v>
      </c>
      <c r="AI96" s="904">
        <f>SUM(AI88:AI95)</f>
        <v>21801194537</v>
      </c>
    </row>
    <row r="97" spans="1:35" ht="15" x14ac:dyDescent="0.25">
      <c r="A97" s="938"/>
      <c r="B97" s="210"/>
      <c r="C97" s="152"/>
      <c r="D97" s="151"/>
      <c r="E97" s="152"/>
      <c r="F97" s="152"/>
      <c r="G97" s="151"/>
      <c r="H97" s="152"/>
      <c r="I97" s="151"/>
      <c r="J97" s="152"/>
      <c r="K97" s="257"/>
      <c r="L97" s="257"/>
      <c r="M97" s="152"/>
      <c r="N97" s="585"/>
      <c r="O97" s="151"/>
      <c r="P97" s="152"/>
      <c r="Q97" s="154"/>
      <c r="R97" s="154"/>
      <c r="S97" s="154">
        <f>S96+S85</f>
        <v>7480180355</v>
      </c>
      <c r="T97" s="154"/>
      <c r="U97" s="154"/>
      <c r="V97" s="154">
        <f>V96+V85</f>
        <v>1002167888</v>
      </c>
      <c r="W97" s="154"/>
      <c r="X97" s="154"/>
      <c r="Y97" s="154">
        <f>Y96+Y85</f>
        <v>0</v>
      </c>
      <c r="Z97" s="154"/>
      <c r="AA97" s="154"/>
      <c r="AB97" s="154">
        <f>AB96+AB85</f>
        <v>0</v>
      </c>
      <c r="AC97" s="154"/>
      <c r="AD97" s="154"/>
      <c r="AE97" s="154">
        <f>AE96+AE85</f>
        <v>833082349</v>
      </c>
      <c r="AF97" s="154">
        <f>AF96+AF85</f>
        <v>0</v>
      </c>
      <c r="AG97" s="154">
        <f>AG96+AG85</f>
        <v>17936150863</v>
      </c>
      <c r="AH97" s="154">
        <f>AH96+AH85</f>
        <v>815853756</v>
      </c>
      <c r="AI97" s="906">
        <f>AI96+AI85</f>
        <v>28067435211</v>
      </c>
    </row>
    <row r="98" spans="1:35" ht="15" x14ac:dyDescent="0.25">
      <c r="A98" s="907"/>
      <c r="B98" s="155"/>
      <c r="C98" s="67"/>
      <c r="D98" s="155"/>
      <c r="E98" s="67"/>
      <c r="F98" s="67"/>
      <c r="G98" s="155"/>
      <c r="H98" s="67"/>
      <c r="I98" s="155"/>
      <c r="J98" s="67"/>
      <c r="K98" s="259"/>
      <c r="L98" s="259"/>
      <c r="M98" s="67"/>
      <c r="N98" s="586"/>
      <c r="O98" s="155"/>
      <c r="P98" s="67"/>
      <c r="Q98" s="157"/>
      <c r="R98" s="157"/>
      <c r="S98" s="157">
        <f>S97</f>
        <v>7480180355</v>
      </c>
      <c r="T98" s="157"/>
      <c r="U98" s="157"/>
      <c r="V98" s="157">
        <f>V97</f>
        <v>1002167888</v>
      </c>
      <c r="W98" s="157"/>
      <c r="X98" s="157"/>
      <c r="Y98" s="157">
        <f>Y97</f>
        <v>0</v>
      </c>
      <c r="Z98" s="157"/>
      <c r="AA98" s="157"/>
      <c r="AB98" s="157">
        <f>AB97</f>
        <v>0</v>
      </c>
      <c r="AC98" s="157"/>
      <c r="AD98" s="157"/>
      <c r="AE98" s="157">
        <f>AE97</f>
        <v>833082349</v>
      </c>
      <c r="AF98" s="157">
        <f>AF97</f>
        <v>0</v>
      </c>
      <c r="AG98" s="157">
        <f>AG97</f>
        <v>17936150863</v>
      </c>
      <c r="AH98" s="157">
        <f>AH97</f>
        <v>815853756</v>
      </c>
      <c r="AI98" s="908">
        <f>AI97</f>
        <v>28067435211</v>
      </c>
    </row>
    <row r="99" spans="1:35" ht="15" x14ac:dyDescent="0.25">
      <c r="A99" s="911"/>
      <c r="B99" s="161"/>
      <c r="C99" s="845"/>
      <c r="D99" s="161"/>
      <c r="E99" s="845"/>
      <c r="F99" s="845"/>
      <c r="G99" s="161"/>
      <c r="H99" s="845"/>
      <c r="I99" s="161"/>
      <c r="J99" s="845"/>
      <c r="K99" s="260"/>
      <c r="L99" s="260"/>
      <c r="M99" s="845"/>
      <c r="N99" s="21"/>
      <c r="O99" s="161"/>
      <c r="P99" s="845"/>
      <c r="Q99" s="12"/>
      <c r="R99" s="163"/>
      <c r="S99" s="12"/>
      <c r="T99" s="12"/>
      <c r="U99" s="12"/>
      <c r="V99" s="12"/>
      <c r="W99" s="12"/>
      <c r="X99" s="12"/>
      <c r="Y99" s="12"/>
      <c r="Z99" s="932"/>
      <c r="AA99" s="933"/>
      <c r="AB99" s="933"/>
      <c r="AC99" s="932"/>
      <c r="AD99" s="12"/>
      <c r="AE99" s="189"/>
      <c r="AF99" s="12"/>
      <c r="AG99" s="12" t="s">
        <v>0</v>
      </c>
      <c r="AH99" s="163"/>
      <c r="AI99" s="921"/>
    </row>
    <row r="100" spans="1:35" x14ac:dyDescent="0.25">
      <c r="A100" s="893">
        <v>1</v>
      </c>
      <c r="B100" s="77" t="s">
        <v>144</v>
      </c>
      <c r="C100" s="139"/>
      <c r="D100" s="77"/>
      <c r="E100" s="77"/>
      <c r="F100" s="77"/>
      <c r="G100" s="77"/>
      <c r="H100" s="139"/>
      <c r="I100" s="77"/>
      <c r="J100" s="77"/>
      <c r="K100" s="231"/>
      <c r="L100" s="231"/>
      <c r="M100" s="77"/>
      <c r="N100" s="14"/>
      <c r="O100" s="77"/>
      <c r="P100" s="77"/>
      <c r="Q100" s="166"/>
      <c r="R100" s="166"/>
      <c r="S100" s="166"/>
      <c r="T100" s="166"/>
      <c r="U100" s="166"/>
      <c r="V100" s="166"/>
      <c r="W100" s="166"/>
      <c r="X100" s="166"/>
      <c r="Y100" s="166"/>
      <c r="Z100" s="166"/>
      <c r="AA100" s="166"/>
      <c r="AB100" s="166"/>
      <c r="AC100" s="166"/>
      <c r="AD100" s="166"/>
      <c r="AE100" s="167"/>
      <c r="AF100" s="166"/>
      <c r="AG100" s="166"/>
      <c r="AH100" s="166"/>
      <c r="AI100" s="914"/>
    </row>
    <row r="101" spans="1:35" x14ac:dyDescent="0.25">
      <c r="A101" s="915"/>
      <c r="B101" s="261">
        <v>1</v>
      </c>
      <c r="C101" s="837" t="s">
        <v>145</v>
      </c>
      <c r="D101" s="87"/>
      <c r="E101" s="87"/>
      <c r="F101" s="87"/>
      <c r="G101" s="87"/>
      <c r="H101" s="838"/>
      <c r="I101" s="87"/>
      <c r="J101" s="87"/>
      <c r="K101" s="233"/>
      <c r="L101" s="233"/>
      <c r="M101" s="87"/>
      <c r="N101" s="15"/>
      <c r="O101" s="87"/>
      <c r="P101" s="87"/>
      <c r="Q101" s="169"/>
      <c r="R101" s="169"/>
      <c r="S101" s="169"/>
      <c r="T101" s="169"/>
      <c r="U101" s="169"/>
      <c r="V101" s="169"/>
      <c r="W101" s="169"/>
      <c r="X101" s="169"/>
      <c r="Y101" s="169"/>
      <c r="Z101" s="169"/>
      <c r="AA101" s="169"/>
      <c r="AB101" s="169"/>
      <c r="AC101" s="169"/>
      <c r="AD101" s="169"/>
      <c r="AE101" s="170"/>
      <c r="AF101" s="169"/>
      <c r="AG101" s="169"/>
      <c r="AH101" s="169"/>
      <c r="AI101" s="916"/>
    </row>
    <row r="102" spans="1:35" ht="15" x14ac:dyDescent="0.25">
      <c r="A102" s="917"/>
      <c r="B102" s="172"/>
      <c r="C102" s="234"/>
      <c r="D102" s="173"/>
      <c r="E102" s="173"/>
      <c r="F102" s="174"/>
      <c r="G102" s="175">
        <v>2</v>
      </c>
      <c r="H102" s="81" t="s">
        <v>146</v>
      </c>
      <c r="I102" s="81"/>
      <c r="J102" s="81"/>
      <c r="K102" s="235"/>
      <c r="L102" s="235"/>
      <c r="M102" s="81"/>
      <c r="N102" s="88"/>
      <c r="O102" s="81"/>
      <c r="P102" s="81"/>
      <c r="Q102" s="176"/>
      <c r="R102" s="176"/>
      <c r="S102" s="176"/>
      <c r="T102" s="176"/>
      <c r="U102" s="176"/>
      <c r="V102" s="176"/>
      <c r="W102" s="176"/>
      <c r="X102" s="176"/>
      <c r="Y102" s="176"/>
      <c r="Z102" s="176"/>
      <c r="AA102" s="176"/>
      <c r="AB102" s="176"/>
      <c r="AC102" s="176"/>
      <c r="AD102" s="176"/>
      <c r="AE102" s="177"/>
      <c r="AF102" s="176"/>
      <c r="AG102" s="176"/>
      <c r="AH102" s="176"/>
      <c r="AI102" s="918"/>
    </row>
    <row r="103" spans="1:35" ht="100.5" customHeight="1" x14ac:dyDescent="0.25">
      <c r="A103" s="917"/>
      <c r="B103" s="144"/>
      <c r="C103" s="846">
        <v>3</v>
      </c>
      <c r="D103" s="565" t="s">
        <v>147</v>
      </c>
      <c r="E103" s="865" t="s">
        <v>148</v>
      </c>
      <c r="F103" s="865" t="s">
        <v>149</v>
      </c>
      <c r="G103" s="145"/>
      <c r="H103" s="865">
        <v>9</v>
      </c>
      <c r="I103" s="565" t="s">
        <v>150</v>
      </c>
      <c r="J103" s="865">
        <v>35</v>
      </c>
      <c r="K103" s="222">
        <v>5</v>
      </c>
      <c r="L103" s="222">
        <v>4</v>
      </c>
      <c r="M103" s="565" t="s">
        <v>151</v>
      </c>
      <c r="N103" s="867" t="s">
        <v>152</v>
      </c>
      <c r="O103" s="565" t="s">
        <v>153</v>
      </c>
      <c r="P103" s="865" t="s">
        <v>40</v>
      </c>
      <c r="Q103" s="9"/>
      <c r="R103" s="9"/>
      <c r="S103" s="262">
        <f>2000000000+425000000</f>
        <v>2425000000</v>
      </c>
      <c r="T103" s="9"/>
      <c r="U103" s="9"/>
      <c r="V103" s="9"/>
      <c r="W103" s="9"/>
      <c r="X103" s="9"/>
      <c r="Y103" s="9"/>
      <c r="Z103" s="9"/>
      <c r="AA103" s="9"/>
      <c r="AB103" s="9"/>
      <c r="AC103" s="9"/>
      <c r="AD103" s="262">
        <f>4200000+11779994</f>
        <v>15979994</v>
      </c>
      <c r="AE103" s="60">
        <v>0</v>
      </c>
      <c r="AF103" s="61"/>
      <c r="AG103" s="61"/>
      <c r="AH103" s="61"/>
      <c r="AI103" s="901">
        <f>+Q103+R103+S103+T103+U103+V103+W103+X103+Y103+Z103+AA103+AB103+AC103+AD103+AE103+AF103+AG103+AH103</f>
        <v>2440979994</v>
      </c>
    </row>
    <row r="104" spans="1:35" ht="108.75" customHeight="1" x14ac:dyDescent="0.25">
      <c r="A104" s="917"/>
      <c r="B104" s="144"/>
      <c r="C104" s="846">
        <v>3</v>
      </c>
      <c r="D104" s="565" t="s">
        <v>147</v>
      </c>
      <c r="E104" s="865" t="s">
        <v>148</v>
      </c>
      <c r="F104" s="865" t="s">
        <v>149</v>
      </c>
      <c r="G104" s="3"/>
      <c r="H104" s="865">
        <v>9</v>
      </c>
      <c r="I104" s="565" t="s">
        <v>150</v>
      </c>
      <c r="J104" s="865">
        <v>35</v>
      </c>
      <c r="K104" s="222">
        <v>5</v>
      </c>
      <c r="L104" s="222"/>
      <c r="M104" s="565" t="s">
        <v>151</v>
      </c>
      <c r="N104" s="867" t="s">
        <v>154</v>
      </c>
      <c r="O104" s="565" t="s">
        <v>155</v>
      </c>
      <c r="P104" s="865" t="s">
        <v>40</v>
      </c>
      <c r="Q104" s="9"/>
      <c r="R104" s="9"/>
      <c r="S104" s="9"/>
      <c r="T104" s="9"/>
      <c r="U104" s="9"/>
      <c r="V104" s="9"/>
      <c r="W104" s="9"/>
      <c r="X104" s="9"/>
      <c r="Y104" s="9"/>
      <c r="Z104" s="9"/>
      <c r="AA104" s="9"/>
      <c r="AB104" s="9"/>
      <c r="AC104" s="9"/>
      <c r="AD104" s="253">
        <v>1105246431</v>
      </c>
      <c r="AE104" s="550">
        <f>0+15000000</f>
        <v>15000000</v>
      </c>
      <c r="AF104" s="61"/>
      <c r="AG104" s="61"/>
      <c r="AH104" s="61"/>
      <c r="AI104" s="901">
        <f>+Q104+R104+S104+T104+U104+V104+W104+X104+Y104+Z104+AA104+AB104+AC104+AD104+AE104+AF104+AG104+AH104</f>
        <v>1120246431</v>
      </c>
    </row>
    <row r="105" spans="1:35" ht="119.25" customHeight="1" x14ac:dyDescent="0.25">
      <c r="A105" s="917"/>
      <c r="B105" s="144"/>
      <c r="C105" s="846">
        <v>3</v>
      </c>
      <c r="D105" s="565" t="s">
        <v>147</v>
      </c>
      <c r="E105" s="865" t="s">
        <v>148</v>
      </c>
      <c r="F105" s="865" t="s">
        <v>149</v>
      </c>
      <c r="G105" s="3"/>
      <c r="H105" s="865">
        <v>10</v>
      </c>
      <c r="I105" s="565" t="s">
        <v>156</v>
      </c>
      <c r="J105" s="263">
        <v>1</v>
      </c>
      <c r="K105" s="264">
        <v>5</v>
      </c>
      <c r="L105" s="264">
        <v>5</v>
      </c>
      <c r="M105" s="565" t="s">
        <v>151</v>
      </c>
      <c r="N105" s="867" t="s">
        <v>157</v>
      </c>
      <c r="O105" s="565" t="s">
        <v>158</v>
      </c>
      <c r="P105" s="865" t="s">
        <v>40</v>
      </c>
      <c r="Q105" s="9"/>
      <c r="R105" s="9"/>
      <c r="S105" s="9"/>
      <c r="T105" s="9"/>
      <c r="U105" s="9"/>
      <c r="V105" s="9"/>
      <c r="W105" s="9"/>
      <c r="X105" s="9"/>
      <c r="Y105" s="9"/>
      <c r="Z105" s="9"/>
      <c r="AA105" s="9"/>
      <c r="AB105" s="9"/>
      <c r="AC105" s="9"/>
      <c r="AD105" s="245">
        <v>80000000</v>
      </c>
      <c r="AE105" s="60">
        <v>0</v>
      </c>
      <c r="AF105" s="61"/>
      <c r="AG105" s="61"/>
      <c r="AH105" s="61"/>
      <c r="AI105" s="901">
        <f>+Q105+R105+S105+T105+U105+V105+W105+X105+Y105+Z105+AA105+AB105+AC105+AD105+AE105+AF105+AG105+AH105</f>
        <v>80000000</v>
      </c>
    </row>
    <row r="106" spans="1:35" s="24" customFormat="1" ht="81" customHeight="1" x14ac:dyDescent="0.25">
      <c r="A106" s="917"/>
      <c r="B106" s="144"/>
      <c r="C106" s="846">
        <v>3</v>
      </c>
      <c r="D106" s="565" t="s">
        <v>147</v>
      </c>
      <c r="E106" s="865" t="s">
        <v>148</v>
      </c>
      <c r="F106" s="865" t="s">
        <v>149</v>
      </c>
      <c r="G106" s="3"/>
      <c r="H106" s="865">
        <v>11</v>
      </c>
      <c r="I106" s="565" t="s">
        <v>159</v>
      </c>
      <c r="J106" s="865">
        <v>1</v>
      </c>
      <c r="K106" s="222">
        <v>1</v>
      </c>
      <c r="L106" s="222">
        <v>0</v>
      </c>
      <c r="M106" s="565" t="s">
        <v>151</v>
      </c>
      <c r="N106" s="867" t="s">
        <v>160</v>
      </c>
      <c r="O106" s="265" t="s">
        <v>161</v>
      </c>
      <c r="P106" s="865" t="s">
        <v>46</v>
      </c>
      <c r="Q106" s="9"/>
      <c r="R106" s="9"/>
      <c r="S106" s="9"/>
      <c r="T106" s="9"/>
      <c r="U106" s="9"/>
      <c r="V106" s="9"/>
      <c r="W106" s="9"/>
      <c r="X106" s="9"/>
      <c r="Y106" s="9"/>
      <c r="Z106" s="9"/>
      <c r="AA106" s="9"/>
      <c r="AB106" s="9"/>
      <c r="AC106" s="9"/>
      <c r="AD106" s="245">
        <v>230000000</v>
      </c>
      <c r="AE106" s="60">
        <v>0</v>
      </c>
      <c r="AF106" s="61"/>
      <c r="AG106" s="61"/>
      <c r="AH106" s="61"/>
      <c r="AI106" s="901">
        <f>+Q106+R106+S106+T106+U106+V106+W106+X106+Y106+Z106+AA106+AB106+AC106+AD106+AE106+AF106+AG106+AH106</f>
        <v>230000000</v>
      </c>
    </row>
    <row r="107" spans="1:35" ht="114" customHeight="1" x14ac:dyDescent="0.25">
      <c r="A107" s="917"/>
      <c r="B107" s="144"/>
      <c r="C107" s="846">
        <v>3</v>
      </c>
      <c r="D107" s="565" t="s">
        <v>147</v>
      </c>
      <c r="E107" s="865" t="s">
        <v>148</v>
      </c>
      <c r="F107" s="865" t="s">
        <v>149</v>
      </c>
      <c r="G107" s="3"/>
      <c r="H107" s="865">
        <v>12</v>
      </c>
      <c r="I107" s="565" t="s">
        <v>162</v>
      </c>
      <c r="J107" s="865">
        <v>1</v>
      </c>
      <c r="K107" s="222">
        <v>3</v>
      </c>
      <c r="L107" s="222">
        <v>0</v>
      </c>
      <c r="M107" s="565" t="s">
        <v>151</v>
      </c>
      <c r="N107" s="867" t="s">
        <v>163</v>
      </c>
      <c r="O107" s="265" t="s">
        <v>164</v>
      </c>
      <c r="P107" s="865" t="s">
        <v>46</v>
      </c>
      <c r="Q107" s="9"/>
      <c r="R107" s="9"/>
      <c r="S107" s="9"/>
      <c r="T107" s="9"/>
      <c r="U107" s="9"/>
      <c r="V107" s="9"/>
      <c r="W107" s="9"/>
      <c r="X107" s="9"/>
      <c r="Y107" s="9"/>
      <c r="Z107" s="9"/>
      <c r="AA107" s="9"/>
      <c r="AB107" s="9"/>
      <c r="AC107" s="9"/>
      <c r="AD107" s="245">
        <v>1190000000</v>
      </c>
      <c r="AE107" s="60">
        <v>0</v>
      </c>
      <c r="AF107" s="61"/>
      <c r="AG107" s="61"/>
      <c r="AH107" s="61"/>
      <c r="AI107" s="901">
        <f>+Q107+R107+S107+T107+U107+V107+W107+X107+Y107+Z107+AA107+AB107+AC107+AD107+AE107+AF107+AG107+AH107</f>
        <v>1190000000</v>
      </c>
    </row>
    <row r="108" spans="1:35" ht="24.95" customHeight="1" x14ac:dyDescent="0.25">
      <c r="A108" s="917"/>
      <c r="B108" s="146"/>
      <c r="C108" s="846"/>
      <c r="D108" s="565"/>
      <c r="E108" s="865"/>
      <c r="F108" s="865"/>
      <c r="G108" s="874"/>
      <c r="H108" s="875"/>
      <c r="I108" s="874"/>
      <c r="J108" s="875"/>
      <c r="K108" s="875"/>
      <c r="L108" s="875"/>
      <c r="M108" s="875"/>
      <c r="N108" s="876"/>
      <c r="O108" s="877"/>
      <c r="P108" s="875"/>
      <c r="Q108" s="878"/>
      <c r="R108" s="878"/>
      <c r="S108" s="878">
        <f>SUM(S103:S107)</f>
        <v>2425000000</v>
      </c>
      <c r="T108" s="878"/>
      <c r="U108" s="878"/>
      <c r="V108" s="878">
        <f>SUM(V103:V107)</f>
        <v>0</v>
      </c>
      <c r="W108" s="878"/>
      <c r="X108" s="878"/>
      <c r="Y108" s="878">
        <f>SUM(Y103:Y107)</f>
        <v>0</v>
      </c>
      <c r="Z108" s="878"/>
      <c r="AA108" s="878"/>
      <c r="AB108" s="878">
        <f>SUM(AB103:AB107)</f>
        <v>0</v>
      </c>
      <c r="AC108" s="878"/>
      <c r="AD108" s="878">
        <f t="shared" ref="AD108:AI108" si="6">SUM(AD103:AD107)</f>
        <v>2621226425</v>
      </c>
      <c r="AE108" s="878">
        <f t="shared" si="6"/>
        <v>15000000</v>
      </c>
      <c r="AF108" s="878">
        <f t="shared" si="6"/>
        <v>0</v>
      </c>
      <c r="AG108" s="878">
        <f t="shared" si="6"/>
        <v>0</v>
      </c>
      <c r="AH108" s="878">
        <f t="shared" si="6"/>
        <v>0</v>
      </c>
      <c r="AI108" s="943">
        <f t="shared" si="6"/>
        <v>5061226425</v>
      </c>
    </row>
    <row r="109" spans="1:35" ht="24.95" customHeight="1" x14ac:dyDescent="0.25">
      <c r="A109" s="938"/>
      <c r="B109" s="151"/>
      <c r="C109" s="212"/>
      <c r="D109" s="151"/>
      <c r="E109" s="152"/>
      <c r="F109" s="152"/>
      <c r="G109" s="151"/>
      <c r="H109" s="152"/>
      <c r="I109" s="151"/>
      <c r="J109" s="152"/>
      <c r="K109" s="152"/>
      <c r="L109" s="152"/>
      <c r="M109" s="152"/>
      <c r="N109" s="585"/>
      <c r="O109" s="151"/>
      <c r="P109" s="152"/>
      <c r="Q109" s="154"/>
      <c r="R109" s="154"/>
      <c r="S109" s="154">
        <f>S108</f>
        <v>2425000000</v>
      </c>
      <c r="T109" s="154"/>
      <c r="U109" s="154"/>
      <c r="V109" s="154">
        <f t="shared" ref="V109:V110" si="7">V108</f>
        <v>0</v>
      </c>
      <c r="W109" s="154"/>
      <c r="X109" s="154"/>
      <c r="Y109" s="154">
        <f>Y108</f>
        <v>0</v>
      </c>
      <c r="Z109" s="154"/>
      <c r="AA109" s="154"/>
      <c r="AB109" s="154">
        <f>AB108</f>
        <v>0</v>
      </c>
      <c r="AC109" s="154"/>
      <c r="AD109" s="154">
        <f t="shared" ref="AD109:AH110" si="8">AD108</f>
        <v>2621226425</v>
      </c>
      <c r="AE109" s="154">
        <f t="shared" si="8"/>
        <v>15000000</v>
      </c>
      <c r="AF109" s="154">
        <f t="shared" si="8"/>
        <v>0</v>
      </c>
      <c r="AG109" s="154">
        <f t="shared" si="8"/>
        <v>0</v>
      </c>
      <c r="AH109" s="154">
        <f t="shared" si="8"/>
        <v>0</v>
      </c>
      <c r="AI109" s="906">
        <f t="shared" ref="AI109:AI110" si="9">AI108</f>
        <v>5061226425</v>
      </c>
    </row>
    <row r="110" spans="1:35" ht="24.95" customHeight="1" x14ac:dyDescent="0.25">
      <c r="A110" s="907"/>
      <c r="B110" s="155"/>
      <c r="C110" s="67"/>
      <c r="D110" s="155"/>
      <c r="E110" s="67"/>
      <c r="F110" s="67"/>
      <c r="G110" s="155"/>
      <c r="H110" s="67"/>
      <c r="I110" s="155"/>
      <c r="J110" s="67"/>
      <c r="K110" s="67"/>
      <c r="L110" s="67"/>
      <c r="M110" s="67"/>
      <c r="N110" s="586"/>
      <c r="O110" s="155"/>
      <c r="P110" s="67"/>
      <c r="Q110" s="157"/>
      <c r="R110" s="157"/>
      <c r="S110" s="157">
        <f>S109</f>
        <v>2425000000</v>
      </c>
      <c r="T110" s="157"/>
      <c r="U110" s="157"/>
      <c r="V110" s="157">
        <f t="shared" si="7"/>
        <v>0</v>
      </c>
      <c r="W110" s="157"/>
      <c r="X110" s="157"/>
      <c r="Y110" s="157">
        <f>Y109</f>
        <v>0</v>
      </c>
      <c r="Z110" s="157"/>
      <c r="AA110" s="157"/>
      <c r="AB110" s="157">
        <f>AB109</f>
        <v>0</v>
      </c>
      <c r="AC110" s="157"/>
      <c r="AD110" s="157">
        <f t="shared" si="8"/>
        <v>2621226425</v>
      </c>
      <c r="AE110" s="157">
        <f t="shared" si="8"/>
        <v>15000000</v>
      </c>
      <c r="AF110" s="157">
        <f t="shared" si="8"/>
        <v>0</v>
      </c>
      <c r="AG110" s="157">
        <f t="shared" si="8"/>
        <v>0</v>
      </c>
      <c r="AH110" s="157">
        <f t="shared" si="8"/>
        <v>0</v>
      </c>
      <c r="AI110" s="908">
        <f t="shared" si="9"/>
        <v>5061226425</v>
      </c>
    </row>
    <row r="111" spans="1:35" ht="24.95" customHeight="1" x14ac:dyDescent="0.25">
      <c r="A111" s="909"/>
      <c r="B111" s="158"/>
      <c r="C111" s="159"/>
      <c r="D111" s="158"/>
      <c r="E111" s="159"/>
      <c r="F111" s="159"/>
      <c r="G111" s="158"/>
      <c r="H111" s="159"/>
      <c r="I111" s="158"/>
      <c r="J111" s="159"/>
      <c r="K111" s="159"/>
      <c r="L111" s="159"/>
      <c r="M111" s="159"/>
      <c r="N111" s="587"/>
      <c r="O111" s="158"/>
      <c r="P111" s="159"/>
      <c r="Q111" s="11"/>
      <c r="R111" s="11"/>
      <c r="S111" s="11">
        <f>S110+S98</f>
        <v>9905180355</v>
      </c>
      <c r="T111" s="11"/>
      <c r="U111" s="11"/>
      <c r="V111" s="11">
        <f>V110+V98</f>
        <v>1002167888</v>
      </c>
      <c r="W111" s="11"/>
      <c r="X111" s="11"/>
      <c r="Y111" s="11">
        <f>Y110+Y98</f>
        <v>0</v>
      </c>
      <c r="Z111" s="11"/>
      <c r="AA111" s="11"/>
      <c r="AB111" s="11">
        <f>AB110+AB98</f>
        <v>0</v>
      </c>
      <c r="AC111" s="11"/>
      <c r="AD111" s="11">
        <f t="shared" ref="AD111:AI111" si="10">AD110+AD98</f>
        <v>2621226425</v>
      </c>
      <c r="AE111" s="11">
        <f t="shared" si="10"/>
        <v>848082349</v>
      </c>
      <c r="AF111" s="11">
        <f t="shared" si="10"/>
        <v>0</v>
      </c>
      <c r="AG111" s="11">
        <f t="shared" si="10"/>
        <v>17936150863</v>
      </c>
      <c r="AH111" s="11">
        <f t="shared" si="10"/>
        <v>815853756</v>
      </c>
      <c r="AI111" s="910">
        <f t="shared" si="10"/>
        <v>33128661636</v>
      </c>
    </row>
    <row r="112" spans="1:35" ht="26.25" customHeight="1" x14ac:dyDescent="0.25">
      <c r="A112" s="911"/>
      <c r="B112" s="161"/>
      <c r="C112" s="845"/>
      <c r="D112" s="216"/>
      <c r="E112" s="845"/>
      <c r="F112" s="845"/>
      <c r="G112" s="161"/>
      <c r="H112" s="845"/>
      <c r="I112" s="161"/>
      <c r="J112" s="845"/>
      <c r="K112" s="845"/>
      <c r="L112" s="845"/>
      <c r="M112" s="845"/>
      <c r="N112" s="21"/>
      <c r="O112" s="161"/>
      <c r="P112" s="845"/>
      <c r="Q112" s="12"/>
      <c r="R112" s="163"/>
      <c r="S112" s="12"/>
      <c r="T112" s="12"/>
      <c r="U112" s="12"/>
      <c r="V112" s="12"/>
      <c r="W112" s="12"/>
      <c r="X112" s="12"/>
      <c r="Y112" s="12"/>
      <c r="Z112" s="12"/>
      <c r="AA112" s="163"/>
      <c r="AB112" s="163"/>
      <c r="AC112" s="12"/>
      <c r="AD112" s="12"/>
      <c r="AE112" s="64"/>
      <c r="AF112" s="12"/>
      <c r="AG112" s="12"/>
      <c r="AH112" s="163"/>
      <c r="AI112" s="939"/>
    </row>
    <row r="113" spans="1:35" ht="24.95" customHeight="1" x14ac:dyDescent="0.25">
      <c r="A113" s="891" t="s">
        <v>165</v>
      </c>
      <c r="B113" s="22"/>
      <c r="C113" s="23"/>
      <c r="D113" s="26"/>
      <c r="E113" s="22"/>
      <c r="F113" s="22"/>
      <c r="G113" s="22"/>
      <c r="H113" s="23"/>
      <c r="I113" s="22"/>
      <c r="J113" s="22"/>
      <c r="K113" s="22"/>
      <c r="L113" s="22"/>
      <c r="M113" s="22"/>
      <c r="N113" s="13"/>
      <c r="O113" s="22"/>
      <c r="P113" s="23"/>
      <c r="Q113" s="164"/>
      <c r="R113" s="164"/>
      <c r="S113" s="164"/>
      <c r="T113" s="164"/>
      <c r="U113" s="164"/>
      <c r="V113" s="164"/>
      <c r="W113" s="164"/>
      <c r="X113" s="164"/>
      <c r="Y113" s="164"/>
      <c r="Z113" s="164"/>
      <c r="AA113" s="164"/>
      <c r="AB113" s="164"/>
      <c r="AC113" s="164"/>
      <c r="AD113" s="164"/>
      <c r="AE113" s="165"/>
      <c r="AF113" s="164"/>
      <c r="AG113" s="164"/>
      <c r="AH113" s="164"/>
      <c r="AI113" s="913" t="s">
        <v>0</v>
      </c>
    </row>
    <row r="114" spans="1:35" ht="24.95" customHeight="1" x14ac:dyDescent="0.25">
      <c r="A114" s="893">
        <v>4</v>
      </c>
      <c r="B114" s="77" t="s">
        <v>166</v>
      </c>
      <c r="C114" s="139"/>
      <c r="D114" s="77"/>
      <c r="E114" s="77"/>
      <c r="F114" s="77"/>
      <c r="G114" s="77"/>
      <c r="H114" s="139"/>
      <c r="I114" s="77"/>
      <c r="J114" s="77"/>
      <c r="K114" s="77"/>
      <c r="L114" s="77"/>
      <c r="M114" s="77"/>
      <c r="N114" s="14"/>
      <c r="O114" s="77"/>
      <c r="P114" s="77"/>
      <c r="Q114" s="166"/>
      <c r="R114" s="166"/>
      <c r="S114" s="166"/>
      <c r="T114" s="166"/>
      <c r="U114" s="166"/>
      <c r="V114" s="166"/>
      <c r="W114" s="166"/>
      <c r="X114" s="166"/>
      <c r="Y114" s="166"/>
      <c r="Z114" s="166"/>
      <c r="AA114" s="166"/>
      <c r="AB114" s="166"/>
      <c r="AC114" s="166"/>
      <c r="AD114" s="166"/>
      <c r="AE114" s="167"/>
      <c r="AF114" s="166"/>
      <c r="AG114" s="166"/>
      <c r="AH114" s="166"/>
      <c r="AI114" s="914"/>
    </row>
    <row r="115" spans="1:35" ht="24.95" customHeight="1" x14ac:dyDescent="0.25">
      <c r="A115" s="915"/>
      <c r="B115" s="261">
        <v>23</v>
      </c>
      <c r="C115" s="837" t="s">
        <v>167</v>
      </c>
      <c r="D115" s="838"/>
      <c r="E115" s="87"/>
      <c r="F115" s="87"/>
      <c r="G115" s="87"/>
      <c r="H115" s="838"/>
      <c r="I115" s="87"/>
      <c r="J115" s="87"/>
      <c r="K115" s="87"/>
      <c r="L115" s="87"/>
      <c r="M115" s="87"/>
      <c r="N115" s="15"/>
      <c r="O115" s="87"/>
      <c r="P115" s="87"/>
      <c r="Q115" s="169"/>
      <c r="R115" s="169"/>
      <c r="S115" s="169"/>
      <c r="T115" s="169"/>
      <c r="U115" s="169"/>
      <c r="V115" s="169"/>
      <c r="W115" s="169"/>
      <c r="X115" s="169"/>
      <c r="Y115" s="169"/>
      <c r="Z115" s="169"/>
      <c r="AA115" s="169"/>
      <c r="AB115" s="169"/>
      <c r="AC115" s="169"/>
      <c r="AD115" s="169"/>
      <c r="AE115" s="170"/>
      <c r="AF115" s="169"/>
      <c r="AG115" s="169"/>
      <c r="AH115" s="169"/>
      <c r="AI115" s="916"/>
    </row>
    <row r="116" spans="1:35" ht="24.95" customHeight="1" x14ac:dyDescent="0.25">
      <c r="A116" s="917"/>
      <c r="B116" s="172"/>
      <c r="C116" s="234"/>
      <c r="D116" s="173"/>
      <c r="E116" s="173"/>
      <c r="F116" s="174"/>
      <c r="G116" s="175">
        <v>75</v>
      </c>
      <c r="H116" s="81" t="s">
        <v>168</v>
      </c>
      <c r="I116" s="81"/>
      <c r="J116" s="81"/>
      <c r="K116" s="81"/>
      <c r="L116" s="81"/>
      <c r="M116" s="81"/>
      <c r="N116" s="588"/>
      <c r="O116" s="81"/>
      <c r="P116" s="81"/>
      <c r="Q116" s="176"/>
      <c r="R116" s="176"/>
      <c r="S116" s="176"/>
      <c r="T116" s="176"/>
      <c r="U116" s="176"/>
      <c r="V116" s="176"/>
      <c r="W116" s="176"/>
      <c r="X116" s="176"/>
      <c r="Y116" s="176"/>
      <c r="Z116" s="176"/>
      <c r="AA116" s="176"/>
      <c r="AB116" s="176"/>
      <c r="AC116" s="176"/>
      <c r="AD116" s="176"/>
      <c r="AE116" s="177"/>
      <c r="AF116" s="176"/>
      <c r="AG116" s="176"/>
      <c r="AH116" s="176"/>
      <c r="AI116" s="918"/>
    </row>
    <row r="117" spans="1:35" s="539" customFormat="1" ht="108.75" customHeight="1" x14ac:dyDescent="0.25">
      <c r="A117" s="919"/>
      <c r="B117" s="541"/>
      <c r="C117" s="1097">
        <v>10</v>
      </c>
      <c r="D117" s="1091" t="s">
        <v>169</v>
      </c>
      <c r="E117" s="1098" t="s">
        <v>170</v>
      </c>
      <c r="F117" s="1085" t="s">
        <v>171</v>
      </c>
      <c r="G117" s="542"/>
      <c r="H117" s="829">
        <v>214</v>
      </c>
      <c r="I117" s="828" t="s">
        <v>172</v>
      </c>
      <c r="J117" s="543" t="s">
        <v>36</v>
      </c>
      <c r="K117" s="556">
        <v>1</v>
      </c>
      <c r="L117" s="758">
        <v>0</v>
      </c>
      <c r="M117" s="1092" t="s">
        <v>173</v>
      </c>
      <c r="N117" s="1084" t="s">
        <v>174</v>
      </c>
      <c r="O117" s="1080" t="s">
        <v>175</v>
      </c>
      <c r="P117" s="651" t="s">
        <v>40</v>
      </c>
      <c r="Q117" s="546"/>
      <c r="R117" s="546"/>
      <c r="S117" s="638"/>
      <c r="T117" s="652">
        <f>0+20000000</f>
        <v>20000000</v>
      </c>
      <c r="U117" s="546"/>
      <c r="V117" s="546"/>
      <c r="W117" s="546"/>
      <c r="X117" s="546"/>
      <c r="Y117" s="546"/>
      <c r="Z117" s="546"/>
      <c r="AA117" s="546"/>
      <c r="AB117" s="546"/>
      <c r="AC117" s="546"/>
      <c r="AD117" s="546"/>
      <c r="AE117" s="550">
        <v>15000000</v>
      </c>
      <c r="AF117" s="547"/>
      <c r="AG117" s="547"/>
      <c r="AH117" s="653"/>
      <c r="AI117" s="900">
        <f>+Q117+R117+S117+T117+U117+V117+W117+X117+Y117+Z117+AA117+AB117+AC117+AD117+AE117+AF117+AG117+AH117</f>
        <v>35000000</v>
      </c>
    </row>
    <row r="118" spans="1:35" s="539" customFormat="1" ht="62.25" customHeight="1" x14ac:dyDescent="0.25">
      <c r="A118" s="919"/>
      <c r="B118" s="541"/>
      <c r="C118" s="1096"/>
      <c r="D118" s="1091"/>
      <c r="E118" s="1085"/>
      <c r="F118" s="1088"/>
      <c r="G118" s="549"/>
      <c r="H118" s="829">
        <v>215</v>
      </c>
      <c r="I118" s="828" t="s">
        <v>176</v>
      </c>
      <c r="J118" s="543">
        <v>10</v>
      </c>
      <c r="K118" s="556">
        <v>2</v>
      </c>
      <c r="L118" s="758">
        <v>2</v>
      </c>
      <c r="M118" s="1093"/>
      <c r="N118" s="1082"/>
      <c r="O118" s="1087"/>
      <c r="P118" s="654" t="s">
        <v>40</v>
      </c>
      <c r="Q118" s="546"/>
      <c r="R118" s="546"/>
      <c r="S118" s="655"/>
      <c r="T118" s="656"/>
      <c r="U118" s="546"/>
      <c r="V118" s="546"/>
      <c r="W118" s="546"/>
      <c r="X118" s="546"/>
      <c r="Y118" s="546"/>
      <c r="Z118" s="546"/>
      <c r="AA118" s="546"/>
      <c r="AB118" s="546"/>
      <c r="AC118" s="546"/>
      <c r="AD118" s="546"/>
      <c r="AE118" s="550">
        <v>15000000</v>
      </c>
      <c r="AF118" s="546"/>
      <c r="AG118" s="546"/>
      <c r="AH118" s="546"/>
      <c r="AI118" s="900">
        <f>+Q118+R118+S118+T118+U118+V118+W118+X118+Y118+Z118+AA118+AB118+AC118+AD118+AE118+AF118+AG118+AH118</f>
        <v>15000000</v>
      </c>
    </row>
    <row r="119" spans="1:35" s="539" customFormat="1" ht="91.5" customHeight="1" x14ac:dyDescent="0.25">
      <c r="A119" s="919"/>
      <c r="B119" s="541"/>
      <c r="C119" s="1096"/>
      <c r="D119" s="1091"/>
      <c r="E119" s="1085"/>
      <c r="F119" s="1088"/>
      <c r="G119" s="549"/>
      <c r="H119" s="829">
        <v>216</v>
      </c>
      <c r="I119" s="828" t="s">
        <v>177</v>
      </c>
      <c r="J119" s="657" t="s">
        <v>178</v>
      </c>
      <c r="K119" s="658">
        <f>1.994+2</f>
        <v>3.9939999999999998</v>
      </c>
      <c r="L119" s="791">
        <v>0</v>
      </c>
      <c r="M119" s="1093"/>
      <c r="N119" s="1082"/>
      <c r="O119" s="1087"/>
      <c r="P119" s="654" t="s">
        <v>40</v>
      </c>
      <c r="Q119" s="546"/>
      <c r="R119" s="546"/>
      <c r="S119" s="655"/>
      <c r="T119" s="656">
        <f>0+1050000000+65000000</f>
        <v>1115000000</v>
      </c>
      <c r="U119" s="546"/>
      <c r="V119" s="546"/>
      <c r="W119" s="546"/>
      <c r="X119" s="546"/>
      <c r="Y119" s="546"/>
      <c r="Z119" s="546"/>
      <c r="AA119" s="546"/>
      <c r="AB119" s="546"/>
      <c r="AC119" s="546"/>
      <c r="AD119" s="546"/>
      <c r="AE119" s="550">
        <v>25000000</v>
      </c>
      <c r="AF119" s="547"/>
      <c r="AG119" s="547"/>
      <c r="AH119" s="547"/>
      <c r="AI119" s="900">
        <f>+Q119+R119+S119+T119+U119+V119+W119+X119+Y119+Z119+AA119+AB119+AC119+AD119+AE119+AF119+AG119+AH119</f>
        <v>1140000000</v>
      </c>
    </row>
    <row r="120" spans="1:35" s="539" customFormat="1" ht="93" customHeight="1" x14ac:dyDescent="0.25">
      <c r="A120" s="919"/>
      <c r="B120" s="541"/>
      <c r="C120" s="1089">
        <v>12</v>
      </c>
      <c r="D120" s="1091" t="s">
        <v>179</v>
      </c>
      <c r="E120" s="1088">
        <v>3166</v>
      </c>
      <c r="F120" s="1088">
        <v>2500</v>
      </c>
      <c r="G120" s="549"/>
      <c r="H120" s="829">
        <v>217</v>
      </c>
      <c r="I120" s="828" t="s">
        <v>180</v>
      </c>
      <c r="J120" s="657" t="s">
        <v>178</v>
      </c>
      <c r="K120" s="648">
        <v>5</v>
      </c>
      <c r="L120" s="791">
        <v>0.2</v>
      </c>
      <c r="M120" s="1093"/>
      <c r="N120" s="1082"/>
      <c r="O120" s="1087"/>
      <c r="P120" s="651" t="s">
        <v>46</v>
      </c>
      <c r="Q120" s="546"/>
      <c r="R120" s="546"/>
      <c r="S120" s="655"/>
      <c r="T120" s="656">
        <f>2060000000+700000000+2658623337-65000000</f>
        <v>5353623337</v>
      </c>
      <c r="U120" s="546"/>
      <c r="V120" s="546"/>
      <c r="W120" s="546"/>
      <c r="X120" s="546"/>
      <c r="Y120" s="546"/>
      <c r="Z120" s="546"/>
      <c r="AA120" s="546"/>
      <c r="AB120" s="546"/>
      <c r="AC120" s="546"/>
      <c r="AD120" s="546"/>
      <c r="AE120" s="550">
        <v>0</v>
      </c>
      <c r="AF120" s="547"/>
      <c r="AG120" s="547"/>
      <c r="AH120" s="547"/>
      <c r="AI120" s="900">
        <f>+Q120+R120+S120+T120+U120+V120+W120+X120+Y120+Z120+AA120+AB120+AC120+AD120+AE120+AF120+AG120+AH120</f>
        <v>5353623337</v>
      </c>
    </row>
    <row r="121" spans="1:35" s="539" customFormat="1" ht="39.75" customHeight="1" x14ac:dyDescent="0.25">
      <c r="A121" s="919"/>
      <c r="B121" s="541"/>
      <c r="C121" s="1090"/>
      <c r="D121" s="1091"/>
      <c r="E121" s="1086"/>
      <c r="F121" s="1086"/>
      <c r="G121" s="624"/>
      <c r="H121" s="829">
        <v>218</v>
      </c>
      <c r="I121" s="828" t="s">
        <v>181</v>
      </c>
      <c r="J121" s="543">
        <v>3</v>
      </c>
      <c r="K121" s="544">
        <v>3</v>
      </c>
      <c r="L121" s="758">
        <v>3</v>
      </c>
      <c r="M121" s="1094"/>
      <c r="N121" s="1083"/>
      <c r="O121" s="1081"/>
      <c r="P121" s="651" t="s">
        <v>46</v>
      </c>
      <c r="Q121" s="546"/>
      <c r="R121" s="546"/>
      <c r="S121" s="655"/>
      <c r="T121" s="656">
        <f>0+75000000</f>
        <v>75000000</v>
      </c>
      <c r="U121" s="546"/>
      <c r="V121" s="546"/>
      <c r="W121" s="546"/>
      <c r="X121" s="546"/>
      <c r="Y121" s="546"/>
      <c r="Z121" s="546"/>
      <c r="AA121" s="546"/>
      <c r="AB121" s="546"/>
      <c r="AC121" s="546"/>
      <c r="AD121" s="546"/>
      <c r="AE121" s="550">
        <v>49600000</v>
      </c>
      <c r="AF121" s="547"/>
      <c r="AG121" s="547"/>
      <c r="AH121" s="547"/>
      <c r="AI121" s="900">
        <f>+Q121+R121+S121+T121+U121+V121+W121+X121+Y121+Z121+AA121+AB121+AC121+AD121+AE121+AF121+AG121+AH121</f>
        <v>124600000</v>
      </c>
    </row>
    <row r="122" spans="1:35" ht="15" x14ac:dyDescent="0.25">
      <c r="A122" s="917"/>
      <c r="B122" s="144"/>
      <c r="C122" s="846"/>
      <c r="D122" s="849"/>
      <c r="E122" s="865"/>
      <c r="F122" s="865"/>
      <c r="G122" s="147"/>
      <c r="H122" s="148"/>
      <c r="I122" s="147"/>
      <c r="J122" s="149"/>
      <c r="K122" s="196"/>
      <c r="L122" s="793"/>
      <c r="M122" s="149"/>
      <c r="N122" s="584"/>
      <c r="O122" s="147"/>
      <c r="P122" s="148"/>
      <c r="Q122" s="150"/>
      <c r="R122" s="150"/>
      <c r="S122" s="150"/>
      <c r="T122" s="150">
        <f>SUM(T117:T121)</f>
        <v>6563623337</v>
      </c>
      <c r="U122" s="150"/>
      <c r="V122" s="150"/>
      <c r="W122" s="150"/>
      <c r="X122" s="150"/>
      <c r="Y122" s="150">
        <f>SUM(Y117:Y121)</f>
        <v>0</v>
      </c>
      <c r="Z122" s="150"/>
      <c r="AA122" s="150"/>
      <c r="AB122" s="150">
        <f>SUM(AB117:AB121)</f>
        <v>0</v>
      </c>
      <c r="AC122" s="150"/>
      <c r="AD122" s="150"/>
      <c r="AE122" s="150">
        <f>SUM(AE117:AE121)</f>
        <v>104600000</v>
      </c>
      <c r="AF122" s="150"/>
      <c r="AG122" s="150"/>
      <c r="AH122" s="150"/>
      <c r="AI122" s="904">
        <f>SUM(AI117:AI121)</f>
        <v>6668223337</v>
      </c>
    </row>
    <row r="123" spans="1:35" ht="15" x14ac:dyDescent="0.25">
      <c r="A123" s="917"/>
      <c r="B123" s="144"/>
      <c r="C123" s="846"/>
      <c r="D123" s="849"/>
      <c r="E123" s="865"/>
      <c r="F123" s="865"/>
      <c r="G123" s="565"/>
      <c r="H123" s="250"/>
      <c r="I123" s="161"/>
      <c r="J123" s="162"/>
      <c r="K123" s="188"/>
      <c r="L123" s="794"/>
      <c r="M123" s="270"/>
      <c r="N123" s="57"/>
      <c r="O123" s="216"/>
      <c r="P123" s="845"/>
      <c r="Q123" s="12"/>
      <c r="R123" s="163"/>
      <c r="S123" s="12"/>
      <c r="T123" s="12"/>
      <c r="U123" s="12"/>
      <c r="V123" s="12"/>
      <c r="W123" s="12"/>
      <c r="X123" s="12"/>
      <c r="Y123" s="12"/>
      <c r="Z123" s="12"/>
      <c r="AA123" s="163"/>
      <c r="AB123" s="163"/>
      <c r="AC123" s="12"/>
      <c r="AD123" s="12"/>
      <c r="AE123" s="189"/>
      <c r="AF123" s="12"/>
      <c r="AG123" s="12"/>
      <c r="AH123" s="163"/>
      <c r="AI123" s="921"/>
    </row>
    <row r="124" spans="1:35" thickBot="1" x14ac:dyDescent="0.3">
      <c r="A124" s="917"/>
      <c r="B124" s="144"/>
      <c r="C124" s="846"/>
      <c r="D124" s="849"/>
      <c r="E124" s="865"/>
      <c r="F124" s="865"/>
      <c r="G124" s="251">
        <v>76</v>
      </c>
      <c r="H124" s="83" t="s">
        <v>182</v>
      </c>
      <c r="I124" s="271"/>
      <c r="J124" s="271"/>
      <c r="K124" s="272"/>
      <c r="L124" s="795"/>
      <c r="M124" s="271"/>
      <c r="N124" s="595"/>
      <c r="O124" s="271"/>
      <c r="P124" s="81"/>
      <c r="Q124" s="176"/>
      <c r="R124" s="176"/>
      <c r="S124" s="176"/>
      <c r="T124" s="176"/>
      <c r="U124" s="176"/>
      <c r="V124" s="176"/>
      <c r="W124" s="176"/>
      <c r="X124" s="176"/>
      <c r="Y124" s="176"/>
      <c r="Z124" s="176"/>
      <c r="AA124" s="176"/>
      <c r="AB124" s="176"/>
      <c r="AC124" s="176"/>
      <c r="AD124" s="176"/>
      <c r="AE124" s="177"/>
      <c r="AF124" s="176"/>
      <c r="AG124" s="176"/>
      <c r="AH124" s="176"/>
      <c r="AI124" s="918"/>
    </row>
    <row r="125" spans="1:35" s="539" customFormat="1" ht="95.25" customHeight="1" x14ac:dyDescent="0.25">
      <c r="A125" s="919"/>
      <c r="B125" s="541"/>
      <c r="C125" s="1116">
        <v>10</v>
      </c>
      <c r="D125" s="1091" t="s">
        <v>169</v>
      </c>
      <c r="E125" s="1098" t="s">
        <v>170</v>
      </c>
      <c r="F125" s="1085" t="s">
        <v>171</v>
      </c>
      <c r="G125" s="542"/>
      <c r="H125" s="829">
        <v>219</v>
      </c>
      <c r="I125" s="828" t="s">
        <v>183</v>
      </c>
      <c r="J125" s="543" t="s">
        <v>36</v>
      </c>
      <c r="K125" s="659">
        <v>11</v>
      </c>
      <c r="L125" s="792">
        <v>10</v>
      </c>
      <c r="M125" s="1092" t="s">
        <v>184</v>
      </c>
      <c r="N125" s="1084" t="s">
        <v>185</v>
      </c>
      <c r="O125" s="1080" t="s">
        <v>186</v>
      </c>
      <c r="P125" s="829" t="s">
        <v>40</v>
      </c>
      <c r="Q125" s="546"/>
      <c r="R125" s="546"/>
      <c r="S125" s="546"/>
      <c r="T125" s="661">
        <f>0+248530115</f>
        <v>248530115</v>
      </c>
      <c r="U125" s="546"/>
      <c r="V125" s="546"/>
      <c r="W125" s="546"/>
      <c r="X125" s="546"/>
      <c r="Y125" s="546"/>
      <c r="Z125" s="546"/>
      <c r="AA125" s="546"/>
      <c r="AB125" s="546"/>
      <c r="AC125" s="546"/>
      <c r="AD125" s="546"/>
      <c r="AE125" s="550">
        <v>100000000</v>
      </c>
      <c r="AF125" s="547"/>
      <c r="AG125" s="547"/>
      <c r="AH125" s="547"/>
      <c r="AI125" s="900">
        <f>+Q125+R125+S125+T125+U125+V125+W125+X125+Y125+Z125+AA125+AB125+AC125+AD125+AE125+AF125+AG125+AH125</f>
        <v>348530115</v>
      </c>
    </row>
    <row r="126" spans="1:35" s="539" customFormat="1" ht="57.75" customHeight="1" x14ac:dyDescent="0.25">
      <c r="A126" s="919"/>
      <c r="B126" s="541"/>
      <c r="C126" s="1117"/>
      <c r="D126" s="1091"/>
      <c r="E126" s="1098"/>
      <c r="F126" s="1086"/>
      <c r="G126" s="549"/>
      <c r="H126" s="829">
        <v>220</v>
      </c>
      <c r="I126" s="828" t="s">
        <v>187</v>
      </c>
      <c r="J126" s="543">
        <v>0</v>
      </c>
      <c r="K126" s="662">
        <v>12</v>
      </c>
      <c r="L126" s="792">
        <v>11</v>
      </c>
      <c r="M126" s="1093"/>
      <c r="N126" s="1082"/>
      <c r="O126" s="1087"/>
      <c r="P126" s="829" t="s">
        <v>40</v>
      </c>
      <c r="Q126" s="546"/>
      <c r="R126" s="546"/>
      <c r="S126" s="546"/>
      <c r="T126" s="661">
        <f>0+281438722</f>
        <v>281438722</v>
      </c>
      <c r="U126" s="546"/>
      <c r="V126" s="546"/>
      <c r="W126" s="546"/>
      <c r="X126" s="546"/>
      <c r="Y126" s="546"/>
      <c r="Z126" s="546"/>
      <c r="AA126" s="546"/>
      <c r="AB126" s="546"/>
      <c r="AC126" s="546"/>
      <c r="AD126" s="546"/>
      <c r="AE126" s="550">
        <v>78870000</v>
      </c>
      <c r="AF126" s="547"/>
      <c r="AG126" s="547"/>
      <c r="AH126" s="547"/>
      <c r="AI126" s="900">
        <f>+Q126+R126+S126+T126+U126+V126+W126+X126+Y126+Z126+AA126+AB126+AC126+AD126+AE126+AF126+AG126+AH126</f>
        <v>360308722</v>
      </c>
    </row>
    <row r="127" spans="1:35" s="539" customFormat="1" ht="60.75" customHeight="1" thickBot="1" x14ac:dyDescent="0.3">
      <c r="A127" s="919"/>
      <c r="B127" s="541"/>
      <c r="C127" s="826"/>
      <c r="D127" s="817"/>
      <c r="E127" s="821"/>
      <c r="F127" s="821"/>
      <c r="G127" s="624"/>
      <c r="H127" s="829">
        <v>222</v>
      </c>
      <c r="I127" s="828" t="s">
        <v>188</v>
      </c>
      <c r="J127" s="543">
        <v>1</v>
      </c>
      <c r="K127" s="663">
        <v>1</v>
      </c>
      <c r="L127" s="792">
        <v>0.7</v>
      </c>
      <c r="M127" s="1094"/>
      <c r="N127" s="1083"/>
      <c r="O127" s="1081"/>
      <c r="P127" s="829" t="s">
        <v>46</v>
      </c>
      <c r="Q127" s="546"/>
      <c r="R127" s="546"/>
      <c r="S127" s="546"/>
      <c r="T127" s="546"/>
      <c r="U127" s="546"/>
      <c r="V127" s="546"/>
      <c r="W127" s="546"/>
      <c r="X127" s="546"/>
      <c r="Y127" s="546"/>
      <c r="Z127" s="546"/>
      <c r="AA127" s="546"/>
      <c r="AB127" s="546"/>
      <c r="AC127" s="546"/>
      <c r="AD127" s="547"/>
      <c r="AE127" s="550">
        <v>10000000</v>
      </c>
      <c r="AF127" s="547"/>
      <c r="AG127" s="547"/>
      <c r="AH127" s="547"/>
      <c r="AI127" s="900">
        <f>+Q127+R127+S127+T127+U127+V127+W127+X127+Y127+Z127+AA127+AB127+AC127+AD127+AE127+AF127+AG127+AH127</f>
        <v>10000000</v>
      </c>
    </row>
    <row r="128" spans="1:35" x14ac:dyDescent="0.25">
      <c r="A128" s="917"/>
      <c r="B128" s="146"/>
      <c r="C128" s="846"/>
      <c r="D128" s="565"/>
      <c r="E128" s="865"/>
      <c r="F128" s="865"/>
      <c r="G128" s="85"/>
      <c r="H128" s="88"/>
      <c r="I128" s="81"/>
      <c r="J128" s="81"/>
      <c r="K128" s="207"/>
      <c r="L128" s="796"/>
      <c r="M128" s="81"/>
      <c r="N128" s="588"/>
      <c r="O128" s="81"/>
      <c r="P128" s="81"/>
      <c r="Q128" s="273"/>
      <c r="R128" s="273"/>
      <c r="S128" s="273"/>
      <c r="T128" s="45">
        <f>SUM(T125:T127)</f>
        <v>529968837</v>
      </c>
      <c r="U128" s="273"/>
      <c r="V128" s="273"/>
      <c r="W128" s="273"/>
      <c r="X128" s="273"/>
      <c r="Y128" s="273">
        <f>SUM(Y125:Y127)</f>
        <v>0</v>
      </c>
      <c r="Z128" s="273"/>
      <c r="AA128" s="273"/>
      <c r="AB128" s="273">
        <f>SUM(AB125:AB127)</f>
        <v>0</v>
      </c>
      <c r="AC128" s="273"/>
      <c r="AD128" s="273"/>
      <c r="AE128" s="45">
        <f>SUM(AE125:AE127)</f>
        <v>188870000</v>
      </c>
      <c r="AF128" s="273"/>
      <c r="AG128" s="273"/>
      <c r="AH128" s="273"/>
      <c r="AI128" s="944">
        <f>SUM(AI125:AI127)</f>
        <v>718838837</v>
      </c>
    </row>
    <row r="129" spans="1:35" ht="15" x14ac:dyDescent="0.25">
      <c r="A129" s="917"/>
      <c r="B129" s="151"/>
      <c r="C129" s="212"/>
      <c r="D129" s="151"/>
      <c r="E129" s="152"/>
      <c r="F129" s="152"/>
      <c r="G129" s="151"/>
      <c r="H129" s="152"/>
      <c r="I129" s="151"/>
      <c r="J129" s="153"/>
      <c r="K129" s="215"/>
      <c r="L129" s="797"/>
      <c r="M129" s="153"/>
      <c r="N129" s="585"/>
      <c r="O129" s="151"/>
      <c r="P129" s="152"/>
      <c r="Q129" s="154"/>
      <c r="R129" s="154"/>
      <c r="S129" s="154"/>
      <c r="T129" s="154">
        <f>T128+T122</f>
        <v>7093592174</v>
      </c>
      <c r="U129" s="154"/>
      <c r="V129" s="154"/>
      <c r="W129" s="154"/>
      <c r="X129" s="154"/>
      <c r="Y129" s="154">
        <f>Y128+Y122</f>
        <v>0</v>
      </c>
      <c r="Z129" s="154"/>
      <c r="AA129" s="154"/>
      <c r="AB129" s="154">
        <f>AB128+AB122</f>
        <v>0</v>
      </c>
      <c r="AC129" s="154"/>
      <c r="AD129" s="154"/>
      <c r="AE129" s="154">
        <f>AE128+AE122</f>
        <v>293470000</v>
      </c>
      <c r="AF129" s="154"/>
      <c r="AG129" s="154"/>
      <c r="AH129" s="154"/>
      <c r="AI129" s="906">
        <f>AI128+AI122</f>
        <v>7387062174</v>
      </c>
    </row>
    <row r="130" spans="1:35" ht="15" x14ac:dyDescent="0.25">
      <c r="A130" s="917"/>
      <c r="B130" s="565"/>
      <c r="C130" s="845"/>
      <c r="D130" s="161"/>
      <c r="E130" s="845"/>
      <c r="F130" s="845"/>
      <c r="G130" s="161"/>
      <c r="H130" s="845"/>
      <c r="I130" s="161"/>
      <c r="J130" s="162"/>
      <c r="K130" s="188"/>
      <c r="L130" s="794"/>
      <c r="M130" s="270"/>
      <c r="N130" s="57"/>
      <c r="O130" s="216"/>
      <c r="P130" s="845"/>
      <c r="Q130" s="12"/>
      <c r="R130" s="163"/>
      <c r="S130" s="12"/>
      <c r="T130" s="12"/>
      <c r="U130" s="12"/>
      <c r="V130" s="12"/>
      <c r="W130" s="12"/>
      <c r="X130" s="12"/>
      <c r="Y130" s="12"/>
      <c r="Z130" s="12"/>
      <c r="AA130" s="163"/>
      <c r="AB130" s="163"/>
      <c r="AC130" s="12"/>
      <c r="AD130" s="12"/>
      <c r="AE130" s="189"/>
      <c r="AF130" s="12"/>
      <c r="AG130" s="12"/>
      <c r="AH130" s="163"/>
      <c r="AI130" s="921"/>
    </row>
    <row r="131" spans="1:35" x14ac:dyDescent="0.25">
      <c r="A131" s="917"/>
      <c r="B131" s="261">
        <v>24</v>
      </c>
      <c r="C131" s="837" t="s">
        <v>189</v>
      </c>
      <c r="D131" s="87"/>
      <c r="E131" s="87"/>
      <c r="F131" s="87"/>
      <c r="G131" s="87"/>
      <c r="H131" s="838"/>
      <c r="I131" s="87"/>
      <c r="J131" s="87"/>
      <c r="K131" s="204"/>
      <c r="L131" s="798"/>
      <c r="M131" s="87"/>
      <c r="N131" s="15"/>
      <c r="O131" s="87"/>
      <c r="P131" s="87"/>
      <c r="Q131" s="169"/>
      <c r="R131" s="169"/>
      <c r="S131" s="169"/>
      <c r="T131" s="169"/>
      <c r="U131" s="169"/>
      <c r="V131" s="169"/>
      <c r="W131" s="169"/>
      <c r="X131" s="169"/>
      <c r="Y131" s="169"/>
      <c r="Z131" s="169"/>
      <c r="AA131" s="169"/>
      <c r="AB131" s="169"/>
      <c r="AC131" s="169"/>
      <c r="AD131" s="169"/>
      <c r="AE131" s="170"/>
      <c r="AF131" s="169"/>
      <c r="AG131" s="169"/>
      <c r="AH131" s="169"/>
      <c r="AI131" s="916"/>
    </row>
    <row r="132" spans="1:35" ht="15" x14ac:dyDescent="0.25">
      <c r="A132" s="917"/>
      <c r="B132" s="145"/>
      <c r="C132" s="845"/>
      <c r="D132" s="274"/>
      <c r="E132" s="274"/>
      <c r="F132" s="274"/>
      <c r="G132" s="275">
        <v>78</v>
      </c>
      <c r="H132" s="84" t="s">
        <v>190</v>
      </c>
      <c r="I132" s="84"/>
      <c r="J132" s="84"/>
      <c r="K132" s="219"/>
      <c r="L132" s="799"/>
      <c r="M132" s="84"/>
      <c r="N132" s="596"/>
      <c r="O132" s="84"/>
      <c r="P132" s="84"/>
      <c r="Q132" s="220"/>
      <c r="R132" s="220"/>
      <c r="S132" s="220"/>
      <c r="T132" s="220"/>
      <c r="U132" s="220"/>
      <c r="V132" s="220"/>
      <c r="W132" s="220"/>
      <c r="X132" s="220"/>
      <c r="Y132" s="220"/>
      <c r="Z132" s="220"/>
      <c r="AA132" s="220"/>
      <c r="AB132" s="220"/>
      <c r="AC132" s="220"/>
      <c r="AD132" s="220"/>
      <c r="AE132" s="221"/>
      <c r="AF132" s="220"/>
      <c r="AG132" s="220"/>
      <c r="AH132" s="220"/>
      <c r="AI132" s="923"/>
    </row>
    <row r="133" spans="1:35" s="539" customFormat="1" ht="78" customHeight="1" x14ac:dyDescent="0.25">
      <c r="A133" s="919"/>
      <c r="B133" s="549"/>
      <c r="C133" s="1096">
        <v>13</v>
      </c>
      <c r="D133" s="1080" t="s">
        <v>191</v>
      </c>
      <c r="E133" s="1085" t="s">
        <v>192</v>
      </c>
      <c r="F133" s="1085" t="s">
        <v>193</v>
      </c>
      <c r="G133" s="542"/>
      <c r="H133" s="829">
        <v>226</v>
      </c>
      <c r="I133" s="828" t="s">
        <v>194</v>
      </c>
      <c r="J133" s="543">
        <v>12</v>
      </c>
      <c r="K133" s="664">
        <v>12</v>
      </c>
      <c r="L133" s="792">
        <v>12</v>
      </c>
      <c r="M133" s="1092" t="s">
        <v>195</v>
      </c>
      <c r="N133" s="1084" t="s">
        <v>196</v>
      </c>
      <c r="O133" s="1080" t="s">
        <v>197</v>
      </c>
      <c r="P133" s="651" t="s">
        <v>46</v>
      </c>
      <c r="Q133" s="546"/>
      <c r="R133" s="546"/>
      <c r="S133" s="546"/>
      <c r="T133" s="546"/>
      <c r="U133" s="546"/>
      <c r="V133" s="546"/>
      <c r="W133" s="546"/>
      <c r="X133" s="546"/>
      <c r="Y133" s="546"/>
      <c r="Z133" s="546"/>
      <c r="AA133" s="546"/>
      <c r="AB133" s="546"/>
      <c r="AC133" s="546"/>
      <c r="AD133" s="546"/>
      <c r="AE133" s="550">
        <f>199000000+1000000+50000000+20000000</f>
        <v>270000000</v>
      </c>
      <c r="AF133" s="547"/>
      <c r="AG133" s="547"/>
      <c r="AH133" s="547"/>
      <c r="AI133" s="900">
        <f>+Q133+R133+S133+T133+U133+V133+W133+X133+Y133+Z133+AA133+AB133+AC133+AD133+AE133+AF133+AG133+AH133</f>
        <v>270000000</v>
      </c>
    </row>
    <row r="134" spans="1:35" s="539" customFormat="1" ht="63.75" customHeight="1" x14ac:dyDescent="0.25">
      <c r="A134" s="919"/>
      <c r="B134" s="549"/>
      <c r="C134" s="1089"/>
      <c r="D134" s="1087"/>
      <c r="E134" s="1088"/>
      <c r="F134" s="1088"/>
      <c r="G134" s="549"/>
      <c r="H134" s="829">
        <v>227</v>
      </c>
      <c r="I134" s="828" t="s">
        <v>198</v>
      </c>
      <c r="J134" s="543">
        <v>12</v>
      </c>
      <c r="K134" s="664">
        <v>12</v>
      </c>
      <c r="L134" s="792">
        <v>3</v>
      </c>
      <c r="M134" s="1093"/>
      <c r="N134" s="1082"/>
      <c r="O134" s="1087"/>
      <c r="P134" s="651" t="s">
        <v>46</v>
      </c>
      <c r="Q134" s="546"/>
      <c r="R134" s="546"/>
      <c r="S134" s="546"/>
      <c r="T134" s="546"/>
      <c r="U134" s="546"/>
      <c r="V134" s="546"/>
      <c r="W134" s="546"/>
      <c r="X134" s="546"/>
      <c r="Y134" s="546"/>
      <c r="Z134" s="546"/>
      <c r="AA134" s="546"/>
      <c r="AB134" s="546"/>
      <c r="AC134" s="546"/>
      <c r="AD134" s="546"/>
      <c r="AE134" s="550">
        <v>40000000</v>
      </c>
      <c r="AF134" s="547"/>
      <c r="AG134" s="547"/>
      <c r="AH134" s="547"/>
      <c r="AI134" s="900">
        <f>+Q134+R134+S134+T134+U134+V134+W134+X134+Y134+Z134+AA134+AB134+AC134+AD134+AE134+AF134+AG134+AH134</f>
        <v>40000000</v>
      </c>
    </row>
    <row r="135" spans="1:35" s="539" customFormat="1" ht="69" customHeight="1" x14ac:dyDescent="0.25">
      <c r="A135" s="919"/>
      <c r="B135" s="549"/>
      <c r="C135" s="1089"/>
      <c r="D135" s="1087"/>
      <c r="E135" s="1088"/>
      <c r="F135" s="1088"/>
      <c r="G135" s="549"/>
      <c r="H135" s="829">
        <v>228</v>
      </c>
      <c r="I135" s="828" t="s">
        <v>199</v>
      </c>
      <c r="J135" s="543">
        <v>2</v>
      </c>
      <c r="K135" s="664">
        <v>2</v>
      </c>
      <c r="L135" s="792">
        <v>2</v>
      </c>
      <c r="M135" s="1093"/>
      <c r="N135" s="1082"/>
      <c r="O135" s="1087"/>
      <c r="P135" s="651" t="s">
        <v>46</v>
      </c>
      <c r="Q135" s="546"/>
      <c r="R135" s="546"/>
      <c r="S135" s="546"/>
      <c r="T135" s="546"/>
      <c r="U135" s="546"/>
      <c r="V135" s="546"/>
      <c r="W135" s="546"/>
      <c r="X135" s="546"/>
      <c r="Y135" s="546"/>
      <c r="Z135" s="546"/>
      <c r="AA135" s="546"/>
      <c r="AB135" s="546"/>
      <c r="AC135" s="546"/>
      <c r="AD135" s="546"/>
      <c r="AE135" s="550">
        <f>40000000+5000000</f>
        <v>45000000</v>
      </c>
      <c r="AF135" s="547"/>
      <c r="AG135" s="547"/>
      <c r="AH135" s="547"/>
      <c r="AI135" s="900">
        <f>+Q135+R135+S135+T135+U135+V135+W135+X135+Y135+Z135+AA135+AB135+AC135+AD135+AE135+AF135+AG135+AH135</f>
        <v>45000000</v>
      </c>
    </row>
    <row r="136" spans="1:35" s="539" customFormat="1" ht="91.5" customHeight="1" x14ac:dyDescent="0.25">
      <c r="A136" s="919"/>
      <c r="B136" s="549"/>
      <c r="C136" s="1089"/>
      <c r="D136" s="1087"/>
      <c r="E136" s="1088"/>
      <c r="F136" s="1088"/>
      <c r="G136" s="549"/>
      <c r="H136" s="829">
        <v>229</v>
      </c>
      <c r="I136" s="828" t="s">
        <v>200</v>
      </c>
      <c r="J136" s="665">
        <v>13</v>
      </c>
      <c r="K136" s="664">
        <v>13</v>
      </c>
      <c r="L136" s="792">
        <v>13</v>
      </c>
      <c r="M136" s="1093"/>
      <c r="N136" s="1082"/>
      <c r="O136" s="1087"/>
      <c r="P136" s="651" t="s">
        <v>46</v>
      </c>
      <c r="Q136" s="546"/>
      <c r="R136" s="546"/>
      <c r="S136" s="546"/>
      <c r="T136" s="546"/>
      <c r="U136" s="546"/>
      <c r="V136" s="546"/>
      <c r="W136" s="546"/>
      <c r="X136" s="546"/>
      <c r="Y136" s="546"/>
      <c r="Z136" s="546"/>
      <c r="AA136" s="546"/>
      <c r="AB136" s="546"/>
      <c r="AC136" s="546"/>
      <c r="AD136" s="546"/>
      <c r="AE136" s="550">
        <f>65000000+5000000</f>
        <v>70000000</v>
      </c>
      <c r="AF136" s="547"/>
      <c r="AG136" s="547"/>
      <c r="AH136" s="547"/>
      <c r="AI136" s="900">
        <f>+Q136+R136+S136+T136+U136+V136+W136+X136+Y136+Z136+AA136+AB136+AC136+AD136+AE136+AF136+AG136+AH136</f>
        <v>70000000</v>
      </c>
    </row>
    <row r="137" spans="1:35" s="539" customFormat="1" ht="88.5" customHeight="1" x14ac:dyDescent="0.25">
      <c r="A137" s="919"/>
      <c r="B137" s="549"/>
      <c r="C137" s="1090"/>
      <c r="D137" s="1081"/>
      <c r="E137" s="1086"/>
      <c r="F137" s="1086"/>
      <c r="G137" s="549"/>
      <c r="H137" s="829">
        <v>230</v>
      </c>
      <c r="I137" s="828" t="s">
        <v>201</v>
      </c>
      <c r="J137" s="543">
        <v>0</v>
      </c>
      <c r="K137" s="664">
        <v>1</v>
      </c>
      <c r="L137" s="792">
        <v>1</v>
      </c>
      <c r="M137" s="1094"/>
      <c r="N137" s="1083"/>
      <c r="O137" s="1081"/>
      <c r="P137" s="651" t="s">
        <v>46</v>
      </c>
      <c r="Q137" s="546"/>
      <c r="R137" s="546"/>
      <c r="S137" s="546"/>
      <c r="T137" s="546"/>
      <c r="U137" s="546"/>
      <c r="V137" s="546"/>
      <c r="W137" s="546"/>
      <c r="X137" s="546"/>
      <c r="Y137" s="546"/>
      <c r="Z137" s="546"/>
      <c r="AA137" s="546"/>
      <c r="AB137" s="546"/>
      <c r="AC137" s="546"/>
      <c r="AD137" s="546"/>
      <c r="AE137" s="550">
        <v>54000000</v>
      </c>
      <c r="AF137" s="547"/>
      <c r="AG137" s="547"/>
      <c r="AH137" s="547"/>
      <c r="AI137" s="900">
        <f>+Q137+R137+S137+T137+U137+V137+W137+X137+Y137+Z137+AA137+AB137+AC137+AD137+AE137+AF137+AG137+AH137</f>
        <v>54000000</v>
      </c>
    </row>
    <row r="138" spans="1:35" ht="15" x14ac:dyDescent="0.25">
      <c r="A138" s="917"/>
      <c r="B138" s="3"/>
      <c r="C138" s="846"/>
      <c r="D138" s="565"/>
      <c r="E138" s="865"/>
      <c r="F138" s="865"/>
      <c r="G138" s="147"/>
      <c r="H138" s="148"/>
      <c r="I138" s="147"/>
      <c r="J138" s="149"/>
      <c r="K138" s="276"/>
      <c r="L138" s="800"/>
      <c r="M138" s="277"/>
      <c r="N138" s="584"/>
      <c r="O138" s="147"/>
      <c r="P138" s="148"/>
      <c r="Q138" s="150"/>
      <c r="R138" s="150"/>
      <c r="S138" s="150"/>
      <c r="T138" s="150"/>
      <c r="U138" s="150"/>
      <c r="V138" s="150"/>
      <c r="W138" s="150"/>
      <c r="X138" s="150"/>
      <c r="Y138" s="150">
        <f>SUM(Y133:Y137)</f>
        <v>0</v>
      </c>
      <c r="Z138" s="150"/>
      <c r="AA138" s="150"/>
      <c r="AB138" s="150">
        <f>SUM(AB133:AB137)</f>
        <v>0</v>
      </c>
      <c r="AC138" s="150"/>
      <c r="AD138" s="150"/>
      <c r="AE138" s="150">
        <f>SUM(AE133:AE137)</f>
        <v>479000000</v>
      </c>
      <c r="AF138" s="150"/>
      <c r="AG138" s="150"/>
      <c r="AH138" s="150"/>
      <c r="AI138" s="904">
        <f>SUM(AI133:AI137)</f>
        <v>479000000</v>
      </c>
    </row>
    <row r="139" spans="1:35" ht="15" x14ac:dyDescent="0.25">
      <c r="A139" s="917"/>
      <c r="B139" s="3"/>
      <c r="C139" s="845"/>
      <c r="D139" s="161"/>
      <c r="E139" s="845"/>
      <c r="F139" s="845"/>
      <c r="G139" s="161"/>
      <c r="H139" s="845"/>
      <c r="I139" s="161"/>
      <c r="J139" s="162"/>
      <c r="K139" s="278"/>
      <c r="L139" s="801"/>
      <c r="M139" s="279"/>
      <c r="N139" s="57"/>
      <c r="O139" s="216"/>
      <c r="P139" s="845"/>
      <c r="Q139" s="12"/>
      <c r="R139" s="163"/>
      <c r="S139" s="12"/>
      <c r="T139" s="12"/>
      <c r="U139" s="12"/>
      <c r="V139" s="12"/>
      <c r="W139" s="12"/>
      <c r="X139" s="12"/>
      <c r="Y139" s="12"/>
      <c r="Z139" s="12"/>
      <c r="AA139" s="163"/>
      <c r="AB139" s="163"/>
      <c r="AC139" s="12"/>
      <c r="AD139" s="280"/>
      <c r="AE139" s="281"/>
      <c r="AF139" s="12"/>
      <c r="AG139" s="12"/>
      <c r="AH139" s="163"/>
      <c r="AI139" s="921"/>
    </row>
    <row r="140" spans="1:35" ht="15" x14ac:dyDescent="0.25">
      <c r="A140" s="917"/>
      <c r="B140" s="3"/>
      <c r="C140" s="846"/>
      <c r="D140" s="565"/>
      <c r="E140" s="865"/>
      <c r="F140" s="865"/>
      <c r="G140" s="251">
        <v>79</v>
      </c>
      <c r="H140" s="85" t="s">
        <v>202</v>
      </c>
      <c r="I140" s="81"/>
      <c r="J140" s="81"/>
      <c r="K140" s="207"/>
      <c r="L140" s="796"/>
      <c r="M140" s="81"/>
      <c r="N140" s="88"/>
      <c r="O140" s="81"/>
      <c r="P140" s="81"/>
      <c r="Q140" s="282"/>
      <c r="R140" s="282"/>
      <c r="S140" s="282"/>
      <c r="T140" s="282"/>
      <c r="U140" s="282"/>
      <c r="V140" s="282"/>
      <c r="W140" s="282"/>
      <c r="X140" s="282"/>
      <c r="Y140" s="282"/>
      <c r="Z140" s="282"/>
      <c r="AA140" s="282"/>
      <c r="AB140" s="282"/>
      <c r="AC140" s="282"/>
      <c r="AD140" s="282"/>
      <c r="AE140" s="283"/>
      <c r="AF140" s="282"/>
      <c r="AG140" s="282"/>
      <c r="AH140" s="282"/>
      <c r="AI140" s="918"/>
    </row>
    <row r="141" spans="1:35" s="539" customFormat="1" ht="83.25" customHeight="1" x14ac:dyDescent="0.25">
      <c r="A141" s="919"/>
      <c r="B141" s="549"/>
      <c r="C141" s="1096">
        <v>13</v>
      </c>
      <c r="D141" s="1080" t="s">
        <v>191</v>
      </c>
      <c r="E141" s="1085" t="s">
        <v>192</v>
      </c>
      <c r="F141" s="1085" t="s">
        <v>193</v>
      </c>
      <c r="G141" s="542"/>
      <c r="H141" s="829">
        <v>231</v>
      </c>
      <c r="I141" s="828" t="s">
        <v>203</v>
      </c>
      <c r="J141" s="543">
        <v>1</v>
      </c>
      <c r="K141" s="544">
        <v>1</v>
      </c>
      <c r="L141" s="758">
        <v>1</v>
      </c>
      <c r="M141" s="1092" t="s">
        <v>195</v>
      </c>
      <c r="N141" s="1084" t="s">
        <v>204</v>
      </c>
      <c r="O141" s="1080" t="s">
        <v>205</v>
      </c>
      <c r="P141" s="829" t="s">
        <v>46</v>
      </c>
      <c r="Q141" s="546"/>
      <c r="R141" s="546"/>
      <c r="S141" s="546"/>
      <c r="T141" s="546"/>
      <c r="U141" s="546"/>
      <c r="V141" s="546"/>
      <c r="W141" s="546"/>
      <c r="X141" s="546"/>
      <c r="Y141" s="546"/>
      <c r="Z141" s="546"/>
      <c r="AA141" s="546"/>
      <c r="AB141" s="546"/>
      <c r="AC141" s="546"/>
      <c r="AD141" s="546"/>
      <c r="AE141" s="550">
        <v>6000000</v>
      </c>
      <c r="AF141" s="547"/>
      <c r="AG141" s="547"/>
      <c r="AH141" s="547"/>
      <c r="AI141" s="900">
        <f>+Q141+R141+S141+T141+U141+V141+W141+X141+Y141+Z141+AA141+AB141+AC141+AD141+AE141+AF141+AG141+AH141</f>
        <v>6000000</v>
      </c>
    </row>
    <row r="142" spans="1:35" s="539" customFormat="1" ht="28.5" x14ac:dyDescent="0.25">
      <c r="A142" s="919"/>
      <c r="B142" s="549"/>
      <c r="C142" s="1089"/>
      <c r="D142" s="1087"/>
      <c r="E142" s="1088"/>
      <c r="F142" s="1088"/>
      <c r="G142" s="549"/>
      <c r="H142" s="829">
        <v>232</v>
      </c>
      <c r="I142" s="828" t="s">
        <v>206</v>
      </c>
      <c r="J142" s="543">
        <v>12</v>
      </c>
      <c r="K142" s="544">
        <v>12</v>
      </c>
      <c r="L142" s="758">
        <v>12</v>
      </c>
      <c r="M142" s="1093"/>
      <c r="N142" s="1082"/>
      <c r="O142" s="1087"/>
      <c r="P142" s="829" t="s">
        <v>46</v>
      </c>
      <c r="Q142" s="546"/>
      <c r="R142" s="546"/>
      <c r="S142" s="546"/>
      <c r="T142" s="546"/>
      <c r="U142" s="546"/>
      <c r="V142" s="546"/>
      <c r="W142" s="546"/>
      <c r="X142" s="546"/>
      <c r="Y142" s="546"/>
      <c r="Z142" s="546"/>
      <c r="AA142" s="546"/>
      <c r="AB142" s="546"/>
      <c r="AC142" s="546"/>
      <c r="AD142" s="546"/>
      <c r="AE142" s="550">
        <f>11000000+30000000</f>
        <v>41000000</v>
      </c>
      <c r="AF142" s="547"/>
      <c r="AG142" s="547"/>
      <c r="AH142" s="547"/>
      <c r="AI142" s="900">
        <f>+Q142+R142+S142+T142+U142+V142+W142+X142+Y142+Z142+AA142+AB142+AC142+AD142+AE142+AF142+AG142+AH142</f>
        <v>41000000</v>
      </c>
    </row>
    <row r="143" spans="1:35" s="539" customFormat="1" ht="53.25" customHeight="1" x14ac:dyDescent="0.25">
      <c r="A143" s="919"/>
      <c r="B143" s="549"/>
      <c r="C143" s="1090"/>
      <c r="D143" s="1081"/>
      <c r="E143" s="1086"/>
      <c r="F143" s="1086"/>
      <c r="G143" s="549"/>
      <c r="H143" s="829">
        <v>233</v>
      </c>
      <c r="I143" s="828" t="s">
        <v>207</v>
      </c>
      <c r="J143" s="543">
        <v>1</v>
      </c>
      <c r="K143" s="544">
        <v>1</v>
      </c>
      <c r="L143" s="758">
        <v>0.75</v>
      </c>
      <c r="M143" s="1094"/>
      <c r="N143" s="1083"/>
      <c r="O143" s="1081"/>
      <c r="P143" s="829" t="s">
        <v>46</v>
      </c>
      <c r="Q143" s="546"/>
      <c r="R143" s="546"/>
      <c r="S143" s="546"/>
      <c r="T143" s="546"/>
      <c r="U143" s="546"/>
      <c r="V143" s="546"/>
      <c r="W143" s="546"/>
      <c r="X143" s="546"/>
      <c r="Y143" s="546"/>
      <c r="Z143" s="546"/>
      <c r="AA143" s="546"/>
      <c r="AB143" s="546"/>
      <c r="AC143" s="546"/>
      <c r="AD143" s="546"/>
      <c r="AE143" s="550">
        <v>11000000</v>
      </c>
      <c r="AF143" s="547"/>
      <c r="AG143" s="547"/>
      <c r="AH143" s="547"/>
      <c r="AI143" s="900">
        <f>+Q143+R143+S143+T143+U143+V143+W143+X143+Y143+Z143+AA143+AB143+AC143+AD143+AE143+AF143+AG143+AH143</f>
        <v>11000000</v>
      </c>
    </row>
    <row r="144" spans="1:35" ht="15" x14ac:dyDescent="0.25">
      <c r="A144" s="917"/>
      <c r="B144" s="3"/>
      <c r="C144" s="846"/>
      <c r="D144" s="565"/>
      <c r="E144" s="865"/>
      <c r="F144" s="865"/>
      <c r="G144" s="147"/>
      <c r="H144" s="148"/>
      <c r="I144" s="147"/>
      <c r="J144" s="149"/>
      <c r="K144" s="196"/>
      <c r="L144" s="793"/>
      <c r="M144" s="149"/>
      <c r="N144" s="584"/>
      <c r="O144" s="147"/>
      <c r="P144" s="148"/>
      <c r="Q144" s="150"/>
      <c r="R144" s="150"/>
      <c r="S144" s="150"/>
      <c r="T144" s="150"/>
      <c r="U144" s="150"/>
      <c r="V144" s="150"/>
      <c r="W144" s="150"/>
      <c r="X144" s="150"/>
      <c r="Y144" s="150">
        <f>SUM(Y141:Y143)</f>
        <v>0</v>
      </c>
      <c r="Z144" s="150"/>
      <c r="AA144" s="150"/>
      <c r="AB144" s="150">
        <f>SUM(AB141:AB143)</f>
        <v>0</v>
      </c>
      <c r="AC144" s="150"/>
      <c r="AD144" s="150"/>
      <c r="AE144" s="150">
        <f>SUM(AE141:AE143)</f>
        <v>58000000</v>
      </c>
      <c r="AF144" s="150"/>
      <c r="AG144" s="150"/>
      <c r="AH144" s="150"/>
      <c r="AI144" s="904">
        <f>SUM(AI141:AI143)</f>
        <v>58000000</v>
      </c>
    </row>
    <row r="145" spans="1:35" ht="15" x14ac:dyDescent="0.25">
      <c r="A145" s="917"/>
      <c r="B145" s="3"/>
      <c r="C145" s="845"/>
      <c r="D145" s="161"/>
      <c r="E145" s="845"/>
      <c r="F145" s="845"/>
      <c r="G145" s="161"/>
      <c r="H145" s="845"/>
      <c r="I145" s="161"/>
      <c r="J145" s="162"/>
      <c r="K145" s="188"/>
      <c r="L145" s="794"/>
      <c r="M145" s="270"/>
      <c r="N145" s="57"/>
      <c r="O145" s="216"/>
      <c r="P145" s="845"/>
      <c r="Q145" s="12"/>
      <c r="R145" s="163"/>
      <c r="S145" s="12"/>
      <c r="T145" s="12"/>
      <c r="U145" s="12"/>
      <c r="V145" s="12"/>
      <c r="W145" s="12"/>
      <c r="X145" s="12"/>
      <c r="Y145" s="12"/>
      <c r="Z145" s="12"/>
      <c r="AA145" s="163"/>
      <c r="AB145" s="163"/>
      <c r="AC145" s="12"/>
      <c r="AD145" s="280"/>
      <c r="AE145" s="281"/>
      <c r="AF145" s="12"/>
      <c r="AG145" s="12"/>
      <c r="AH145" s="163"/>
      <c r="AI145" s="921"/>
    </row>
    <row r="146" spans="1:35" ht="15" x14ac:dyDescent="0.25">
      <c r="A146" s="917"/>
      <c r="B146" s="3"/>
      <c r="C146" s="846"/>
      <c r="D146" s="565"/>
      <c r="E146" s="865"/>
      <c r="F146" s="865"/>
      <c r="G146" s="251">
        <v>80</v>
      </c>
      <c r="H146" s="85" t="s">
        <v>208</v>
      </c>
      <c r="I146" s="81"/>
      <c r="J146" s="81"/>
      <c r="K146" s="207"/>
      <c r="L146" s="796"/>
      <c r="M146" s="81"/>
      <c r="N146" s="88"/>
      <c r="O146" s="81"/>
      <c r="P146" s="81"/>
      <c r="Q146" s="176"/>
      <c r="R146" s="176"/>
      <c r="S146" s="176"/>
      <c r="T146" s="176"/>
      <c r="U146" s="176"/>
      <c r="V146" s="176"/>
      <c r="W146" s="176"/>
      <c r="X146" s="176"/>
      <c r="Y146" s="176"/>
      <c r="Z146" s="176"/>
      <c r="AA146" s="176"/>
      <c r="AB146" s="176"/>
      <c r="AC146" s="176"/>
      <c r="AD146" s="176"/>
      <c r="AE146" s="177"/>
      <c r="AF146" s="176"/>
      <c r="AG146" s="176"/>
      <c r="AH146" s="176"/>
      <c r="AI146" s="918"/>
    </row>
    <row r="147" spans="1:35" s="539" customFormat="1" ht="113.25" customHeight="1" x14ac:dyDescent="0.25">
      <c r="A147" s="919"/>
      <c r="B147" s="549"/>
      <c r="C147" s="1096">
        <v>13</v>
      </c>
      <c r="D147" s="1080" t="s">
        <v>191</v>
      </c>
      <c r="E147" s="1085">
        <v>71.040000000000006</v>
      </c>
      <c r="F147" s="1085">
        <v>88.17</v>
      </c>
      <c r="G147" s="542"/>
      <c r="H147" s="829">
        <v>234</v>
      </c>
      <c r="I147" s="828" t="s">
        <v>209</v>
      </c>
      <c r="J147" s="543" t="s">
        <v>36</v>
      </c>
      <c r="K147" s="666">
        <v>2</v>
      </c>
      <c r="L147" s="792">
        <v>2</v>
      </c>
      <c r="M147" s="1092" t="s">
        <v>195</v>
      </c>
      <c r="N147" s="1084" t="s">
        <v>210</v>
      </c>
      <c r="O147" s="1080" t="s">
        <v>211</v>
      </c>
      <c r="P147" s="829" t="s">
        <v>40</v>
      </c>
      <c r="Q147" s="546"/>
      <c r="R147" s="546"/>
      <c r="S147" s="546"/>
      <c r="T147" s="546"/>
      <c r="U147" s="546"/>
      <c r="V147" s="546"/>
      <c r="W147" s="546"/>
      <c r="X147" s="546"/>
      <c r="Y147" s="546"/>
      <c r="Z147" s="546"/>
      <c r="AA147" s="546"/>
      <c r="AB147" s="546"/>
      <c r="AC147" s="546"/>
      <c r="AD147" s="546"/>
      <c r="AE147" s="550">
        <f>10000000+5000000</f>
        <v>15000000</v>
      </c>
      <c r="AF147" s="547"/>
      <c r="AG147" s="547"/>
      <c r="AH147" s="547"/>
      <c r="AI147" s="900">
        <f>+Q147+R147+S147+T147+U147+V147+W147+X147+Y147+Z147+AA147+AB147+AC147+AD147+AE147+AF147+AG147+AH147</f>
        <v>15000000</v>
      </c>
    </row>
    <row r="148" spans="1:35" s="539" customFormat="1" ht="87" customHeight="1" x14ac:dyDescent="0.25">
      <c r="A148" s="919"/>
      <c r="B148" s="549"/>
      <c r="C148" s="1090"/>
      <c r="D148" s="1081"/>
      <c r="E148" s="1086"/>
      <c r="F148" s="1086"/>
      <c r="G148" s="549"/>
      <c r="H148" s="829">
        <v>235</v>
      </c>
      <c r="I148" s="828" t="s">
        <v>212</v>
      </c>
      <c r="J148" s="543" t="s">
        <v>36</v>
      </c>
      <c r="K148" s="660">
        <v>2</v>
      </c>
      <c r="L148" s="792">
        <v>2</v>
      </c>
      <c r="M148" s="1094"/>
      <c r="N148" s="1083"/>
      <c r="O148" s="1081"/>
      <c r="P148" s="829" t="s">
        <v>40</v>
      </c>
      <c r="Q148" s="546"/>
      <c r="R148" s="546"/>
      <c r="S148" s="546"/>
      <c r="T148" s="546"/>
      <c r="U148" s="546"/>
      <c r="V148" s="546"/>
      <c r="W148" s="546"/>
      <c r="X148" s="546"/>
      <c r="Y148" s="546"/>
      <c r="Z148" s="546"/>
      <c r="AA148" s="546"/>
      <c r="AB148" s="546"/>
      <c r="AC148" s="546"/>
      <c r="AD148" s="546"/>
      <c r="AE148" s="550">
        <f>18000000+10000000+25000000</f>
        <v>53000000</v>
      </c>
      <c r="AF148" s="547"/>
      <c r="AG148" s="547"/>
      <c r="AH148" s="547"/>
      <c r="AI148" s="900">
        <f>+Q148+R148+S148+T148+U148+V148+W148+X148+Y148+Z148+AA148+AB148+AC148+AD148+AE148+AF148+AG148+AH148</f>
        <v>53000000</v>
      </c>
    </row>
    <row r="149" spans="1:35" ht="15" x14ac:dyDescent="0.25">
      <c r="A149" s="917"/>
      <c r="B149" s="72"/>
      <c r="C149" s="846"/>
      <c r="D149" s="565"/>
      <c r="E149" s="865"/>
      <c r="F149" s="865"/>
      <c r="G149" s="147"/>
      <c r="H149" s="148"/>
      <c r="I149" s="147"/>
      <c r="J149" s="149"/>
      <c r="K149" s="196"/>
      <c r="L149" s="793"/>
      <c r="M149" s="149"/>
      <c r="N149" s="584"/>
      <c r="O149" s="147"/>
      <c r="P149" s="148"/>
      <c r="Q149" s="150"/>
      <c r="R149" s="150"/>
      <c r="S149" s="150"/>
      <c r="T149" s="150">
        <f>SUM(T147:T148)</f>
        <v>0</v>
      </c>
      <c r="U149" s="150"/>
      <c r="V149" s="150"/>
      <c r="W149" s="150"/>
      <c r="X149" s="150"/>
      <c r="Y149" s="150">
        <f>SUM(Y147:Y148)</f>
        <v>0</v>
      </c>
      <c r="Z149" s="150"/>
      <c r="AA149" s="150"/>
      <c r="AB149" s="150">
        <f>SUM(AB147:AB148)</f>
        <v>0</v>
      </c>
      <c r="AC149" s="150"/>
      <c r="AD149" s="150"/>
      <c r="AE149" s="150">
        <f>SUM(AE147:AE148)</f>
        <v>68000000</v>
      </c>
      <c r="AF149" s="150"/>
      <c r="AG149" s="150"/>
      <c r="AH149" s="150"/>
      <c r="AI149" s="904">
        <f>SUM(AI147:AI148)</f>
        <v>68000000</v>
      </c>
    </row>
    <row r="150" spans="1:35" ht="15" x14ac:dyDescent="0.25">
      <c r="A150" s="917"/>
      <c r="B150" s="151"/>
      <c r="C150" s="212"/>
      <c r="D150" s="151"/>
      <c r="E150" s="152"/>
      <c r="F150" s="152"/>
      <c r="G150" s="151"/>
      <c r="H150" s="152"/>
      <c r="I150" s="151"/>
      <c r="J150" s="153"/>
      <c r="K150" s="215"/>
      <c r="L150" s="797"/>
      <c r="M150" s="153"/>
      <c r="N150" s="585"/>
      <c r="O150" s="151"/>
      <c r="P150" s="152"/>
      <c r="Q150" s="154"/>
      <c r="R150" s="154"/>
      <c r="S150" s="154"/>
      <c r="T150" s="154">
        <f>T149+T144+T138</f>
        <v>0</v>
      </c>
      <c r="U150" s="154"/>
      <c r="V150" s="154"/>
      <c r="W150" s="154"/>
      <c r="X150" s="154"/>
      <c r="Y150" s="154">
        <f>Y149+Y144+Y138</f>
        <v>0</v>
      </c>
      <c r="Z150" s="154"/>
      <c r="AA150" s="154"/>
      <c r="AB150" s="154">
        <f>AB149+AB144+AB138</f>
        <v>0</v>
      </c>
      <c r="AC150" s="154"/>
      <c r="AD150" s="154"/>
      <c r="AE150" s="154">
        <f>AE149+AE144+AE138</f>
        <v>605000000</v>
      </c>
      <c r="AF150" s="154"/>
      <c r="AG150" s="154"/>
      <c r="AH150" s="154"/>
      <c r="AI150" s="906">
        <f>AI149+AI144+AI138</f>
        <v>605000000</v>
      </c>
    </row>
    <row r="151" spans="1:35" ht="15" x14ac:dyDescent="0.25">
      <c r="A151" s="917"/>
      <c r="B151" s="565"/>
      <c r="C151" s="845"/>
      <c r="D151" s="161"/>
      <c r="E151" s="845"/>
      <c r="F151" s="845"/>
      <c r="G151" s="161"/>
      <c r="H151" s="845"/>
      <c r="I151" s="161"/>
      <c r="J151" s="162"/>
      <c r="K151" s="188"/>
      <c r="L151" s="794"/>
      <c r="M151" s="270"/>
      <c r="N151" s="57"/>
      <c r="O151" s="216"/>
      <c r="P151" s="845"/>
      <c r="Q151" s="12"/>
      <c r="R151" s="163"/>
      <c r="S151" s="12"/>
      <c r="T151" s="12"/>
      <c r="U151" s="12"/>
      <c r="V151" s="12"/>
      <c r="W151" s="12"/>
      <c r="X151" s="12"/>
      <c r="Y151" s="12"/>
      <c r="Z151" s="12"/>
      <c r="AA151" s="163"/>
      <c r="AB151" s="163"/>
      <c r="AC151" s="12"/>
      <c r="AD151" s="280"/>
      <c r="AE151" s="281"/>
      <c r="AF151" s="12"/>
      <c r="AG151" s="12"/>
      <c r="AH151" s="163"/>
      <c r="AI151" s="921"/>
    </row>
    <row r="152" spans="1:35" x14ac:dyDescent="0.25">
      <c r="A152" s="917"/>
      <c r="B152" s="261">
        <v>25</v>
      </c>
      <c r="C152" s="86" t="s">
        <v>213</v>
      </c>
      <c r="D152" s="284"/>
      <c r="E152" s="284"/>
      <c r="F152" s="284"/>
      <c r="G152" s="284"/>
      <c r="H152" s="86"/>
      <c r="I152" s="284"/>
      <c r="J152" s="284"/>
      <c r="K152" s="285"/>
      <c r="L152" s="802"/>
      <c r="M152" s="284"/>
      <c r="N152" s="17"/>
      <c r="O152" s="284"/>
      <c r="P152" s="284"/>
      <c r="Q152" s="286"/>
      <c r="R152" s="286"/>
      <c r="S152" s="286"/>
      <c r="T152" s="286"/>
      <c r="U152" s="286"/>
      <c r="V152" s="286"/>
      <c r="W152" s="286"/>
      <c r="X152" s="286"/>
      <c r="Y152" s="286"/>
      <c r="Z152" s="286"/>
      <c r="AA152" s="286"/>
      <c r="AB152" s="286"/>
      <c r="AC152" s="286"/>
      <c r="AD152" s="286"/>
      <c r="AE152" s="287"/>
      <c r="AF152" s="286"/>
      <c r="AG152" s="286"/>
      <c r="AH152" s="286"/>
      <c r="AI152" s="945"/>
    </row>
    <row r="153" spans="1:35" ht="15" x14ac:dyDescent="0.25">
      <c r="A153" s="917"/>
      <c r="B153" s="172"/>
      <c r="C153" s="288"/>
      <c r="D153" s="289"/>
      <c r="E153" s="289"/>
      <c r="F153" s="289"/>
      <c r="G153" s="175">
        <v>81</v>
      </c>
      <c r="H153" s="78" t="s">
        <v>214</v>
      </c>
      <c r="I153" s="78"/>
      <c r="J153" s="78"/>
      <c r="K153" s="290"/>
      <c r="L153" s="803"/>
      <c r="M153" s="78"/>
      <c r="N153" s="88"/>
      <c r="O153" s="78"/>
      <c r="P153" s="81"/>
      <c r="Q153" s="176"/>
      <c r="R153" s="176"/>
      <c r="S153" s="176"/>
      <c r="T153" s="176"/>
      <c r="U153" s="176"/>
      <c r="V153" s="176"/>
      <c r="W153" s="176"/>
      <c r="X153" s="176"/>
      <c r="Y153" s="176"/>
      <c r="Z153" s="176"/>
      <c r="AA153" s="176"/>
      <c r="AB153" s="176"/>
      <c r="AC153" s="176"/>
      <c r="AD153" s="176"/>
      <c r="AE153" s="177"/>
      <c r="AF153" s="176"/>
      <c r="AG153" s="176"/>
      <c r="AH153" s="176"/>
      <c r="AI153" s="918"/>
    </row>
    <row r="154" spans="1:35" s="539" customFormat="1" ht="28.5" x14ac:dyDescent="0.25">
      <c r="A154" s="919"/>
      <c r="B154" s="541"/>
      <c r="C154" s="1096">
        <v>13</v>
      </c>
      <c r="D154" s="1080" t="s">
        <v>191</v>
      </c>
      <c r="E154" s="1085" t="s">
        <v>192</v>
      </c>
      <c r="F154" s="1085" t="s">
        <v>193</v>
      </c>
      <c r="G154" s="542"/>
      <c r="H154" s="829">
        <v>236</v>
      </c>
      <c r="I154" s="828" t="s">
        <v>215</v>
      </c>
      <c r="J154" s="543">
        <v>1</v>
      </c>
      <c r="K154" s="667">
        <f>3+4</f>
        <v>7</v>
      </c>
      <c r="L154" s="804">
        <v>3</v>
      </c>
      <c r="M154" s="1092" t="s">
        <v>216</v>
      </c>
      <c r="N154" s="1084" t="s">
        <v>217</v>
      </c>
      <c r="O154" s="1080" t="s">
        <v>218</v>
      </c>
      <c r="P154" s="829" t="s">
        <v>40</v>
      </c>
      <c r="Q154" s="546"/>
      <c r="R154" s="546"/>
      <c r="S154" s="546"/>
      <c r="T154" s="546"/>
      <c r="U154" s="546"/>
      <c r="V154" s="546"/>
      <c r="W154" s="546"/>
      <c r="X154" s="546"/>
      <c r="Y154" s="546"/>
      <c r="Z154" s="546"/>
      <c r="AA154" s="546"/>
      <c r="AB154" s="546"/>
      <c r="AC154" s="546"/>
      <c r="AD154" s="547"/>
      <c r="AE154" s="550">
        <f>32600000+67400000+1850000+74499598+13547000</f>
        <v>189896598</v>
      </c>
      <c r="AF154" s="547"/>
      <c r="AG154" s="547"/>
      <c r="AH154" s="547"/>
      <c r="AI154" s="900">
        <f>+Q154+R154+S154+T154+U154+V154+W154+X154+Y154+Z154+AA154+AB154+AC154+AD154+AE154+AF154+AG154+AH154</f>
        <v>189896598</v>
      </c>
    </row>
    <row r="155" spans="1:35" s="539" customFormat="1" ht="78.75" customHeight="1" x14ac:dyDescent="0.25">
      <c r="A155" s="919"/>
      <c r="B155" s="541"/>
      <c r="C155" s="1089"/>
      <c r="D155" s="1087"/>
      <c r="E155" s="1088"/>
      <c r="F155" s="1088"/>
      <c r="G155" s="549"/>
      <c r="H155" s="829">
        <v>237</v>
      </c>
      <c r="I155" s="828" t="s">
        <v>219</v>
      </c>
      <c r="J155" s="543" t="s">
        <v>36</v>
      </c>
      <c r="K155" s="667">
        <v>5</v>
      </c>
      <c r="L155" s="804">
        <v>12</v>
      </c>
      <c r="M155" s="1093"/>
      <c r="N155" s="1082"/>
      <c r="O155" s="1087"/>
      <c r="P155" s="829" t="s">
        <v>40</v>
      </c>
      <c r="Q155" s="546"/>
      <c r="R155" s="546"/>
      <c r="S155" s="546"/>
      <c r="T155" s="546"/>
      <c r="U155" s="546"/>
      <c r="V155" s="546"/>
      <c r="W155" s="546"/>
      <c r="X155" s="546"/>
      <c r="Y155" s="546"/>
      <c r="Z155" s="546"/>
      <c r="AA155" s="546"/>
      <c r="AB155" s="546"/>
      <c r="AC155" s="546"/>
      <c r="AD155" s="547"/>
      <c r="AE155" s="550">
        <f>21850000-1850000</f>
        <v>20000000</v>
      </c>
      <c r="AF155" s="547"/>
      <c r="AG155" s="547"/>
      <c r="AH155" s="547"/>
      <c r="AI155" s="900">
        <f>+Q155+R155+S155+T155+U155+V155+W155+X155+Y155+Z155+AA155+AB155+AC155+AD155+AE155+AF155+AG155+AH155</f>
        <v>20000000</v>
      </c>
    </row>
    <row r="156" spans="1:35" s="539" customFormat="1" ht="120.75" customHeight="1" x14ac:dyDescent="0.25">
      <c r="A156" s="919"/>
      <c r="B156" s="541"/>
      <c r="C156" s="1089"/>
      <c r="D156" s="1087"/>
      <c r="E156" s="1088"/>
      <c r="F156" s="1088"/>
      <c r="G156" s="549"/>
      <c r="H156" s="829">
        <v>238</v>
      </c>
      <c r="I156" s="828" t="s">
        <v>220</v>
      </c>
      <c r="J156" s="543" t="s">
        <v>36</v>
      </c>
      <c r="K156" s="667">
        <v>12</v>
      </c>
      <c r="L156" s="804">
        <v>12</v>
      </c>
      <c r="M156" s="1093"/>
      <c r="N156" s="1082"/>
      <c r="O156" s="1087"/>
      <c r="P156" s="829" t="s">
        <v>46</v>
      </c>
      <c r="Q156" s="546"/>
      <c r="R156" s="546"/>
      <c r="S156" s="546"/>
      <c r="T156" s="546"/>
      <c r="U156" s="546"/>
      <c r="V156" s="546"/>
      <c r="W156" s="546"/>
      <c r="X156" s="546"/>
      <c r="Y156" s="546"/>
      <c r="Z156" s="546"/>
      <c r="AA156" s="546"/>
      <c r="AB156" s="546"/>
      <c r="AC156" s="546"/>
      <c r="AD156" s="547"/>
      <c r="AE156" s="550">
        <f>72550000-29645716+35000000+51126590</f>
        <v>129030874</v>
      </c>
      <c r="AF156" s="547"/>
      <c r="AG156" s="547"/>
      <c r="AH156" s="547"/>
      <c r="AI156" s="900">
        <f>+Q156+R156+S156+T156+U156+V156+W156+X156+Y156+Z156+AA156+AB156+AC156+AD156+AE156+AF156+AG156+AH156</f>
        <v>129030874</v>
      </c>
    </row>
    <row r="157" spans="1:35" s="539" customFormat="1" ht="41.25" customHeight="1" x14ac:dyDescent="0.25">
      <c r="A157" s="919"/>
      <c r="B157" s="541"/>
      <c r="C157" s="1089"/>
      <c r="D157" s="1087"/>
      <c r="E157" s="1088"/>
      <c r="F157" s="1088"/>
      <c r="G157" s="549"/>
      <c r="H157" s="829">
        <v>239</v>
      </c>
      <c r="I157" s="828" t="s">
        <v>221</v>
      </c>
      <c r="J157" s="543" t="s">
        <v>36</v>
      </c>
      <c r="K157" s="668">
        <v>1.98</v>
      </c>
      <c r="L157" s="668">
        <v>1.98</v>
      </c>
      <c r="M157" s="1093"/>
      <c r="N157" s="1082"/>
      <c r="O157" s="1087"/>
      <c r="P157" s="829" t="s">
        <v>40</v>
      </c>
      <c r="Q157" s="546"/>
      <c r="R157" s="546"/>
      <c r="S157" s="546"/>
      <c r="T157" s="546"/>
      <c r="U157" s="546"/>
      <c r="V157" s="546"/>
      <c r="W157" s="546"/>
      <c r="X157" s="546"/>
      <c r="Y157" s="546"/>
      <c r="Z157" s="546"/>
      <c r="AA157" s="546"/>
      <c r="AB157" s="546"/>
      <c r="AC157" s="546"/>
      <c r="AD157" s="547"/>
      <c r="AE157" s="550">
        <f>74800000+20000000</f>
        <v>94800000</v>
      </c>
      <c r="AF157" s="677"/>
      <c r="AG157" s="547"/>
      <c r="AH157" s="547">
        <v>169985263</v>
      </c>
      <c r="AI157" s="900">
        <f>+Q157+R157+S157+T157+U157+V157+W157+X157+Y157+Z157+AA157+AB157+AC157+AD157+AE157+AF157+AG157+AH157</f>
        <v>264785263</v>
      </c>
    </row>
    <row r="158" spans="1:35" s="539" customFormat="1" ht="54.75" customHeight="1" x14ac:dyDescent="0.25">
      <c r="A158" s="919"/>
      <c r="B158" s="541"/>
      <c r="C158" s="1089"/>
      <c r="D158" s="1087"/>
      <c r="E158" s="1088"/>
      <c r="F158" s="1086"/>
      <c r="G158" s="549"/>
      <c r="H158" s="829">
        <v>240</v>
      </c>
      <c r="I158" s="828" t="s">
        <v>222</v>
      </c>
      <c r="J158" s="543">
        <v>1</v>
      </c>
      <c r="K158" s="667">
        <v>1</v>
      </c>
      <c r="L158" s="804">
        <v>0.85</v>
      </c>
      <c r="M158" s="1094"/>
      <c r="N158" s="1083"/>
      <c r="O158" s="1081"/>
      <c r="P158" s="829" t="s">
        <v>46</v>
      </c>
      <c r="Q158" s="546"/>
      <c r="R158" s="546"/>
      <c r="S158" s="546"/>
      <c r="T158" s="546"/>
      <c r="U158" s="546"/>
      <c r="V158" s="546"/>
      <c r="W158" s="546"/>
      <c r="X158" s="546"/>
      <c r="Y158" s="546"/>
      <c r="Z158" s="546"/>
      <c r="AA158" s="546"/>
      <c r="AB158" s="546"/>
      <c r="AC158" s="546"/>
      <c r="AD158" s="547"/>
      <c r="AE158" s="550">
        <f>248500000+29645716+138682000+35326410</f>
        <v>452154126</v>
      </c>
      <c r="AF158" s="547"/>
      <c r="AG158" s="547"/>
      <c r="AH158" s="547"/>
      <c r="AI158" s="900">
        <f>+Q158+R158+S158+T158+U158+V158+W158+X158+Y158+Z158+AA158+AB158+AC158+AD158+AE158+AF158+AG158+AH158</f>
        <v>452154126</v>
      </c>
    </row>
    <row r="159" spans="1:35" ht="15" x14ac:dyDescent="0.25">
      <c r="A159" s="917"/>
      <c r="B159" s="144"/>
      <c r="C159" s="846"/>
      <c r="D159" s="565"/>
      <c r="E159" s="865"/>
      <c r="F159" s="865"/>
      <c r="G159" s="147"/>
      <c r="H159" s="148"/>
      <c r="I159" s="147"/>
      <c r="J159" s="149"/>
      <c r="K159" s="196"/>
      <c r="L159" s="793"/>
      <c r="M159" s="149"/>
      <c r="N159" s="584"/>
      <c r="O159" s="147"/>
      <c r="P159" s="148"/>
      <c r="Q159" s="150"/>
      <c r="R159" s="150"/>
      <c r="S159" s="150"/>
      <c r="T159" s="150"/>
      <c r="U159" s="150"/>
      <c r="V159" s="150"/>
      <c r="W159" s="150"/>
      <c r="X159" s="150"/>
      <c r="Y159" s="150">
        <f>SUM(Y154:Y158)</f>
        <v>0</v>
      </c>
      <c r="Z159" s="150"/>
      <c r="AA159" s="150"/>
      <c r="AB159" s="150">
        <f>SUM(AB154:AB158)</f>
        <v>0</v>
      </c>
      <c r="AC159" s="150"/>
      <c r="AD159" s="150"/>
      <c r="AE159" s="150">
        <f>SUM(AE154:AE158)</f>
        <v>885881598</v>
      </c>
      <c r="AF159" s="150">
        <f>SUM(AF154:AF158)</f>
        <v>0</v>
      </c>
      <c r="AG159" s="150">
        <f>SUM(AG154:AG158)</f>
        <v>0</v>
      </c>
      <c r="AH159" s="150">
        <f>SUM(AH154:AH158)</f>
        <v>169985263</v>
      </c>
      <c r="AI159" s="904">
        <f>SUM(AI154:AI158)</f>
        <v>1055866861</v>
      </c>
    </row>
    <row r="160" spans="1:35" ht="15" x14ac:dyDescent="0.25">
      <c r="A160" s="917"/>
      <c r="B160" s="144"/>
      <c r="C160" s="845"/>
      <c r="D160" s="161"/>
      <c r="E160" s="845"/>
      <c r="F160" s="845"/>
      <c r="G160" s="161"/>
      <c r="H160" s="845"/>
      <c r="I160" s="161"/>
      <c r="J160" s="162"/>
      <c r="K160" s="188"/>
      <c r="L160" s="794"/>
      <c r="M160" s="270"/>
      <c r="N160" s="57"/>
      <c r="O160" s="216"/>
      <c r="P160" s="845"/>
      <c r="Q160" s="12"/>
      <c r="R160" s="163"/>
      <c r="S160" s="12"/>
      <c r="T160" s="12"/>
      <c r="U160" s="12"/>
      <c r="V160" s="12"/>
      <c r="W160" s="12"/>
      <c r="X160" s="12"/>
      <c r="Y160" s="12"/>
      <c r="Z160" s="12"/>
      <c r="AA160" s="163"/>
      <c r="AB160" s="163"/>
      <c r="AC160" s="12"/>
      <c r="AD160" s="932"/>
      <c r="AE160" s="946"/>
      <c r="AF160" s="12"/>
      <c r="AG160" s="12"/>
      <c r="AH160" s="163"/>
      <c r="AI160" s="921"/>
    </row>
    <row r="161" spans="1:35" x14ac:dyDescent="0.25">
      <c r="A161" s="917"/>
      <c r="B161" s="144"/>
      <c r="C161" s="846"/>
      <c r="D161" s="565"/>
      <c r="E161" s="865"/>
      <c r="F161" s="865"/>
      <c r="G161" s="175">
        <v>82</v>
      </c>
      <c r="H161" s="78" t="s">
        <v>223</v>
      </c>
      <c r="I161" s="81"/>
      <c r="J161" s="81"/>
      <c r="K161" s="207"/>
      <c r="L161" s="796"/>
      <c r="M161" s="81"/>
      <c r="N161" s="588"/>
      <c r="O161" s="81"/>
      <c r="P161" s="81"/>
      <c r="Q161" s="176"/>
      <c r="R161" s="176"/>
      <c r="S161" s="176"/>
      <c r="T161" s="176"/>
      <c r="U161" s="176"/>
      <c r="V161" s="176"/>
      <c r="W161" s="176"/>
      <c r="X161" s="176"/>
      <c r="Y161" s="176"/>
      <c r="Z161" s="176"/>
      <c r="AA161" s="176"/>
      <c r="AB161" s="176"/>
      <c r="AC161" s="176"/>
      <c r="AD161" s="176"/>
      <c r="AE161" s="177"/>
      <c r="AF161" s="176"/>
      <c r="AG161" s="176"/>
      <c r="AH161" s="176"/>
      <c r="AI161" s="918"/>
    </row>
    <row r="162" spans="1:35" s="539" customFormat="1" ht="57" customHeight="1" x14ac:dyDescent="0.25">
      <c r="A162" s="919"/>
      <c r="B162" s="541"/>
      <c r="C162" s="1096">
        <v>13</v>
      </c>
      <c r="D162" s="1080" t="s">
        <v>191</v>
      </c>
      <c r="E162" s="1085">
        <v>71.040000000000006</v>
      </c>
      <c r="F162" s="1085">
        <v>88.17</v>
      </c>
      <c r="G162" s="1085"/>
      <c r="H162" s="829">
        <v>241</v>
      </c>
      <c r="I162" s="828" t="s">
        <v>224</v>
      </c>
      <c r="J162" s="543">
        <v>1</v>
      </c>
      <c r="K162" s="544">
        <v>1</v>
      </c>
      <c r="L162" s="758">
        <v>0.75</v>
      </c>
      <c r="M162" s="1092" t="s">
        <v>216</v>
      </c>
      <c r="N162" s="1084" t="s">
        <v>225</v>
      </c>
      <c r="O162" s="1080" t="s">
        <v>226</v>
      </c>
      <c r="P162" s="829" t="s">
        <v>46</v>
      </c>
      <c r="Q162" s="546"/>
      <c r="R162" s="546"/>
      <c r="S162" s="546"/>
      <c r="T162" s="546"/>
      <c r="U162" s="546"/>
      <c r="V162" s="546"/>
      <c r="W162" s="546"/>
      <c r="X162" s="546"/>
      <c r="Y162" s="546"/>
      <c r="Z162" s="546"/>
      <c r="AA162" s="546"/>
      <c r="AB162" s="546"/>
      <c r="AC162" s="546"/>
      <c r="AD162" s="546"/>
      <c r="AE162" s="550">
        <f>29800000+7000000</f>
        <v>36800000</v>
      </c>
      <c r="AF162" s="547"/>
      <c r="AG162" s="547"/>
      <c r="AH162" s="547"/>
      <c r="AI162" s="900">
        <f>+Q162+R162+S162+T162+U162+V162+W162+X162+Y162+Z162+AA162+AB162+AC162+AD162+AE162+AF162+AG162+AH162</f>
        <v>36800000</v>
      </c>
    </row>
    <row r="163" spans="1:35" s="539" customFormat="1" ht="81" customHeight="1" x14ac:dyDescent="0.25">
      <c r="A163" s="919"/>
      <c r="B163" s="541"/>
      <c r="C163" s="1090"/>
      <c r="D163" s="1081"/>
      <c r="E163" s="1086"/>
      <c r="F163" s="1086"/>
      <c r="G163" s="1086"/>
      <c r="H163" s="829">
        <v>242</v>
      </c>
      <c r="I163" s="828" t="s">
        <v>227</v>
      </c>
      <c r="J163" s="543">
        <v>1</v>
      </c>
      <c r="K163" s="544">
        <v>1</v>
      </c>
      <c r="L163" s="758">
        <v>0.5</v>
      </c>
      <c r="M163" s="1094"/>
      <c r="N163" s="1083"/>
      <c r="O163" s="1081"/>
      <c r="P163" s="829" t="s">
        <v>46</v>
      </c>
      <c r="Q163" s="546"/>
      <c r="R163" s="546"/>
      <c r="S163" s="546"/>
      <c r="T163" s="546"/>
      <c r="U163" s="546"/>
      <c r="V163" s="546"/>
      <c r="W163" s="546"/>
      <c r="X163" s="546"/>
      <c r="Y163" s="546"/>
      <c r="Z163" s="546"/>
      <c r="AA163" s="546"/>
      <c r="AB163" s="546"/>
      <c r="AC163" s="546"/>
      <c r="AD163" s="546"/>
      <c r="AE163" s="550">
        <f>54523515-7000000</f>
        <v>47523515</v>
      </c>
      <c r="AF163" s="547"/>
      <c r="AG163" s="547"/>
      <c r="AH163" s="547"/>
      <c r="AI163" s="900">
        <f>+Q163+R163+S163+T163+U163+V163+W163+X163+Y163+Z163+AA163+AB163+AC163+AD163+AE163+AF163+AG163+AH163</f>
        <v>47523515</v>
      </c>
    </row>
    <row r="164" spans="1:35" ht="15" x14ac:dyDescent="0.25">
      <c r="A164" s="917"/>
      <c r="B164" s="146"/>
      <c r="C164" s="846"/>
      <c r="D164" s="565"/>
      <c r="E164" s="865"/>
      <c r="F164" s="865"/>
      <c r="G164" s="208"/>
      <c r="H164" s="209"/>
      <c r="I164" s="147"/>
      <c r="J164" s="149"/>
      <c r="K164" s="196"/>
      <c r="L164" s="793"/>
      <c r="M164" s="149"/>
      <c r="N164" s="584"/>
      <c r="O164" s="147"/>
      <c r="P164" s="148"/>
      <c r="Q164" s="150"/>
      <c r="R164" s="150"/>
      <c r="S164" s="150"/>
      <c r="T164" s="150">
        <f>SUM(T162:T163)</f>
        <v>0</v>
      </c>
      <c r="U164" s="150"/>
      <c r="V164" s="150"/>
      <c r="W164" s="150"/>
      <c r="X164" s="150"/>
      <c r="Y164" s="150">
        <f>SUM(Y162:Y163)</f>
        <v>0</v>
      </c>
      <c r="Z164" s="150"/>
      <c r="AA164" s="150"/>
      <c r="AB164" s="150">
        <f>SUM(AB162:AB163)</f>
        <v>0</v>
      </c>
      <c r="AC164" s="150"/>
      <c r="AD164" s="150"/>
      <c r="AE164" s="150">
        <f>SUM(AE162:AE163)</f>
        <v>84323515</v>
      </c>
      <c r="AF164" s="150"/>
      <c r="AG164" s="150"/>
      <c r="AH164" s="150"/>
      <c r="AI164" s="904">
        <f>SUM(AI162:AI163)</f>
        <v>84323515</v>
      </c>
    </row>
    <row r="165" spans="1:35" ht="15" x14ac:dyDescent="0.25">
      <c r="A165" s="938"/>
      <c r="B165" s="151"/>
      <c r="C165" s="212"/>
      <c r="D165" s="151"/>
      <c r="E165" s="152"/>
      <c r="F165" s="152"/>
      <c r="G165" s="213"/>
      <c r="H165" s="214"/>
      <c r="I165" s="151"/>
      <c r="J165" s="153"/>
      <c r="K165" s="215"/>
      <c r="L165" s="797"/>
      <c r="M165" s="153"/>
      <c r="N165" s="585"/>
      <c r="O165" s="151"/>
      <c r="P165" s="152"/>
      <c r="Q165" s="154"/>
      <c r="R165" s="154"/>
      <c r="S165" s="154"/>
      <c r="T165" s="154">
        <f>T164+T159</f>
        <v>0</v>
      </c>
      <c r="U165" s="154"/>
      <c r="V165" s="154"/>
      <c r="W165" s="154"/>
      <c r="X165" s="154"/>
      <c r="Y165" s="154">
        <f>Y164+Y159</f>
        <v>0</v>
      </c>
      <c r="Z165" s="154"/>
      <c r="AA165" s="154"/>
      <c r="AB165" s="154">
        <f>AB164+AB159</f>
        <v>0</v>
      </c>
      <c r="AC165" s="154"/>
      <c r="AD165" s="154"/>
      <c r="AE165" s="154">
        <f>AE164+AE159</f>
        <v>970205113</v>
      </c>
      <c r="AF165" s="154"/>
      <c r="AG165" s="154"/>
      <c r="AH165" s="154">
        <f>AH164+AH159</f>
        <v>169985263</v>
      </c>
      <c r="AI165" s="906">
        <f>AI164+AI159</f>
        <v>1140190376</v>
      </c>
    </row>
    <row r="166" spans="1:35" ht="15" x14ac:dyDescent="0.25">
      <c r="A166" s="907"/>
      <c r="B166" s="155"/>
      <c r="C166" s="67"/>
      <c r="D166" s="155"/>
      <c r="E166" s="67"/>
      <c r="F166" s="67"/>
      <c r="G166" s="291"/>
      <c r="H166" s="292"/>
      <c r="I166" s="155"/>
      <c r="J166" s="156"/>
      <c r="K166" s="239"/>
      <c r="L166" s="805"/>
      <c r="M166" s="156"/>
      <c r="N166" s="586"/>
      <c r="O166" s="155"/>
      <c r="P166" s="67"/>
      <c r="Q166" s="157"/>
      <c r="R166" s="157"/>
      <c r="S166" s="157"/>
      <c r="T166" s="157">
        <f>T165+T150+T129</f>
        <v>7093592174</v>
      </c>
      <c r="U166" s="157"/>
      <c r="V166" s="157"/>
      <c r="W166" s="157"/>
      <c r="X166" s="157"/>
      <c r="Y166" s="157">
        <f>Y165+Y150+Y129</f>
        <v>0</v>
      </c>
      <c r="Z166" s="157"/>
      <c r="AA166" s="157"/>
      <c r="AB166" s="157">
        <f>AB165+AB150+AB129</f>
        <v>0</v>
      </c>
      <c r="AC166" s="157"/>
      <c r="AD166" s="157"/>
      <c r="AE166" s="157">
        <f>AE165+AE150+AE129</f>
        <v>1868675113</v>
      </c>
      <c r="AF166" s="157"/>
      <c r="AG166" s="157"/>
      <c r="AH166" s="157">
        <f>AH165+AH150+AH129</f>
        <v>169985263</v>
      </c>
      <c r="AI166" s="908">
        <f>AI165+AI150+AI129</f>
        <v>9132252550</v>
      </c>
    </row>
    <row r="167" spans="1:35" ht="15" x14ac:dyDescent="0.25">
      <c r="A167" s="911"/>
      <c r="B167" s="161"/>
      <c r="C167" s="845"/>
      <c r="D167" s="161"/>
      <c r="E167" s="845"/>
      <c r="F167" s="845"/>
      <c r="G167" s="216"/>
      <c r="H167" s="566"/>
      <c r="I167" s="161"/>
      <c r="J167" s="162"/>
      <c r="K167" s="188"/>
      <c r="L167" s="794"/>
      <c r="M167" s="270"/>
      <c r="N167" s="57"/>
      <c r="O167" s="216"/>
      <c r="P167" s="845"/>
      <c r="Q167" s="12"/>
      <c r="R167" s="163"/>
      <c r="S167" s="12"/>
      <c r="T167" s="12"/>
      <c r="U167" s="12"/>
      <c r="V167" s="12"/>
      <c r="W167" s="12"/>
      <c r="X167" s="12"/>
      <c r="Y167" s="12"/>
      <c r="Z167" s="12"/>
      <c r="AA167" s="163"/>
      <c r="AB167" s="163"/>
      <c r="AC167" s="12"/>
      <c r="AD167" s="12"/>
      <c r="AE167" s="189"/>
      <c r="AF167" s="12"/>
      <c r="AG167" s="12"/>
      <c r="AH167" s="163"/>
      <c r="AI167" s="921"/>
    </row>
    <row r="168" spans="1:35" x14ac:dyDescent="0.25">
      <c r="A168" s="947">
        <v>5</v>
      </c>
      <c r="B168" s="77" t="s">
        <v>30</v>
      </c>
      <c r="C168" s="139"/>
      <c r="D168" s="77"/>
      <c r="E168" s="77"/>
      <c r="F168" s="77"/>
      <c r="G168" s="77"/>
      <c r="H168" s="139"/>
      <c r="I168" s="77"/>
      <c r="J168" s="77"/>
      <c r="K168" s="243"/>
      <c r="L168" s="806"/>
      <c r="M168" s="77"/>
      <c r="N168" s="14"/>
      <c r="O168" s="77"/>
      <c r="P168" s="77"/>
      <c r="Q168" s="166"/>
      <c r="R168" s="166"/>
      <c r="S168" s="166"/>
      <c r="T168" s="166"/>
      <c r="U168" s="166"/>
      <c r="V168" s="166"/>
      <c r="W168" s="166"/>
      <c r="X168" s="166"/>
      <c r="Y168" s="166"/>
      <c r="Z168" s="166"/>
      <c r="AA168" s="166"/>
      <c r="AB168" s="166"/>
      <c r="AC168" s="166"/>
      <c r="AD168" s="166"/>
      <c r="AE168" s="167"/>
      <c r="AF168" s="166"/>
      <c r="AG168" s="166"/>
      <c r="AH168" s="166"/>
      <c r="AI168" s="914"/>
    </row>
    <row r="169" spans="1:35" x14ac:dyDescent="0.25">
      <c r="A169" s="948"/>
      <c r="B169" s="261">
        <v>26</v>
      </c>
      <c r="C169" s="837" t="s">
        <v>58</v>
      </c>
      <c r="D169" s="87"/>
      <c r="E169" s="87"/>
      <c r="F169" s="87"/>
      <c r="G169" s="87"/>
      <c r="H169" s="838"/>
      <c r="I169" s="87"/>
      <c r="J169" s="87"/>
      <c r="K169" s="204"/>
      <c r="L169" s="798"/>
      <c r="M169" s="87"/>
      <c r="N169" s="15"/>
      <c r="O169" s="87"/>
      <c r="P169" s="87"/>
      <c r="Q169" s="169"/>
      <c r="R169" s="169"/>
      <c r="S169" s="169"/>
      <c r="T169" s="169"/>
      <c r="U169" s="169"/>
      <c r="V169" s="169"/>
      <c r="W169" s="169"/>
      <c r="X169" s="169"/>
      <c r="Y169" s="169"/>
      <c r="Z169" s="169"/>
      <c r="AA169" s="169"/>
      <c r="AB169" s="169"/>
      <c r="AC169" s="169"/>
      <c r="AD169" s="169"/>
      <c r="AE169" s="170"/>
      <c r="AF169" s="169"/>
      <c r="AG169" s="169"/>
      <c r="AH169" s="169"/>
      <c r="AI169" s="916"/>
    </row>
    <row r="170" spans="1:35" ht="15" x14ac:dyDescent="0.25">
      <c r="A170" s="949"/>
      <c r="B170" s="145"/>
      <c r="C170" s="846"/>
      <c r="D170" s="565"/>
      <c r="E170" s="865"/>
      <c r="F170" s="865"/>
      <c r="G170" s="175">
        <v>84</v>
      </c>
      <c r="H170" s="81" t="s">
        <v>65</v>
      </c>
      <c r="I170" s="81"/>
      <c r="J170" s="81"/>
      <c r="K170" s="207"/>
      <c r="L170" s="796"/>
      <c r="M170" s="81"/>
      <c r="N170" s="88"/>
      <c r="O170" s="81"/>
      <c r="P170" s="81"/>
      <c r="Q170" s="176"/>
      <c r="R170" s="176"/>
      <c r="S170" s="176"/>
      <c r="T170" s="176"/>
      <c r="U170" s="176"/>
      <c r="V170" s="176"/>
      <c r="W170" s="176"/>
      <c r="X170" s="176"/>
      <c r="Y170" s="176"/>
      <c r="Z170" s="176"/>
      <c r="AA170" s="176"/>
      <c r="AB170" s="176"/>
      <c r="AC170" s="176"/>
      <c r="AD170" s="176"/>
      <c r="AE170" s="177"/>
      <c r="AF170" s="176"/>
      <c r="AG170" s="176"/>
      <c r="AH170" s="176"/>
      <c r="AI170" s="918"/>
    </row>
    <row r="171" spans="1:35" s="539" customFormat="1" ht="74.25" customHeight="1" x14ac:dyDescent="0.25">
      <c r="A171" s="1029">
        <f>+A170</f>
        <v>0</v>
      </c>
      <c r="B171" s="549"/>
      <c r="C171" s="827">
        <v>37</v>
      </c>
      <c r="D171" s="828" t="s">
        <v>228</v>
      </c>
      <c r="E171" s="829">
        <v>54.61</v>
      </c>
      <c r="F171" s="829">
        <v>60</v>
      </c>
      <c r="G171" s="828"/>
      <c r="H171" s="829">
        <v>247</v>
      </c>
      <c r="I171" s="828" t="s">
        <v>229</v>
      </c>
      <c r="J171" s="543" t="s">
        <v>36</v>
      </c>
      <c r="K171" s="544">
        <v>1</v>
      </c>
      <c r="L171" s="758">
        <v>0.95</v>
      </c>
      <c r="M171" s="545" t="s">
        <v>72</v>
      </c>
      <c r="N171" s="619" t="s">
        <v>230</v>
      </c>
      <c r="O171" s="828" t="s">
        <v>231</v>
      </c>
      <c r="P171" s="651" t="s">
        <v>46</v>
      </c>
      <c r="Q171" s="546"/>
      <c r="R171" s="546"/>
      <c r="S171" s="546"/>
      <c r="T171" s="546"/>
      <c r="U171" s="546"/>
      <c r="V171" s="546"/>
      <c r="W171" s="546"/>
      <c r="X171" s="546"/>
      <c r="Y171" s="546"/>
      <c r="Z171" s="546"/>
      <c r="AA171" s="546"/>
      <c r="AB171" s="546"/>
      <c r="AC171" s="546"/>
      <c r="AD171" s="546"/>
      <c r="AE171" s="550">
        <v>49687000</v>
      </c>
      <c r="AF171" s="547"/>
      <c r="AG171" s="547"/>
      <c r="AH171" s="547"/>
      <c r="AI171" s="900">
        <f>+Q171+R171+S171+T171+U171+V171+W171+X171+Y171+Z171+AA171+AB171+AC171+AD171+AE171+AF171+AG171+AH171</f>
        <v>49687000</v>
      </c>
    </row>
    <row r="172" spans="1:35" ht="18.75" customHeight="1" x14ac:dyDescent="0.25">
      <c r="A172" s="949"/>
      <c r="B172" s="3"/>
      <c r="C172" s="856"/>
      <c r="D172" s="832"/>
      <c r="E172" s="851"/>
      <c r="F172" s="851"/>
      <c r="G172" s="208"/>
      <c r="H172" s="209"/>
      <c r="I172" s="208"/>
      <c r="J172" s="223"/>
      <c r="K172" s="293"/>
      <c r="L172" s="807"/>
      <c r="M172" s="223"/>
      <c r="N172" s="593"/>
      <c r="O172" s="208"/>
      <c r="P172" s="209"/>
      <c r="Q172" s="225"/>
      <c r="R172" s="225"/>
      <c r="S172" s="225"/>
      <c r="T172" s="225"/>
      <c r="U172" s="225"/>
      <c r="V172" s="225"/>
      <c r="W172" s="225"/>
      <c r="X172" s="225"/>
      <c r="Y172" s="225">
        <f>SUM(Y171)</f>
        <v>0</v>
      </c>
      <c r="Z172" s="225"/>
      <c r="AA172" s="225"/>
      <c r="AB172" s="225">
        <f>SUM(AB171)</f>
        <v>0</v>
      </c>
      <c r="AC172" s="225"/>
      <c r="AD172" s="225"/>
      <c r="AE172" s="225">
        <f>SUM(AE171)</f>
        <v>49687000</v>
      </c>
      <c r="AF172" s="225"/>
      <c r="AG172" s="225"/>
      <c r="AH172" s="225">
        <f>SUM(AH171)</f>
        <v>0</v>
      </c>
      <c r="AI172" s="925">
        <f>SUM(AI171)</f>
        <v>49687000</v>
      </c>
    </row>
    <row r="173" spans="1:35" ht="18.75" customHeight="1" x14ac:dyDescent="0.25">
      <c r="A173" s="949"/>
      <c r="B173" s="151"/>
      <c r="C173" s="152"/>
      <c r="D173" s="151"/>
      <c r="E173" s="152"/>
      <c r="F173" s="152"/>
      <c r="G173" s="151"/>
      <c r="H173" s="152"/>
      <c r="I173" s="151"/>
      <c r="J173" s="153"/>
      <c r="K173" s="215"/>
      <c r="L173" s="797"/>
      <c r="M173" s="153"/>
      <c r="N173" s="585"/>
      <c r="O173" s="151"/>
      <c r="P173" s="152"/>
      <c r="Q173" s="154"/>
      <c r="R173" s="154"/>
      <c r="S173" s="154"/>
      <c r="T173" s="154"/>
      <c r="U173" s="154"/>
      <c r="V173" s="154"/>
      <c r="W173" s="154"/>
      <c r="X173" s="154"/>
      <c r="Y173" s="154">
        <f>Y172</f>
        <v>0</v>
      </c>
      <c r="Z173" s="154"/>
      <c r="AA173" s="154"/>
      <c r="AB173" s="154">
        <f>AB172</f>
        <v>0</v>
      </c>
      <c r="AC173" s="154"/>
      <c r="AD173" s="154"/>
      <c r="AE173" s="154">
        <f>AE172</f>
        <v>49687000</v>
      </c>
      <c r="AF173" s="154"/>
      <c r="AG173" s="154"/>
      <c r="AH173" s="154">
        <f>AH172</f>
        <v>0</v>
      </c>
      <c r="AI173" s="906">
        <f>AI172</f>
        <v>49687000</v>
      </c>
    </row>
    <row r="174" spans="1:35" s="533" customFormat="1" ht="24.75" customHeight="1" x14ac:dyDescent="0.25">
      <c r="A174" s="949"/>
      <c r="B174" s="849"/>
      <c r="C174" s="567"/>
      <c r="D174" s="294"/>
      <c r="E174" s="567"/>
      <c r="F174" s="567"/>
      <c r="G174" s="294"/>
      <c r="H174" s="567"/>
      <c r="I174" s="294"/>
      <c r="J174" s="295"/>
      <c r="K174" s="296"/>
      <c r="L174" s="808"/>
      <c r="M174" s="295"/>
      <c r="N174" s="58"/>
      <c r="O174" s="294"/>
      <c r="P174" s="567"/>
      <c r="Q174" s="280"/>
      <c r="R174" s="297"/>
      <c r="S174" s="280"/>
      <c r="T174" s="280"/>
      <c r="U174" s="280"/>
      <c r="V174" s="280"/>
      <c r="W174" s="280"/>
      <c r="X174" s="280"/>
      <c r="Y174" s="280"/>
      <c r="Z174" s="280"/>
      <c r="AA174" s="297"/>
      <c r="AB174" s="297"/>
      <c r="AC174" s="280"/>
      <c r="AD174" s="280"/>
      <c r="AE174" s="281"/>
      <c r="AF174" s="280"/>
      <c r="AG174" s="280"/>
      <c r="AH174" s="297"/>
      <c r="AI174" s="950"/>
    </row>
    <row r="175" spans="1:35" ht="21.75" customHeight="1" x14ac:dyDescent="0.25">
      <c r="A175" s="949"/>
      <c r="B175" s="298">
        <v>27</v>
      </c>
      <c r="C175" s="87" t="s">
        <v>69</v>
      </c>
      <c r="D175" s="87"/>
      <c r="E175" s="87"/>
      <c r="F175" s="87"/>
      <c r="G175" s="87"/>
      <c r="H175" s="838"/>
      <c r="I175" s="87"/>
      <c r="J175" s="87"/>
      <c r="K175" s="204"/>
      <c r="L175" s="798"/>
      <c r="M175" s="87"/>
      <c r="N175" s="15"/>
      <c r="O175" s="87"/>
      <c r="P175" s="87"/>
      <c r="Q175" s="169"/>
      <c r="R175" s="169"/>
      <c r="S175" s="169"/>
      <c r="T175" s="169"/>
      <c r="U175" s="169"/>
      <c r="V175" s="169"/>
      <c r="W175" s="169"/>
      <c r="X175" s="169"/>
      <c r="Y175" s="169"/>
      <c r="Z175" s="169"/>
      <c r="AA175" s="169"/>
      <c r="AB175" s="169"/>
      <c r="AC175" s="169"/>
      <c r="AD175" s="169"/>
      <c r="AE175" s="170"/>
      <c r="AF175" s="169"/>
      <c r="AG175" s="169"/>
      <c r="AH175" s="169"/>
      <c r="AI175" s="916"/>
    </row>
    <row r="176" spans="1:35" ht="26.25" customHeight="1" x14ac:dyDescent="0.25">
      <c r="A176" s="949"/>
      <c r="B176" s="145"/>
      <c r="C176" s="845"/>
      <c r="D176" s="205"/>
      <c r="E176" s="205"/>
      <c r="F176" s="206"/>
      <c r="G176" s="175">
        <v>85</v>
      </c>
      <c r="H176" s="81" t="s">
        <v>70</v>
      </c>
      <c r="I176" s="271"/>
      <c r="J176" s="271"/>
      <c r="K176" s="272"/>
      <c r="L176" s="795"/>
      <c r="M176" s="271"/>
      <c r="N176" s="88"/>
      <c r="O176" s="81"/>
      <c r="P176" s="81"/>
      <c r="Q176" s="176"/>
      <c r="R176" s="176"/>
      <c r="S176" s="176"/>
      <c r="T176" s="176"/>
      <c r="U176" s="176"/>
      <c r="V176" s="176"/>
      <c r="W176" s="176"/>
      <c r="X176" s="176"/>
      <c r="Y176" s="176"/>
      <c r="Z176" s="176"/>
      <c r="AA176" s="176"/>
      <c r="AB176" s="176"/>
      <c r="AC176" s="176"/>
      <c r="AD176" s="176"/>
      <c r="AE176" s="177"/>
      <c r="AF176" s="176"/>
      <c r="AG176" s="176"/>
      <c r="AH176" s="176"/>
      <c r="AI176" s="918"/>
    </row>
    <row r="177" spans="1:35" s="539" customFormat="1" ht="56.25" customHeight="1" x14ac:dyDescent="0.25">
      <c r="A177" s="924"/>
      <c r="B177" s="549"/>
      <c r="C177" s="1096">
        <v>37</v>
      </c>
      <c r="D177" s="1080" t="s">
        <v>232</v>
      </c>
      <c r="E177" s="1085">
        <v>54.61</v>
      </c>
      <c r="F177" s="1085">
        <v>60</v>
      </c>
      <c r="G177" s="549"/>
      <c r="H177" s="669">
        <v>250</v>
      </c>
      <c r="I177" s="670" t="s">
        <v>233</v>
      </c>
      <c r="J177" s="671">
        <v>1</v>
      </c>
      <c r="K177" s="672">
        <v>3</v>
      </c>
      <c r="L177" s="809">
        <v>3</v>
      </c>
      <c r="M177" s="1118" t="s">
        <v>72</v>
      </c>
      <c r="N177" s="1120" t="s">
        <v>234</v>
      </c>
      <c r="O177" s="1087" t="s">
        <v>235</v>
      </c>
      <c r="P177" s="651" t="s">
        <v>46</v>
      </c>
      <c r="Q177" s="546"/>
      <c r="R177" s="546"/>
      <c r="S177" s="546"/>
      <c r="T177" s="546"/>
      <c r="U177" s="546"/>
      <c r="V177" s="546"/>
      <c r="W177" s="546"/>
      <c r="X177" s="546"/>
      <c r="Y177" s="546">
        <v>0</v>
      </c>
      <c r="Z177" s="546"/>
      <c r="AA177" s="546"/>
      <c r="AB177" s="546">
        <v>0</v>
      </c>
      <c r="AC177" s="546"/>
      <c r="AD177" s="546"/>
      <c r="AE177" s="550">
        <f>186820000+169110500</f>
        <v>355930500</v>
      </c>
      <c r="AF177" s="546"/>
      <c r="AG177" s="546"/>
      <c r="AH177" s="546"/>
      <c r="AI177" s="900">
        <f>+Q177+R177+S177+T177+U177+V177+W177+X177+Y177+Z177+AA177+AB177+AC177+AD177+AE177+AF177+AG177+AH177</f>
        <v>355930500</v>
      </c>
    </row>
    <row r="178" spans="1:35" s="539" customFormat="1" ht="59.25" customHeight="1" x14ac:dyDescent="0.25">
      <c r="A178" s="924"/>
      <c r="B178" s="549"/>
      <c r="C178" s="1089"/>
      <c r="D178" s="1087"/>
      <c r="E178" s="1088"/>
      <c r="F178" s="1088"/>
      <c r="G178" s="549"/>
      <c r="H178" s="820">
        <v>251</v>
      </c>
      <c r="I178" s="817" t="s">
        <v>236</v>
      </c>
      <c r="J178" s="635">
        <v>0</v>
      </c>
      <c r="K178" s="673">
        <v>1</v>
      </c>
      <c r="L178" s="758">
        <v>0.75</v>
      </c>
      <c r="M178" s="1119"/>
      <c r="N178" s="1120"/>
      <c r="O178" s="1087"/>
      <c r="P178" s="651" t="s">
        <v>46</v>
      </c>
      <c r="Q178" s="546"/>
      <c r="R178" s="546"/>
      <c r="S178" s="546"/>
      <c r="T178" s="546"/>
      <c r="U178" s="546"/>
      <c r="V178" s="546"/>
      <c r="W178" s="546"/>
      <c r="X178" s="546"/>
      <c r="Y178" s="546"/>
      <c r="Z178" s="546"/>
      <c r="AA178" s="546"/>
      <c r="AB178" s="546"/>
      <c r="AC178" s="546"/>
      <c r="AD178" s="546"/>
      <c r="AE178" s="550">
        <v>49690000</v>
      </c>
      <c r="AF178" s="547"/>
      <c r="AG178" s="547"/>
      <c r="AH178" s="547"/>
      <c r="AI178" s="900">
        <f>+Q178+R178+S178+T178+U178+V178+W178+X178+Y178+Z178+AA178+AB178+AC178+AD178+AE178+AF178+AG178+AH178</f>
        <v>49690000</v>
      </c>
    </row>
    <row r="179" spans="1:35" s="539" customFormat="1" ht="81" customHeight="1" x14ac:dyDescent="0.25">
      <c r="A179" s="924"/>
      <c r="B179" s="549"/>
      <c r="C179" s="1089"/>
      <c r="D179" s="1087"/>
      <c r="E179" s="1088"/>
      <c r="F179" s="1088"/>
      <c r="G179" s="674"/>
      <c r="H179" s="820">
        <v>252</v>
      </c>
      <c r="I179" s="545" t="s">
        <v>237</v>
      </c>
      <c r="J179" s="543">
        <v>1</v>
      </c>
      <c r="K179" s="556">
        <v>1</v>
      </c>
      <c r="L179" s="758">
        <v>1</v>
      </c>
      <c r="M179" s="1119"/>
      <c r="N179" s="1120"/>
      <c r="O179" s="1087"/>
      <c r="P179" s="651" t="s">
        <v>40</v>
      </c>
      <c r="Q179" s="546"/>
      <c r="R179" s="546"/>
      <c r="S179" s="546"/>
      <c r="T179" s="546"/>
      <c r="U179" s="546"/>
      <c r="V179" s="546"/>
      <c r="W179" s="546"/>
      <c r="X179" s="546"/>
      <c r="Y179" s="546">
        <v>0</v>
      </c>
      <c r="Z179" s="546"/>
      <c r="AA179" s="546"/>
      <c r="AB179" s="546">
        <v>0</v>
      </c>
      <c r="AC179" s="546"/>
      <c r="AD179" s="546"/>
      <c r="AE179" s="550">
        <v>24850000</v>
      </c>
      <c r="AF179" s="546"/>
      <c r="AG179" s="546"/>
      <c r="AH179" s="546"/>
      <c r="AI179" s="900">
        <f>+Q179+R179+S179+T179+U179+V179+W179+X179+Y179+Z179+AA179+AB179+AC179+AD179+AE179+AF179+AG179+AH179</f>
        <v>24850000</v>
      </c>
    </row>
    <row r="180" spans="1:35" s="539" customFormat="1" ht="67.5" customHeight="1" x14ac:dyDescent="0.25">
      <c r="A180" s="924" t="s">
        <v>238</v>
      </c>
      <c r="B180" s="549"/>
      <c r="C180" s="1089"/>
      <c r="D180" s="1087"/>
      <c r="E180" s="1088"/>
      <c r="F180" s="1088"/>
      <c r="G180" s="624"/>
      <c r="H180" s="820">
        <v>253</v>
      </c>
      <c r="I180" s="828" t="s">
        <v>239</v>
      </c>
      <c r="J180" s="543">
        <v>4</v>
      </c>
      <c r="K180" s="675">
        <f>0.5+0.125</f>
        <v>0.625</v>
      </c>
      <c r="L180" s="758">
        <v>0.35</v>
      </c>
      <c r="M180" s="1119"/>
      <c r="N180" s="1120"/>
      <c r="O180" s="1087"/>
      <c r="P180" s="651" t="s">
        <v>40</v>
      </c>
      <c r="Q180" s="546"/>
      <c r="R180" s="546"/>
      <c r="S180" s="546"/>
      <c r="T180" s="546"/>
      <c r="U180" s="546"/>
      <c r="V180" s="546"/>
      <c r="W180" s="546"/>
      <c r="X180" s="546"/>
      <c r="Y180" s="546">
        <v>0</v>
      </c>
      <c r="Z180" s="546"/>
      <c r="AA180" s="546"/>
      <c r="AB180" s="546">
        <v>0</v>
      </c>
      <c r="AC180" s="546"/>
      <c r="AD180" s="546"/>
      <c r="AE180" s="550">
        <f>50000000+50000000+140000000</f>
        <v>240000000</v>
      </c>
      <c r="AF180" s="546"/>
      <c r="AG180" s="546"/>
      <c r="AH180" s="546"/>
      <c r="AI180" s="900">
        <f>+Q180+R180+S180+T180+U180+V180+W180+X180+Y180+Z180+AA180+AB180+AC180+AD180+AE180+AF180+AG180+AH180</f>
        <v>240000000</v>
      </c>
    </row>
    <row r="181" spans="1:35" s="539" customFormat="1" ht="57" x14ac:dyDescent="0.25">
      <c r="A181" s="924" t="s">
        <v>238</v>
      </c>
      <c r="B181" s="549"/>
      <c r="C181" s="1090"/>
      <c r="D181" s="1081"/>
      <c r="E181" s="1086"/>
      <c r="F181" s="1086"/>
      <c r="G181" s="624"/>
      <c r="H181" s="820">
        <v>254</v>
      </c>
      <c r="I181" s="545" t="s">
        <v>240</v>
      </c>
      <c r="J181" s="543">
        <v>0</v>
      </c>
      <c r="K181" s="556">
        <v>1</v>
      </c>
      <c r="L181" s="758">
        <v>0.5</v>
      </c>
      <c r="M181" s="1119"/>
      <c r="N181" s="1121"/>
      <c r="O181" s="1081"/>
      <c r="P181" s="651" t="s">
        <v>46</v>
      </c>
      <c r="Q181" s="546"/>
      <c r="R181" s="546"/>
      <c r="S181" s="546"/>
      <c r="T181" s="546"/>
      <c r="U181" s="546"/>
      <c r="V181" s="546"/>
      <c r="W181" s="546"/>
      <c r="X181" s="546"/>
      <c r="Y181" s="546"/>
      <c r="Z181" s="546"/>
      <c r="AA181" s="546"/>
      <c r="AB181" s="546"/>
      <c r="AC181" s="546"/>
      <c r="AD181" s="546"/>
      <c r="AE181" s="550">
        <v>29801133</v>
      </c>
      <c r="AF181" s="546"/>
      <c r="AG181" s="546"/>
      <c r="AH181" s="546"/>
      <c r="AI181" s="900">
        <f>+Q181+R181+S181+T181+U181+V181+W181+X181+Y181+Z181+AA181+AB181+AC181+AD181+AE181+AF181+AG181+AH181</f>
        <v>29801133</v>
      </c>
    </row>
    <row r="182" spans="1:35" ht="19.5" customHeight="1" x14ac:dyDescent="0.25">
      <c r="A182" s="949"/>
      <c r="B182" s="3"/>
      <c r="C182" s="846"/>
      <c r="D182" s="565"/>
      <c r="E182" s="865"/>
      <c r="F182" s="865"/>
      <c r="G182" s="208"/>
      <c r="H182" s="209"/>
      <c r="I182" s="299"/>
      <c r="J182" s="149"/>
      <c r="K182" s="149"/>
      <c r="L182" s="810"/>
      <c r="M182" s="557"/>
      <c r="N182" s="584"/>
      <c r="O182" s="147"/>
      <c r="P182" s="148"/>
      <c r="Q182" s="150"/>
      <c r="R182" s="150"/>
      <c r="S182" s="150"/>
      <c r="T182" s="150"/>
      <c r="U182" s="150"/>
      <c r="V182" s="150"/>
      <c r="W182" s="150"/>
      <c r="X182" s="150"/>
      <c r="Y182" s="150">
        <f>SUM(Y177:Y181)</f>
        <v>0</v>
      </c>
      <c r="Z182" s="150"/>
      <c r="AA182" s="150"/>
      <c r="AB182" s="150">
        <f>SUM(AB177:AB181)</f>
        <v>0</v>
      </c>
      <c r="AC182" s="150"/>
      <c r="AD182" s="150"/>
      <c r="AE182" s="150">
        <f>SUM(AE177:AE181)</f>
        <v>700271633</v>
      </c>
      <c r="AF182" s="150"/>
      <c r="AG182" s="150"/>
      <c r="AH182" s="150">
        <f>SUM(AH177:AH181)</f>
        <v>0</v>
      </c>
      <c r="AI182" s="904">
        <f>SUM(AI177:AI181)</f>
        <v>700271633</v>
      </c>
    </row>
    <row r="183" spans="1:35" ht="20.25" customHeight="1" x14ac:dyDescent="0.25">
      <c r="A183" s="949"/>
      <c r="B183" s="3"/>
      <c r="C183" s="845"/>
      <c r="D183" s="161"/>
      <c r="E183" s="845"/>
      <c r="F183" s="845"/>
      <c r="G183" s="216"/>
      <c r="H183" s="566"/>
      <c r="I183" s="203"/>
      <c r="J183" s="162"/>
      <c r="K183" s="162"/>
      <c r="L183" s="811"/>
      <c r="M183" s="162"/>
      <c r="N183" s="21"/>
      <c r="O183" s="161"/>
      <c r="P183" s="845"/>
      <c r="Q183" s="12"/>
      <c r="R183" s="163"/>
      <c r="S183" s="12"/>
      <c r="T183" s="12"/>
      <c r="U183" s="12"/>
      <c r="V183" s="12"/>
      <c r="W183" s="12"/>
      <c r="X183" s="12"/>
      <c r="Y183" s="12"/>
      <c r="Z183" s="12"/>
      <c r="AA183" s="12"/>
      <c r="AB183" s="12"/>
      <c r="AC183" s="12"/>
      <c r="AD183" s="12"/>
      <c r="AE183" s="189"/>
      <c r="AF183" s="12"/>
      <c r="AG183" s="12"/>
      <c r="AH183" s="163"/>
      <c r="AI183" s="921"/>
    </row>
    <row r="184" spans="1:35" ht="22.5" customHeight="1" x14ac:dyDescent="0.25">
      <c r="A184" s="949"/>
      <c r="B184" s="3"/>
      <c r="C184" s="846"/>
      <c r="D184" s="565"/>
      <c r="E184" s="865"/>
      <c r="F184" s="865"/>
      <c r="G184" s="175">
        <v>86</v>
      </c>
      <c r="H184" s="81" t="s">
        <v>241</v>
      </c>
      <c r="I184" s="81"/>
      <c r="J184" s="81"/>
      <c r="K184" s="81"/>
      <c r="L184" s="796"/>
      <c r="M184" s="81"/>
      <c r="N184" s="88"/>
      <c r="O184" s="81"/>
      <c r="P184" s="81"/>
      <c r="Q184" s="176"/>
      <c r="R184" s="176"/>
      <c r="S184" s="176"/>
      <c r="T184" s="176"/>
      <c r="U184" s="176"/>
      <c r="V184" s="176"/>
      <c r="W184" s="176"/>
      <c r="X184" s="176"/>
      <c r="Y184" s="176"/>
      <c r="Z184" s="176"/>
      <c r="AA184" s="176"/>
      <c r="AB184" s="176"/>
      <c r="AC184" s="176"/>
      <c r="AD184" s="176"/>
      <c r="AE184" s="177"/>
      <c r="AF184" s="176"/>
      <c r="AG184" s="176"/>
      <c r="AH184" s="176"/>
      <c r="AI184" s="918"/>
    </row>
    <row r="185" spans="1:35" s="539" customFormat="1" ht="72" customHeight="1" x14ac:dyDescent="0.25">
      <c r="A185" s="924"/>
      <c r="B185" s="549"/>
      <c r="C185" s="827">
        <v>37</v>
      </c>
      <c r="D185" s="828" t="s">
        <v>228</v>
      </c>
      <c r="E185" s="829">
        <v>54.61</v>
      </c>
      <c r="F185" s="676">
        <v>60</v>
      </c>
      <c r="G185" s="569"/>
      <c r="H185" s="829">
        <v>255</v>
      </c>
      <c r="I185" s="828" t="s">
        <v>242</v>
      </c>
      <c r="J185" s="543">
        <v>12</v>
      </c>
      <c r="K185" s="544">
        <v>12</v>
      </c>
      <c r="L185" s="758">
        <v>12</v>
      </c>
      <c r="M185" s="545" t="s">
        <v>72</v>
      </c>
      <c r="N185" s="619" t="s">
        <v>243</v>
      </c>
      <c r="O185" s="828" t="s">
        <v>244</v>
      </c>
      <c r="P185" s="651" t="s">
        <v>46</v>
      </c>
      <c r="Q185" s="546"/>
      <c r="R185" s="546"/>
      <c r="S185" s="546"/>
      <c r="T185" s="546"/>
      <c r="U185" s="546"/>
      <c r="V185" s="546"/>
      <c r="W185" s="546"/>
      <c r="X185" s="546"/>
      <c r="Y185" s="546"/>
      <c r="Z185" s="546"/>
      <c r="AA185" s="546"/>
      <c r="AB185" s="546"/>
      <c r="AC185" s="546"/>
      <c r="AD185" s="546"/>
      <c r="AE185" s="550">
        <v>99372400</v>
      </c>
      <c r="AF185" s="546"/>
      <c r="AG185" s="546"/>
      <c r="AH185" s="546"/>
      <c r="AI185" s="900">
        <f>+Q185+R185+S185+T185+U185+V185+W185+X185+Y185+Z185+AA185+AB185+AC185+AD185+AE185+AF185+AG185+AH185</f>
        <v>99372400</v>
      </c>
    </row>
    <row r="186" spans="1:35" s="24" customFormat="1" ht="24.95" customHeight="1" x14ac:dyDescent="0.25">
      <c r="A186" s="949"/>
      <c r="B186" s="3"/>
      <c r="C186" s="856"/>
      <c r="D186" s="832"/>
      <c r="E186" s="851"/>
      <c r="F186" s="300"/>
      <c r="G186" s="147"/>
      <c r="H186" s="148"/>
      <c r="I186" s="147"/>
      <c r="J186" s="149"/>
      <c r="K186" s="149"/>
      <c r="L186" s="793"/>
      <c r="M186" s="149"/>
      <c r="N186" s="584"/>
      <c r="O186" s="147"/>
      <c r="P186" s="148"/>
      <c r="Q186" s="150"/>
      <c r="R186" s="150"/>
      <c r="S186" s="150"/>
      <c r="T186" s="150">
        <f>SUM(T185:T185)</f>
        <v>0</v>
      </c>
      <c r="U186" s="150"/>
      <c r="V186" s="150"/>
      <c r="W186" s="150"/>
      <c r="X186" s="150"/>
      <c r="Y186" s="150">
        <f>SUM(Y185:Y185)</f>
        <v>0</v>
      </c>
      <c r="Z186" s="150"/>
      <c r="AA186" s="150"/>
      <c r="AB186" s="150">
        <f>SUM(AB185:AB185)</f>
        <v>0</v>
      </c>
      <c r="AC186" s="150"/>
      <c r="AD186" s="150"/>
      <c r="AE186" s="150">
        <f>SUM(AE185:AE185)</f>
        <v>99372400</v>
      </c>
      <c r="AF186" s="150"/>
      <c r="AG186" s="150"/>
      <c r="AH186" s="150">
        <f>SUM(AH185:AH185)</f>
        <v>0</v>
      </c>
      <c r="AI186" s="904">
        <f>SUM(AI185:AI185)</f>
        <v>99372400</v>
      </c>
    </row>
    <row r="187" spans="1:35" s="30" customFormat="1" ht="24.95" customHeight="1" x14ac:dyDescent="0.25">
      <c r="A187" s="951"/>
      <c r="B187" s="151"/>
      <c r="C187" s="152"/>
      <c r="D187" s="151"/>
      <c r="E187" s="152"/>
      <c r="F187" s="152"/>
      <c r="G187" s="151"/>
      <c r="H187" s="152"/>
      <c r="I187" s="151"/>
      <c r="J187" s="153"/>
      <c r="K187" s="153"/>
      <c r="L187" s="797"/>
      <c r="M187" s="153"/>
      <c r="N187" s="585"/>
      <c r="O187" s="151"/>
      <c r="P187" s="152"/>
      <c r="Q187" s="154"/>
      <c r="R187" s="154"/>
      <c r="S187" s="154"/>
      <c r="T187" s="154">
        <f>T186+T182</f>
        <v>0</v>
      </c>
      <c r="U187" s="154"/>
      <c r="V187" s="154"/>
      <c r="W187" s="154"/>
      <c r="X187" s="154"/>
      <c r="Y187" s="154">
        <f>Y186+Y182</f>
        <v>0</v>
      </c>
      <c r="Z187" s="154"/>
      <c r="AA187" s="154"/>
      <c r="AB187" s="154">
        <f>AB186+AB182</f>
        <v>0</v>
      </c>
      <c r="AC187" s="154"/>
      <c r="AD187" s="154"/>
      <c r="AE187" s="154">
        <f>AE186+AE182</f>
        <v>799644033</v>
      </c>
      <c r="AF187" s="154"/>
      <c r="AG187" s="154"/>
      <c r="AH187" s="154">
        <f>AH186+AH182</f>
        <v>0</v>
      </c>
      <c r="AI187" s="906">
        <f>AI186+AI182</f>
        <v>799644033</v>
      </c>
    </row>
    <row r="188" spans="1:35" ht="24.95" customHeight="1" x14ac:dyDescent="0.25">
      <c r="A188" s="952"/>
      <c r="B188" s="155"/>
      <c r="C188" s="67"/>
      <c r="D188" s="155"/>
      <c r="E188" s="67"/>
      <c r="F188" s="67"/>
      <c r="G188" s="155"/>
      <c r="H188" s="67"/>
      <c r="I188" s="155"/>
      <c r="J188" s="156"/>
      <c r="K188" s="156"/>
      <c r="L188" s="805"/>
      <c r="M188" s="156"/>
      <c r="N188" s="586"/>
      <c r="O188" s="155"/>
      <c r="P188" s="67"/>
      <c r="Q188" s="157"/>
      <c r="R188" s="157"/>
      <c r="S188" s="157"/>
      <c r="T188" s="157">
        <f>T187+T173</f>
        <v>0</v>
      </c>
      <c r="U188" s="157"/>
      <c r="V188" s="157"/>
      <c r="W188" s="157"/>
      <c r="X188" s="157"/>
      <c r="Y188" s="157">
        <f>Y187+Y173</f>
        <v>0</v>
      </c>
      <c r="Z188" s="157"/>
      <c r="AA188" s="157"/>
      <c r="AB188" s="157">
        <f>AB187+AB173</f>
        <v>0</v>
      </c>
      <c r="AC188" s="157"/>
      <c r="AD188" s="157"/>
      <c r="AE188" s="157">
        <f>AE187+AE173</f>
        <v>849331033</v>
      </c>
      <c r="AF188" s="157"/>
      <c r="AG188" s="157"/>
      <c r="AH188" s="157">
        <f>AH187+AH173</f>
        <v>0</v>
      </c>
      <c r="AI188" s="908">
        <f>AI187+AI173</f>
        <v>849331033</v>
      </c>
    </row>
    <row r="189" spans="1:35" ht="24.95" customHeight="1" x14ac:dyDescent="0.25">
      <c r="A189" s="909"/>
      <c r="B189" s="158"/>
      <c r="C189" s="159"/>
      <c r="D189" s="158"/>
      <c r="E189" s="159"/>
      <c r="F189" s="301"/>
      <c r="G189" s="158"/>
      <c r="H189" s="159"/>
      <c r="I189" s="158"/>
      <c r="J189" s="160"/>
      <c r="K189" s="160"/>
      <c r="L189" s="160"/>
      <c r="M189" s="160"/>
      <c r="N189" s="587"/>
      <c r="O189" s="158"/>
      <c r="P189" s="159"/>
      <c r="Q189" s="11"/>
      <c r="R189" s="11"/>
      <c r="S189" s="11"/>
      <c r="T189" s="11">
        <f>T188+T166</f>
        <v>7093592174</v>
      </c>
      <c r="U189" s="11"/>
      <c r="V189" s="11"/>
      <c r="W189" s="11"/>
      <c r="X189" s="11"/>
      <c r="Y189" s="11">
        <f>Y188+Y166</f>
        <v>0</v>
      </c>
      <c r="Z189" s="11"/>
      <c r="AA189" s="11"/>
      <c r="AB189" s="11">
        <f>AB188+AB166</f>
        <v>0</v>
      </c>
      <c r="AC189" s="11"/>
      <c r="AD189" s="11"/>
      <c r="AE189" s="11">
        <f>AE188+AE166</f>
        <v>2718006146</v>
      </c>
      <c r="AF189" s="11"/>
      <c r="AG189" s="11"/>
      <c r="AH189" s="11">
        <f>AH188+AH166</f>
        <v>169985263</v>
      </c>
      <c r="AI189" s="910">
        <f>AI188+AI166</f>
        <v>9981583583</v>
      </c>
    </row>
    <row r="190" spans="1:35" ht="21.75" customHeight="1" x14ac:dyDescent="0.25">
      <c r="A190" s="953"/>
      <c r="B190" s="216"/>
      <c r="C190" s="566"/>
      <c r="D190" s="216"/>
      <c r="E190" s="566"/>
      <c r="F190" s="566"/>
      <c r="G190" s="216"/>
      <c r="H190" s="566"/>
      <c r="I190" s="216"/>
      <c r="J190" s="270"/>
      <c r="K190" s="270"/>
      <c r="L190" s="270"/>
      <c r="M190" s="270"/>
      <c r="N190" s="57"/>
      <c r="O190" s="216"/>
      <c r="P190" s="566"/>
      <c r="Q190" s="62"/>
      <c r="R190" s="302"/>
      <c r="S190" s="62"/>
      <c r="T190" s="62"/>
      <c r="U190" s="62"/>
      <c r="V190" s="62"/>
      <c r="W190" s="62"/>
      <c r="X190" s="62"/>
      <c r="Y190" s="62"/>
      <c r="Z190" s="62"/>
      <c r="AA190" s="302"/>
      <c r="AB190" s="302"/>
      <c r="AC190" s="62"/>
      <c r="AD190" s="62"/>
      <c r="AE190" s="65"/>
      <c r="AF190" s="62"/>
      <c r="AG190" s="62" t="s">
        <v>0</v>
      </c>
      <c r="AH190" s="302"/>
      <c r="AI190" s="954"/>
    </row>
    <row r="191" spans="1:35" ht="24.95" customHeight="1" x14ac:dyDescent="0.25">
      <c r="A191" s="936" t="s">
        <v>245</v>
      </c>
      <c r="B191" s="26"/>
      <c r="C191" s="27"/>
      <c r="D191" s="26"/>
      <c r="E191" s="26"/>
      <c r="F191" s="26"/>
      <c r="G191" s="26"/>
      <c r="H191" s="27"/>
      <c r="I191" s="26"/>
      <c r="J191" s="26"/>
      <c r="K191" s="26"/>
      <c r="L191" s="26"/>
      <c r="M191" s="26"/>
      <c r="N191" s="16"/>
      <c r="O191" s="26"/>
      <c r="P191" s="27"/>
      <c r="Q191" s="229"/>
      <c r="R191" s="229"/>
      <c r="S191" s="229"/>
      <c r="T191" s="229"/>
      <c r="U191" s="229"/>
      <c r="V191" s="229"/>
      <c r="W191" s="229"/>
      <c r="X191" s="229"/>
      <c r="Y191" s="229"/>
      <c r="Z191" s="229"/>
      <c r="AA191" s="229"/>
      <c r="AB191" s="229"/>
      <c r="AC191" s="229"/>
      <c r="AD191" s="229"/>
      <c r="AE191" s="230"/>
      <c r="AF191" s="229"/>
      <c r="AG191" s="229"/>
      <c r="AH191" s="229"/>
      <c r="AI191" s="937" t="s">
        <v>0</v>
      </c>
    </row>
    <row r="192" spans="1:35" ht="24.95" customHeight="1" x14ac:dyDescent="0.25">
      <c r="A192" s="893">
        <v>3</v>
      </c>
      <c r="B192" s="77" t="s">
        <v>246</v>
      </c>
      <c r="C192" s="139"/>
      <c r="D192" s="77"/>
      <c r="E192" s="77"/>
      <c r="F192" s="77"/>
      <c r="G192" s="77"/>
      <c r="H192" s="139"/>
      <c r="I192" s="77"/>
      <c r="J192" s="77"/>
      <c r="K192" s="77"/>
      <c r="L192" s="77"/>
      <c r="M192" s="77"/>
      <c r="N192" s="14"/>
      <c r="O192" s="77"/>
      <c r="P192" s="77"/>
      <c r="Q192" s="166"/>
      <c r="R192" s="166"/>
      <c r="S192" s="166"/>
      <c r="T192" s="166"/>
      <c r="U192" s="166"/>
      <c r="V192" s="166"/>
      <c r="W192" s="166"/>
      <c r="X192" s="166"/>
      <c r="Y192" s="166"/>
      <c r="Z192" s="166"/>
      <c r="AA192" s="166"/>
      <c r="AB192" s="166"/>
      <c r="AC192" s="166"/>
      <c r="AD192" s="166"/>
      <c r="AE192" s="167"/>
      <c r="AF192" s="166"/>
      <c r="AG192" s="166"/>
      <c r="AH192" s="166"/>
      <c r="AI192" s="914"/>
    </row>
    <row r="193" spans="1:35" ht="24.95" customHeight="1" x14ac:dyDescent="0.25">
      <c r="A193" s="915"/>
      <c r="B193" s="303">
        <v>9</v>
      </c>
      <c r="C193" s="837" t="s">
        <v>247</v>
      </c>
      <c r="D193" s="87"/>
      <c r="E193" s="87"/>
      <c r="F193" s="87"/>
      <c r="G193" s="87"/>
      <c r="H193" s="838"/>
      <c r="I193" s="87"/>
      <c r="J193" s="87"/>
      <c r="K193" s="87"/>
      <c r="L193" s="87"/>
      <c r="M193" s="87"/>
      <c r="N193" s="15"/>
      <c r="O193" s="87"/>
      <c r="P193" s="87"/>
      <c r="Q193" s="169"/>
      <c r="R193" s="169"/>
      <c r="S193" s="169"/>
      <c r="T193" s="169"/>
      <c r="U193" s="169"/>
      <c r="V193" s="169"/>
      <c r="W193" s="169"/>
      <c r="X193" s="169"/>
      <c r="Y193" s="169"/>
      <c r="Z193" s="169"/>
      <c r="AA193" s="169"/>
      <c r="AB193" s="169"/>
      <c r="AC193" s="169"/>
      <c r="AD193" s="169"/>
      <c r="AE193" s="170"/>
      <c r="AF193" s="169"/>
      <c r="AG193" s="169"/>
      <c r="AH193" s="169"/>
      <c r="AI193" s="916"/>
    </row>
    <row r="194" spans="1:35" ht="24.95" customHeight="1" x14ac:dyDescent="0.25">
      <c r="A194" s="917"/>
      <c r="B194" s="172"/>
      <c r="C194" s="234"/>
      <c r="D194" s="173"/>
      <c r="E194" s="173"/>
      <c r="F194" s="174"/>
      <c r="G194" s="175">
        <v>29</v>
      </c>
      <c r="H194" s="81" t="s">
        <v>248</v>
      </c>
      <c r="I194" s="81"/>
      <c r="J194" s="81"/>
      <c r="K194" s="81"/>
      <c r="L194" s="81"/>
      <c r="M194" s="81"/>
      <c r="N194" s="88"/>
      <c r="O194" s="81"/>
      <c r="P194" s="81"/>
      <c r="Q194" s="176"/>
      <c r="R194" s="304"/>
      <c r="S194" s="176"/>
      <c r="T194" s="176"/>
      <c r="U194" s="176"/>
      <c r="V194" s="176"/>
      <c r="W194" s="176"/>
      <c r="X194" s="176"/>
      <c r="Y194" s="176"/>
      <c r="Z194" s="176"/>
      <c r="AA194" s="176"/>
      <c r="AB194" s="176"/>
      <c r="AC194" s="176"/>
      <c r="AD194" s="176"/>
      <c r="AE194" s="177"/>
      <c r="AF194" s="176"/>
      <c r="AG194" s="176"/>
      <c r="AH194" s="176"/>
      <c r="AI194" s="918"/>
    </row>
    <row r="195" spans="1:35" s="539" customFormat="1" ht="79.5" customHeight="1" x14ac:dyDescent="0.25">
      <c r="A195" s="919"/>
      <c r="B195" s="541"/>
      <c r="C195" s="826" t="s">
        <v>249</v>
      </c>
      <c r="D195" s="831" t="s">
        <v>250</v>
      </c>
      <c r="E195" s="844" t="s">
        <v>251</v>
      </c>
      <c r="F195" s="821" t="s">
        <v>252</v>
      </c>
      <c r="G195" s="549"/>
      <c r="H195" s="821">
        <v>114</v>
      </c>
      <c r="I195" s="817" t="s">
        <v>253</v>
      </c>
      <c r="J195" s="635" t="s">
        <v>36</v>
      </c>
      <c r="K195" s="678">
        <v>30</v>
      </c>
      <c r="L195" s="679"/>
      <c r="M195" s="821" t="s">
        <v>254</v>
      </c>
      <c r="N195" s="619" t="s">
        <v>255</v>
      </c>
      <c r="O195" s="822" t="s">
        <v>256</v>
      </c>
      <c r="P195" s="821" t="s">
        <v>46</v>
      </c>
      <c r="Q195" s="680">
        <f>168990744+4600000+1075686973</f>
        <v>1249277717</v>
      </c>
      <c r="R195" s="637"/>
      <c r="S195" s="637"/>
      <c r="T195" s="637"/>
      <c r="U195" s="637"/>
      <c r="V195" s="637"/>
      <c r="W195" s="637"/>
      <c r="X195" s="637"/>
      <c r="Y195" s="637"/>
      <c r="Z195" s="637"/>
      <c r="AA195" s="637"/>
      <c r="AB195" s="637"/>
      <c r="AC195" s="637"/>
      <c r="AD195" s="637"/>
      <c r="AE195" s="550">
        <v>0</v>
      </c>
      <c r="AF195" s="681"/>
      <c r="AG195" s="681"/>
      <c r="AH195" s="681"/>
      <c r="AI195" s="900">
        <f>+Q195+R195+S195+T195+U195+V195+W195+X195+Y195+Z195+AA195+AB195+AC195+AD195+AE195+AF195+AG195+AH195</f>
        <v>1249277717</v>
      </c>
    </row>
    <row r="196" spans="1:35" s="539" customFormat="1" ht="116.25" customHeight="1" x14ac:dyDescent="0.25">
      <c r="A196" s="919"/>
      <c r="B196" s="541"/>
      <c r="C196" s="1096" t="s">
        <v>249</v>
      </c>
      <c r="D196" s="1092" t="s">
        <v>250</v>
      </c>
      <c r="E196" s="1122" t="s">
        <v>251</v>
      </c>
      <c r="F196" s="1085" t="s">
        <v>251</v>
      </c>
      <c r="G196" s="549"/>
      <c r="H196" s="821">
        <v>114</v>
      </c>
      <c r="I196" s="817" t="s">
        <v>253</v>
      </c>
      <c r="J196" s="635" t="s">
        <v>36</v>
      </c>
      <c r="K196" s="760">
        <v>30</v>
      </c>
      <c r="L196" s="678">
        <v>29</v>
      </c>
      <c r="M196" s="1096" t="s">
        <v>254</v>
      </c>
      <c r="N196" s="1082" t="s">
        <v>257</v>
      </c>
      <c r="O196" s="1080" t="s">
        <v>258</v>
      </c>
      <c r="P196" s="821" t="s">
        <v>46</v>
      </c>
      <c r="Q196" s="682"/>
      <c r="R196" s="638"/>
      <c r="S196" s="638"/>
      <c r="T196" s="638"/>
      <c r="U196" s="638"/>
      <c r="V196" s="638"/>
      <c r="W196" s="638"/>
      <c r="X196" s="638"/>
      <c r="Y196" s="638"/>
      <c r="Z196" s="638"/>
      <c r="AA196" s="638"/>
      <c r="AB196" s="638"/>
      <c r="AC196" s="638"/>
      <c r="AD196" s="638"/>
      <c r="AE196" s="550">
        <f>914200000+187844165+400000000</f>
        <v>1502044165</v>
      </c>
      <c r="AF196" s="683"/>
      <c r="AG196" s="683"/>
      <c r="AH196" s="683"/>
      <c r="AI196" s="900">
        <f>+Q196+R196+S196+T196+U196+V196+W196+X196+Y196+Z196+AA196+AB196+AC196+AD196+AE196+AF196+AG196+AH196</f>
        <v>1502044165</v>
      </c>
    </row>
    <row r="197" spans="1:35" s="539" customFormat="1" ht="55.5" customHeight="1" x14ac:dyDescent="0.25">
      <c r="A197" s="919"/>
      <c r="B197" s="541"/>
      <c r="C197" s="1089"/>
      <c r="D197" s="1093"/>
      <c r="E197" s="1123"/>
      <c r="F197" s="1088"/>
      <c r="G197" s="549"/>
      <c r="H197" s="821">
        <v>115</v>
      </c>
      <c r="I197" s="828" t="s">
        <v>259</v>
      </c>
      <c r="J197" s="543">
        <v>0</v>
      </c>
      <c r="K197" s="761">
        <v>34</v>
      </c>
      <c r="L197" s="686">
        <v>55</v>
      </c>
      <c r="M197" s="1089"/>
      <c r="N197" s="1082"/>
      <c r="O197" s="1087"/>
      <c r="P197" s="829" t="s">
        <v>40</v>
      </c>
      <c r="Q197" s="661">
        <f>844953723+23000000+602580100</f>
        <v>1470533823</v>
      </c>
      <c r="R197" s="546"/>
      <c r="S197" s="546"/>
      <c r="T197" s="546"/>
      <c r="U197" s="546"/>
      <c r="V197" s="546"/>
      <c r="W197" s="546"/>
      <c r="X197" s="546"/>
      <c r="Y197" s="546"/>
      <c r="Z197" s="546"/>
      <c r="AA197" s="546"/>
      <c r="AB197" s="546"/>
      <c r="AC197" s="546"/>
      <c r="AD197" s="546"/>
      <c r="AE197" s="550">
        <v>0</v>
      </c>
      <c r="AF197" s="547"/>
      <c r="AG197" s="547"/>
      <c r="AH197" s="547"/>
      <c r="AI197" s="955">
        <f>+Q197+R197+S197+T197+U197+V197+W197+X197+Y197+Z197+AA197+AB197+AC197+AD197+AE197+AF197+AG197+AH197</f>
        <v>1470533823</v>
      </c>
    </row>
    <row r="198" spans="1:35" s="539" customFormat="1" ht="54.75" customHeight="1" x14ac:dyDescent="0.25">
      <c r="A198" s="919"/>
      <c r="B198" s="541"/>
      <c r="C198" s="1090"/>
      <c r="D198" s="1094"/>
      <c r="E198" s="1124"/>
      <c r="F198" s="1086"/>
      <c r="G198" s="624"/>
      <c r="H198" s="821">
        <v>116</v>
      </c>
      <c r="I198" s="828" t="s">
        <v>260</v>
      </c>
      <c r="J198" s="543" t="s">
        <v>36</v>
      </c>
      <c r="K198" s="732">
        <v>10</v>
      </c>
      <c r="L198" s="686">
        <v>14</v>
      </c>
      <c r="M198" s="1090"/>
      <c r="N198" s="1083"/>
      <c r="O198" s="1081"/>
      <c r="P198" s="829" t="s">
        <v>40</v>
      </c>
      <c r="Q198" s="680">
        <f>168990744+4600000+67614483</f>
        <v>241205227</v>
      </c>
      <c r="R198" s="546"/>
      <c r="S198" s="546"/>
      <c r="T198" s="546"/>
      <c r="U198" s="546"/>
      <c r="V198" s="546"/>
      <c r="W198" s="546"/>
      <c r="X198" s="546"/>
      <c r="Y198" s="546"/>
      <c r="Z198" s="546"/>
      <c r="AA198" s="546"/>
      <c r="AB198" s="546"/>
      <c r="AC198" s="546"/>
      <c r="AD198" s="546"/>
      <c r="AE198" s="550">
        <v>0</v>
      </c>
      <c r="AF198" s="547"/>
      <c r="AG198" s="547"/>
      <c r="AH198" s="547"/>
      <c r="AI198" s="900">
        <f>+Q198+R198+S198+T198+U198+V198+W198+X198+Y198+Z198+AA198+AB198+AC198+AD198+AE198+AF198+AG198+AH198</f>
        <v>241205227</v>
      </c>
    </row>
    <row r="199" spans="1:35" ht="15" x14ac:dyDescent="0.25">
      <c r="A199" s="917"/>
      <c r="B199" s="144"/>
      <c r="C199" s="846"/>
      <c r="D199" s="305"/>
      <c r="E199" s="306"/>
      <c r="F199" s="306"/>
      <c r="G199" s="147"/>
      <c r="H199" s="148"/>
      <c r="I199" s="147"/>
      <c r="J199" s="149"/>
      <c r="K199" s="762"/>
      <c r="L199" s="307"/>
      <c r="M199" s="766"/>
      <c r="N199" s="584"/>
      <c r="O199" s="147"/>
      <c r="P199" s="148"/>
      <c r="Q199" s="150">
        <f>SUM(Q195:Q198)</f>
        <v>2961016767</v>
      </c>
      <c r="R199" s="150"/>
      <c r="S199" s="150"/>
      <c r="T199" s="150"/>
      <c r="U199" s="150"/>
      <c r="V199" s="150"/>
      <c r="W199" s="150"/>
      <c r="X199" s="150"/>
      <c r="Y199" s="150">
        <f>SUM(Y195:Y198)</f>
        <v>0</v>
      </c>
      <c r="Z199" s="150"/>
      <c r="AA199" s="150"/>
      <c r="AB199" s="150">
        <f>SUM(AB195:AB198)</f>
        <v>0</v>
      </c>
      <c r="AC199" s="150"/>
      <c r="AD199" s="150"/>
      <c r="AE199" s="150">
        <f>SUM(AE195:AE198)</f>
        <v>1502044165</v>
      </c>
      <c r="AF199" s="150"/>
      <c r="AG199" s="150"/>
      <c r="AH199" s="150"/>
      <c r="AI199" s="904">
        <f>SUM(AI195:AI198)</f>
        <v>4463060932</v>
      </c>
    </row>
    <row r="200" spans="1:35" ht="15" x14ac:dyDescent="0.25">
      <c r="A200" s="917"/>
      <c r="B200" s="144"/>
      <c r="C200" s="567"/>
      <c r="D200" s="308"/>
      <c r="E200" s="873"/>
      <c r="F200" s="873"/>
      <c r="G200" s="161"/>
      <c r="H200" s="845"/>
      <c r="I200" s="161"/>
      <c r="J200" s="162"/>
      <c r="K200" s="309"/>
      <c r="L200" s="266"/>
      <c r="M200" s="845"/>
      <c r="N200" s="21"/>
      <c r="O200" s="161"/>
      <c r="P200" s="845"/>
      <c r="Q200" s="12"/>
      <c r="R200" s="163"/>
      <c r="S200" s="12"/>
      <c r="T200" s="12"/>
      <c r="U200" s="12"/>
      <c r="V200" s="12"/>
      <c r="W200" s="12"/>
      <c r="X200" s="12"/>
      <c r="Y200" s="12"/>
      <c r="Z200" s="12"/>
      <c r="AA200" s="12"/>
      <c r="AB200" s="12"/>
      <c r="AC200" s="12"/>
      <c r="AD200" s="12"/>
      <c r="AE200" s="189"/>
      <c r="AF200" s="12"/>
      <c r="AG200" s="12"/>
      <c r="AH200" s="163"/>
      <c r="AI200" s="921"/>
    </row>
    <row r="201" spans="1:35" ht="15" x14ac:dyDescent="0.25">
      <c r="A201" s="917"/>
      <c r="B201" s="144"/>
      <c r="C201" s="858"/>
      <c r="D201" s="310"/>
      <c r="E201" s="311"/>
      <c r="F201" s="311"/>
      <c r="G201" s="175">
        <v>30</v>
      </c>
      <c r="H201" s="81" t="s">
        <v>261</v>
      </c>
      <c r="I201" s="81"/>
      <c r="J201" s="81"/>
      <c r="K201" s="312"/>
      <c r="L201" s="770"/>
      <c r="M201" s="81"/>
      <c r="N201" s="88"/>
      <c r="O201" s="81"/>
      <c r="P201" s="81"/>
      <c r="Q201" s="176"/>
      <c r="R201" s="176"/>
      <c r="S201" s="176"/>
      <c r="T201" s="176"/>
      <c r="U201" s="176"/>
      <c r="V201" s="176"/>
      <c r="W201" s="176"/>
      <c r="X201" s="176"/>
      <c r="Y201" s="176"/>
      <c r="Z201" s="176"/>
      <c r="AA201" s="176"/>
      <c r="AB201" s="176"/>
      <c r="AC201" s="176"/>
      <c r="AD201" s="176"/>
      <c r="AE201" s="177"/>
      <c r="AF201" s="176"/>
      <c r="AG201" s="176"/>
      <c r="AH201" s="176"/>
      <c r="AI201" s="918"/>
    </row>
    <row r="202" spans="1:35" s="539" customFormat="1" ht="60" customHeight="1" x14ac:dyDescent="0.25">
      <c r="A202" s="919"/>
      <c r="B202" s="541"/>
      <c r="C202" s="826" t="s">
        <v>262</v>
      </c>
      <c r="D202" s="831" t="s">
        <v>263</v>
      </c>
      <c r="E202" s="844" t="s">
        <v>264</v>
      </c>
      <c r="F202" s="821" t="s">
        <v>265</v>
      </c>
      <c r="G202" s="828"/>
      <c r="H202" s="829">
        <v>117</v>
      </c>
      <c r="I202" s="828" t="s">
        <v>266</v>
      </c>
      <c r="J202" s="543" t="s">
        <v>36</v>
      </c>
      <c r="K202" s="763">
        <v>1</v>
      </c>
      <c r="L202" s="684">
        <v>4</v>
      </c>
      <c r="M202" s="767" t="s">
        <v>254</v>
      </c>
      <c r="N202" s="619" t="s">
        <v>267</v>
      </c>
      <c r="O202" s="828" t="s">
        <v>268</v>
      </c>
      <c r="P202" s="829" t="s">
        <v>40</v>
      </c>
      <c r="Q202" s="546"/>
      <c r="R202" s="546"/>
      <c r="S202" s="546"/>
      <c r="T202" s="546"/>
      <c r="U202" s="546"/>
      <c r="V202" s="546"/>
      <c r="W202" s="546"/>
      <c r="X202" s="546"/>
      <c r="Y202" s="546"/>
      <c r="Z202" s="546"/>
      <c r="AA202" s="546"/>
      <c r="AB202" s="546"/>
      <c r="AC202" s="546"/>
      <c r="AD202" s="546"/>
      <c r="AE202" s="550">
        <v>79500000</v>
      </c>
      <c r="AF202" s="547"/>
      <c r="AG202" s="547"/>
      <c r="AH202" s="547"/>
      <c r="AI202" s="900">
        <f>+Q202+R202+S202+T202+U202+V202+W202+X202+Y202+Z202+AA202+AB202+AC202+AD202+AE202+AF202+AG202+AH202</f>
        <v>79500000</v>
      </c>
    </row>
    <row r="203" spans="1:35" ht="15" x14ac:dyDescent="0.25">
      <c r="A203" s="917"/>
      <c r="B203" s="144"/>
      <c r="C203" s="846"/>
      <c r="D203" s="305"/>
      <c r="E203" s="306"/>
      <c r="F203" s="306"/>
      <c r="G203" s="147"/>
      <c r="H203" s="148"/>
      <c r="I203" s="147"/>
      <c r="J203" s="149"/>
      <c r="K203" s="764"/>
      <c r="L203" s="314"/>
      <c r="M203" s="768"/>
      <c r="N203" s="584"/>
      <c r="O203" s="147"/>
      <c r="P203" s="148"/>
      <c r="Q203" s="150"/>
      <c r="R203" s="150"/>
      <c r="S203" s="150"/>
      <c r="T203" s="150"/>
      <c r="U203" s="150"/>
      <c r="V203" s="150"/>
      <c r="W203" s="150"/>
      <c r="X203" s="150"/>
      <c r="Y203" s="150">
        <f>Y202</f>
        <v>0</v>
      </c>
      <c r="Z203" s="150"/>
      <c r="AA203" s="150"/>
      <c r="AB203" s="150">
        <f>AB202</f>
        <v>0</v>
      </c>
      <c r="AC203" s="150"/>
      <c r="AD203" s="150"/>
      <c r="AE203" s="150">
        <f>AE202</f>
        <v>79500000</v>
      </c>
      <c r="AF203" s="150"/>
      <c r="AG203" s="150"/>
      <c r="AH203" s="150"/>
      <c r="AI203" s="904">
        <f>AI202</f>
        <v>79500000</v>
      </c>
    </row>
    <row r="204" spans="1:35" ht="15" x14ac:dyDescent="0.25">
      <c r="A204" s="917"/>
      <c r="B204" s="144"/>
      <c r="C204" s="567"/>
      <c r="D204" s="308"/>
      <c r="E204" s="873"/>
      <c r="F204" s="873"/>
      <c r="G204" s="161"/>
      <c r="H204" s="845"/>
      <c r="I204" s="161"/>
      <c r="J204" s="162"/>
      <c r="K204" s="315"/>
      <c r="L204" s="313"/>
      <c r="M204" s="162"/>
      <c r="N204" s="21"/>
      <c r="O204" s="161"/>
      <c r="P204" s="845"/>
      <c r="Q204" s="12"/>
      <c r="R204" s="163"/>
      <c r="S204" s="12"/>
      <c r="T204" s="12"/>
      <c r="U204" s="12"/>
      <c r="V204" s="12"/>
      <c r="W204" s="12"/>
      <c r="X204" s="12"/>
      <c r="Y204" s="12"/>
      <c r="Z204" s="12"/>
      <c r="AA204" s="12"/>
      <c r="AB204" s="12"/>
      <c r="AC204" s="12"/>
      <c r="AD204" s="12"/>
      <c r="AE204" s="189"/>
      <c r="AF204" s="12"/>
      <c r="AG204" s="12"/>
      <c r="AH204" s="163"/>
      <c r="AI204" s="921"/>
    </row>
    <row r="205" spans="1:35" ht="15" x14ac:dyDescent="0.25">
      <c r="A205" s="917"/>
      <c r="B205" s="144"/>
      <c r="C205" s="858"/>
      <c r="D205" s="310"/>
      <c r="E205" s="311"/>
      <c r="F205" s="311"/>
      <c r="G205" s="251">
        <v>31</v>
      </c>
      <c r="H205" s="85" t="s">
        <v>269</v>
      </c>
      <c r="I205" s="81"/>
      <c r="J205" s="81"/>
      <c r="K205" s="312"/>
      <c r="L205" s="770"/>
      <c r="M205" s="81"/>
      <c r="N205" s="88"/>
      <c r="O205" s="81"/>
      <c r="P205" s="81"/>
      <c r="Q205" s="176"/>
      <c r="R205" s="176"/>
      <c r="S205" s="176"/>
      <c r="T205" s="176"/>
      <c r="U205" s="176"/>
      <c r="V205" s="176"/>
      <c r="W205" s="176"/>
      <c r="X205" s="176"/>
      <c r="Y205" s="176"/>
      <c r="Z205" s="176"/>
      <c r="AA205" s="176"/>
      <c r="AB205" s="176"/>
      <c r="AC205" s="176"/>
      <c r="AD205" s="176"/>
      <c r="AE205" s="177"/>
      <c r="AF205" s="176"/>
      <c r="AG205" s="176"/>
      <c r="AH205" s="176"/>
      <c r="AI205" s="918"/>
    </row>
    <row r="206" spans="1:35" s="539" customFormat="1" ht="98.25" customHeight="1" x14ac:dyDescent="0.25">
      <c r="A206" s="919"/>
      <c r="B206" s="541"/>
      <c r="C206" s="826" t="s">
        <v>270</v>
      </c>
      <c r="D206" s="831" t="s">
        <v>271</v>
      </c>
      <c r="E206" s="844" t="s">
        <v>272</v>
      </c>
      <c r="F206" s="821" t="s">
        <v>273</v>
      </c>
      <c r="G206" s="828"/>
      <c r="H206" s="829">
        <v>118</v>
      </c>
      <c r="I206" s="828" t="s">
        <v>274</v>
      </c>
      <c r="J206" s="543">
        <v>16</v>
      </c>
      <c r="K206" s="735">
        <v>4</v>
      </c>
      <c r="L206" s="686">
        <v>7</v>
      </c>
      <c r="M206" s="767" t="s">
        <v>254</v>
      </c>
      <c r="N206" s="619" t="s">
        <v>275</v>
      </c>
      <c r="O206" s="828" t="s">
        <v>276</v>
      </c>
      <c r="P206" s="829" t="s">
        <v>40</v>
      </c>
      <c r="Q206" s="680">
        <f>168990744+4600000+43482831</f>
        <v>217073575</v>
      </c>
      <c r="R206" s="546"/>
      <c r="S206" s="546"/>
      <c r="T206" s="546"/>
      <c r="U206" s="546"/>
      <c r="V206" s="546"/>
      <c r="W206" s="546"/>
      <c r="X206" s="546"/>
      <c r="Y206" s="546"/>
      <c r="Z206" s="546"/>
      <c r="AA206" s="546"/>
      <c r="AB206" s="546"/>
      <c r="AC206" s="546"/>
      <c r="AD206" s="546"/>
      <c r="AE206" s="550">
        <v>0</v>
      </c>
      <c r="AF206" s="547"/>
      <c r="AG206" s="547"/>
      <c r="AH206" s="547">
        <f>0+28350000</f>
        <v>28350000</v>
      </c>
      <c r="AI206" s="900">
        <f>+Q206+R206+S206+T206+U206+V206+W206+X206+Y206+Z206+AA206+AB206+AC206+AD206+AE206+AF206+AG206+AH206</f>
        <v>245423575</v>
      </c>
    </row>
    <row r="207" spans="1:35" ht="15" x14ac:dyDescent="0.25">
      <c r="A207" s="917"/>
      <c r="B207" s="146"/>
      <c r="C207" s="846"/>
      <c r="D207" s="305"/>
      <c r="E207" s="306"/>
      <c r="F207" s="306"/>
      <c r="G207" s="147"/>
      <c r="H207" s="148"/>
      <c r="I207" s="147"/>
      <c r="J207" s="149"/>
      <c r="K207" s="764"/>
      <c r="L207" s="314"/>
      <c r="M207" s="768"/>
      <c r="N207" s="584"/>
      <c r="O207" s="147"/>
      <c r="P207" s="148"/>
      <c r="Q207" s="150">
        <f t="shared" ref="Q207:AI207" si="11">SUM(Q206)</f>
        <v>217073575</v>
      </c>
      <c r="R207" s="150">
        <f t="shared" si="11"/>
        <v>0</v>
      </c>
      <c r="S207" s="150">
        <f t="shared" si="11"/>
        <v>0</v>
      </c>
      <c r="T207" s="150">
        <f t="shared" si="11"/>
        <v>0</v>
      </c>
      <c r="U207" s="150">
        <f t="shared" si="11"/>
        <v>0</v>
      </c>
      <c r="V207" s="150">
        <f t="shared" si="11"/>
        <v>0</v>
      </c>
      <c r="W207" s="150">
        <f t="shared" si="11"/>
        <v>0</v>
      </c>
      <c r="X207" s="150">
        <f t="shared" si="11"/>
        <v>0</v>
      </c>
      <c r="Y207" s="150">
        <f t="shared" si="11"/>
        <v>0</v>
      </c>
      <c r="Z207" s="150">
        <f t="shared" si="11"/>
        <v>0</v>
      </c>
      <c r="AA207" s="150">
        <f t="shared" si="11"/>
        <v>0</v>
      </c>
      <c r="AB207" s="150">
        <f t="shared" si="11"/>
        <v>0</v>
      </c>
      <c r="AC207" s="150">
        <f t="shared" si="11"/>
        <v>0</v>
      </c>
      <c r="AD207" s="150">
        <f t="shared" si="11"/>
        <v>0</v>
      </c>
      <c r="AE207" s="150">
        <f t="shared" si="11"/>
        <v>0</v>
      </c>
      <c r="AF207" s="150">
        <f t="shared" si="11"/>
        <v>0</v>
      </c>
      <c r="AG207" s="150">
        <f t="shared" si="11"/>
        <v>0</v>
      </c>
      <c r="AH207" s="150">
        <f t="shared" si="11"/>
        <v>28350000</v>
      </c>
      <c r="AI207" s="904">
        <f t="shared" si="11"/>
        <v>245423575</v>
      </c>
    </row>
    <row r="208" spans="1:35" ht="15" x14ac:dyDescent="0.25">
      <c r="A208" s="917"/>
      <c r="B208" s="210"/>
      <c r="C208" s="152"/>
      <c r="D208" s="316"/>
      <c r="E208" s="317"/>
      <c r="F208" s="317"/>
      <c r="G208" s="151"/>
      <c r="H208" s="152"/>
      <c r="I208" s="151"/>
      <c r="J208" s="153"/>
      <c r="K208" s="765"/>
      <c r="L208" s="318"/>
      <c r="M208" s="769"/>
      <c r="N208" s="585"/>
      <c r="O208" s="151"/>
      <c r="P208" s="152"/>
      <c r="Q208" s="154">
        <f t="shared" ref="Q208:AI208" si="12">Q207+Q203+Q199</f>
        <v>3178090342</v>
      </c>
      <c r="R208" s="154">
        <f t="shared" si="12"/>
        <v>0</v>
      </c>
      <c r="S208" s="154">
        <f t="shared" si="12"/>
        <v>0</v>
      </c>
      <c r="T208" s="154">
        <f t="shared" si="12"/>
        <v>0</v>
      </c>
      <c r="U208" s="154">
        <f t="shared" si="12"/>
        <v>0</v>
      </c>
      <c r="V208" s="154">
        <f t="shared" si="12"/>
        <v>0</v>
      </c>
      <c r="W208" s="154">
        <f t="shared" si="12"/>
        <v>0</v>
      </c>
      <c r="X208" s="154">
        <f t="shared" si="12"/>
        <v>0</v>
      </c>
      <c r="Y208" s="154">
        <f t="shared" si="12"/>
        <v>0</v>
      </c>
      <c r="Z208" s="154">
        <f t="shared" si="12"/>
        <v>0</v>
      </c>
      <c r="AA208" s="154">
        <f t="shared" si="12"/>
        <v>0</v>
      </c>
      <c r="AB208" s="154">
        <f t="shared" si="12"/>
        <v>0</v>
      </c>
      <c r="AC208" s="154">
        <f t="shared" si="12"/>
        <v>0</v>
      </c>
      <c r="AD208" s="154">
        <f t="shared" si="12"/>
        <v>0</v>
      </c>
      <c r="AE208" s="154">
        <f t="shared" si="12"/>
        <v>1581544165</v>
      </c>
      <c r="AF208" s="154">
        <f t="shared" si="12"/>
        <v>0</v>
      </c>
      <c r="AG208" s="154">
        <f t="shared" si="12"/>
        <v>0</v>
      </c>
      <c r="AH208" s="154">
        <f t="shared" si="12"/>
        <v>28350000</v>
      </c>
      <c r="AI208" s="906">
        <f t="shared" si="12"/>
        <v>4787984507</v>
      </c>
    </row>
    <row r="209" spans="1:35" ht="15" x14ac:dyDescent="0.25">
      <c r="A209" s="917"/>
      <c r="B209" s="161"/>
      <c r="C209" s="567"/>
      <c r="D209" s="308"/>
      <c r="E209" s="873"/>
      <c r="F209" s="873"/>
      <c r="G209" s="161"/>
      <c r="H209" s="845"/>
      <c r="I209" s="161"/>
      <c r="J209" s="162"/>
      <c r="K209" s="315"/>
      <c r="L209" s="313"/>
      <c r="M209" s="162"/>
      <c r="N209" s="21"/>
      <c r="O209" s="161"/>
      <c r="P209" s="845"/>
      <c r="Q209" s="12"/>
      <c r="R209" s="163"/>
      <c r="S209" s="12"/>
      <c r="T209" s="12"/>
      <c r="U209" s="12"/>
      <c r="V209" s="12"/>
      <c r="W209" s="12"/>
      <c r="X209" s="12"/>
      <c r="Y209" s="12"/>
      <c r="Z209" s="12"/>
      <c r="AA209" s="12"/>
      <c r="AB209" s="12"/>
      <c r="AC209" s="12"/>
      <c r="AD209" s="12"/>
      <c r="AE209" s="189"/>
      <c r="AF209" s="12"/>
      <c r="AG209" s="12"/>
      <c r="AH209" s="163"/>
      <c r="AI209" s="921"/>
    </row>
    <row r="210" spans="1:35" x14ac:dyDescent="0.25">
      <c r="A210" s="917"/>
      <c r="B210" s="232">
        <v>10</v>
      </c>
      <c r="C210" s="837" t="s">
        <v>277</v>
      </c>
      <c r="D210" s="87"/>
      <c r="E210" s="87"/>
      <c r="F210" s="87"/>
      <c r="G210" s="87"/>
      <c r="H210" s="838"/>
      <c r="I210" s="87"/>
      <c r="J210" s="87"/>
      <c r="K210" s="319"/>
      <c r="L210" s="771"/>
      <c r="M210" s="87"/>
      <c r="N210" s="15"/>
      <c r="O210" s="87"/>
      <c r="P210" s="87"/>
      <c r="Q210" s="169"/>
      <c r="R210" s="169"/>
      <c r="S210" s="169"/>
      <c r="T210" s="169"/>
      <c r="U210" s="169"/>
      <c r="V210" s="169"/>
      <c r="W210" s="169"/>
      <c r="X210" s="169"/>
      <c r="Y210" s="169"/>
      <c r="Z210" s="169"/>
      <c r="AA210" s="169"/>
      <c r="AB210" s="169"/>
      <c r="AC210" s="169"/>
      <c r="AD210" s="169"/>
      <c r="AE210" s="170"/>
      <c r="AF210" s="169"/>
      <c r="AG210" s="169"/>
      <c r="AH210" s="169"/>
      <c r="AI210" s="916"/>
    </row>
    <row r="211" spans="1:35" ht="15" x14ac:dyDescent="0.25">
      <c r="A211" s="917"/>
      <c r="B211" s="320"/>
      <c r="C211" s="321"/>
      <c r="D211" s="322"/>
      <c r="E211" s="322"/>
      <c r="F211" s="322"/>
      <c r="G211" s="323">
        <v>32</v>
      </c>
      <c r="H211" s="84" t="s">
        <v>278</v>
      </c>
      <c r="I211" s="84"/>
      <c r="J211" s="84"/>
      <c r="K211" s="324"/>
      <c r="L211" s="772"/>
      <c r="M211" s="84"/>
      <c r="N211" s="596"/>
      <c r="O211" s="84"/>
      <c r="P211" s="84"/>
      <c r="Q211" s="220"/>
      <c r="R211" s="220"/>
      <c r="S211" s="220"/>
      <c r="T211" s="220"/>
      <c r="U211" s="220"/>
      <c r="V211" s="220"/>
      <c r="W211" s="220"/>
      <c r="X211" s="220"/>
      <c r="Y211" s="220"/>
      <c r="Z211" s="220"/>
      <c r="AA211" s="220"/>
      <c r="AB211" s="220"/>
      <c r="AC211" s="220"/>
      <c r="AD211" s="220"/>
      <c r="AE211" s="221"/>
      <c r="AF211" s="220"/>
      <c r="AG211" s="220"/>
      <c r="AH211" s="220"/>
      <c r="AI211" s="923"/>
    </row>
    <row r="212" spans="1:35" s="539" customFormat="1" ht="92.25" customHeight="1" x14ac:dyDescent="0.25">
      <c r="A212" s="919"/>
      <c r="B212" s="685"/>
      <c r="C212" s="821" t="s">
        <v>279</v>
      </c>
      <c r="D212" s="831" t="s">
        <v>280</v>
      </c>
      <c r="E212" s="844" t="s">
        <v>281</v>
      </c>
      <c r="F212" s="821" t="s">
        <v>282</v>
      </c>
      <c r="G212" s="828"/>
      <c r="H212" s="829">
        <v>119</v>
      </c>
      <c r="I212" s="828" t="s">
        <v>283</v>
      </c>
      <c r="J212" s="543">
        <v>10</v>
      </c>
      <c r="K212" s="763">
        <v>7</v>
      </c>
      <c r="L212" s="684">
        <v>12</v>
      </c>
      <c r="M212" s="767" t="s">
        <v>254</v>
      </c>
      <c r="N212" s="619" t="s">
        <v>284</v>
      </c>
      <c r="O212" s="828" t="s">
        <v>285</v>
      </c>
      <c r="P212" s="829" t="s">
        <v>40</v>
      </c>
      <c r="Q212" s="546"/>
      <c r="R212" s="546"/>
      <c r="S212" s="546"/>
      <c r="T212" s="546"/>
      <c r="U212" s="546"/>
      <c r="V212" s="546"/>
      <c r="W212" s="546"/>
      <c r="X212" s="546"/>
      <c r="Y212" s="546"/>
      <c r="Z212" s="546"/>
      <c r="AA212" s="546"/>
      <c r="AB212" s="546"/>
      <c r="AC212" s="546"/>
      <c r="AD212" s="546"/>
      <c r="AE212" s="550">
        <v>149180526</v>
      </c>
      <c r="AF212" s="547">
        <f>182000000+219596501-8217634</f>
        <v>393378867</v>
      </c>
      <c r="AG212" s="547"/>
      <c r="AH212" s="653"/>
      <c r="AI212" s="900">
        <f>+Q212+R212+S212+T212+U212+V212+W212+X212+Y212+Z212+AA212+AB212+AC212+AD212+AE212+AF212+AG212+AH212</f>
        <v>542559393</v>
      </c>
    </row>
    <row r="213" spans="1:35" s="24" customFormat="1" ht="20.25" x14ac:dyDescent="0.25">
      <c r="A213" s="917"/>
      <c r="B213" s="325"/>
      <c r="C213" s="865"/>
      <c r="D213" s="305"/>
      <c r="E213" s="306"/>
      <c r="F213" s="306"/>
      <c r="G213" s="147"/>
      <c r="H213" s="148"/>
      <c r="I213" s="147"/>
      <c r="J213" s="149"/>
      <c r="K213" s="764"/>
      <c r="L213" s="314"/>
      <c r="M213" s="768"/>
      <c r="N213" s="584"/>
      <c r="O213" s="147"/>
      <c r="P213" s="148"/>
      <c r="Q213" s="150"/>
      <c r="R213" s="150"/>
      <c r="S213" s="150"/>
      <c r="T213" s="150"/>
      <c r="U213" s="150"/>
      <c r="V213" s="150"/>
      <c r="W213" s="150"/>
      <c r="X213" s="150"/>
      <c r="Y213" s="150">
        <f>SUM(Y212)</f>
        <v>0</v>
      </c>
      <c r="Z213" s="150"/>
      <c r="AA213" s="150"/>
      <c r="AB213" s="150">
        <f>SUM(AB212)</f>
        <v>0</v>
      </c>
      <c r="AC213" s="150"/>
      <c r="AD213" s="150"/>
      <c r="AE213" s="150">
        <f>SUM(AE212)</f>
        <v>149180526</v>
      </c>
      <c r="AF213" s="150">
        <f>SUM(AF212)</f>
        <v>393378867</v>
      </c>
      <c r="AG213" s="150"/>
      <c r="AH213" s="150"/>
      <c r="AI213" s="904">
        <f>SUM(AI212)</f>
        <v>542559393</v>
      </c>
    </row>
    <row r="214" spans="1:35" s="24" customFormat="1" ht="20.25" x14ac:dyDescent="0.25">
      <c r="A214" s="917"/>
      <c r="B214" s="325"/>
      <c r="C214" s="567"/>
      <c r="D214" s="308"/>
      <c r="E214" s="873"/>
      <c r="F214" s="873"/>
      <c r="G214" s="161"/>
      <c r="H214" s="845"/>
      <c r="I214" s="161"/>
      <c r="J214" s="162"/>
      <c r="K214" s="315"/>
      <c r="L214" s="313"/>
      <c r="M214" s="270"/>
      <c r="N214" s="57"/>
      <c r="O214" s="216"/>
      <c r="P214" s="845"/>
      <c r="Q214" s="12"/>
      <c r="R214" s="163"/>
      <c r="S214" s="12"/>
      <c r="T214" s="12"/>
      <c r="U214" s="12"/>
      <c r="V214" s="12"/>
      <c r="W214" s="12"/>
      <c r="X214" s="12"/>
      <c r="Y214" s="12"/>
      <c r="Z214" s="12"/>
      <c r="AA214" s="12"/>
      <c r="AB214" s="12"/>
      <c r="AC214" s="12"/>
      <c r="AD214" s="12"/>
      <c r="AE214" s="189"/>
      <c r="AF214" s="12"/>
      <c r="AG214" s="12"/>
      <c r="AH214" s="163"/>
      <c r="AI214" s="921"/>
    </row>
    <row r="215" spans="1:35" s="24" customFormat="1" ht="20.25" x14ac:dyDescent="0.25">
      <c r="A215" s="917"/>
      <c r="B215" s="325"/>
      <c r="C215" s="853"/>
      <c r="D215" s="310"/>
      <c r="E215" s="311"/>
      <c r="F215" s="311"/>
      <c r="G215" s="175">
        <v>33</v>
      </c>
      <c r="H215" s="81" t="s">
        <v>286</v>
      </c>
      <c r="I215" s="81"/>
      <c r="J215" s="81"/>
      <c r="K215" s="312"/>
      <c r="L215" s="770"/>
      <c r="M215" s="81"/>
      <c r="N215" s="88"/>
      <c r="O215" s="81"/>
      <c r="P215" s="81"/>
      <c r="Q215" s="176"/>
      <c r="R215" s="176"/>
      <c r="S215" s="176"/>
      <c r="T215" s="176"/>
      <c r="U215" s="176"/>
      <c r="V215" s="176"/>
      <c r="W215" s="176"/>
      <c r="X215" s="176"/>
      <c r="Y215" s="176"/>
      <c r="Z215" s="176"/>
      <c r="AA215" s="176"/>
      <c r="AB215" s="176"/>
      <c r="AC215" s="176"/>
      <c r="AD215" s="176"/>
      <c r="AE215" s="177"/>
      <c r="AF215" s="176"/>
      <c r="AG215" s="176"/>
      <c r="AH215" s="176"/>
      <c r="AI215" s="918"/>
    </row>
    <row r="216" spans="1:35" s="539" customFormat="1" ht="56.25" customHeight="1" x14ac:dyDescent="0.25">
      <c r="A216" s="919"/>
      <c r="B216" s="685"/>
      <c r="C216" s="1085" t="s">
        <v>287</v>
      </c>
      <c r="D216" s="1092" t="s">
        <v>288</v>
      </c>
      <c r="E216" s="1122" t="s">
        <v>289</v>
      </c>
      <c r="F216" s="1085" t="s">
        <v>290</v>
      </c>
      <c r="G216" s="542"/>
      <c r="H216" s="829">
        <v>120</v>
      </c>
      <c r="I216" s="828" t="s">
        <v>291</v>
      </c>
      <c r="J216" s="543">
        <v>0</v>
      </c>
      <c r="K216" s="731">
        <v>2</v>
      </c>
      <c r="L216" s="686">
        <v>1</v>
      </c>
      <c r="M216" s="1096" t="s">
        <v>254</v>
      </c>
      <c r="N216" s="1084" t="s">
        <v>292</v>
      </c>
      <c r="O216" s="1080" t="s">
        <v>293</v>
      </c>
      <c r="P216" s="829" t="s">
        <v>40</v>
      </c>
      <c r="Q216" s="546"/>
      <c r="R216" s="546"/>
      <c r="S216" s="546"/>
      <c r="T216" s="546"/>
      <c r="U216" s="546"/>
      <c r="V216" s="546"/>
      <c r="W216" s="546"/>
      <c r="X216" s="546"/>
      <c r="Y216" s="546"/>
      <c r="Z216" s="546"/>
      <c r="AA216" s="546"/>
      <c r="AB216" s="546"/>
      <c r="AC216" s="546"/>
      <c r="AD216" s="546"/>
      <c r="AE216" s="550">
        <f>39700000-26700000+2484348+40000000</f>
        <v>55484348</v>
      </c>
      <c r="AF216" s="547"/>
      <c r="AG216" s="547"/>
      <c r="AH216" s="547"/>
      <c r="AI216" s="900">
        <f>+Q216+R216+S216+T216+U216+V216+W216+X216+Y216+Z216+AA216+AB216+AC216+AD216+AE216+AF216+AG216+AH216</f>
        <v>55484348</v>
      </c>
    </row>
    <row r="217" spans="1:35" s="539" customFormat="1" ht="28.5" x14ac:dyDescent="0.25">
      <c r="A217" s="919"/>
      <c r="B217" s="685"/>
      <c r="C217" s="1086"/>
      <c r="D217" s="1094"/>
      <c r="E217" s="1124"/>
      <c r="F217" s="1086"/>
      <c r="G217" s="624"/>
      <c r="H217" s="829">
        <v>121</v>
      </c>
      <c r="I217" s="828" t="s">
        <v>294</v>
      </c>
      <c r="J217" s="543">
        <v>9</v>
      </c>
      <c r="K217" s="731">
        <v>4</v>
      </c>
      <c r="L217" s="686">
        <v>3</v>
      </c>
      <c r="M217" s="1090"/>
      <c r="N217" s="1083"/>
      <c r="O217" s="1081"/>
      <c r="P217" s="829" t="s">
        <v>40</v>
      </c>
      <c r="Q217" s="546"/>
      <c r="R217" s="546"/>
      <c r="S217" s="546"/>
      <c r="T217" s="546"/>
      <c r="U217" s="546"/>
      <c r="V217" s="546"/>
      <c r="W217" s="546"/>
      <c r="X217" s="546"/>
      <c r="Y217" s="546"/>
      <c r="Z217" s="546"/>
      <c r="AA217" s="546"/>
      <c r="AB217" s="546"/>
      <c r="AC217" s="546"/>
      <c r="AD217" s="546"/>
      <c r="AE217" s="550">
        <f>39700000+26700000-2484348</f>
        <v>63915652</v>
      </c>
      <c r="AF217" s="547"/>
      <c r="AG217" s="547"/>
      <c r="AH217" s="547"/>
      <c r="AI217" s="900">
        <f>+Q217+R217+S217+T217+U217+V217+W217+X217+Y217+Z217+AA217+AB217+AC217+AD217+AE217+AF217+AG217+AH217</f>
        <v>63915652</v>
      </c>
    </row>
    <row r="218" spans="1:35" ht="24.95" customHeight="1" x14ac:dyDescent="0.25">
      <c r="A218" s="917"/>
      <c r="B218" s="326"/>
      <c r="C218" s="865"/>
      <c r="D218" s="305"/>
      <c r="E218" s="306"/>
      <c r="F218" s="306"/>
      <c r="G218" s="147"/>
      <c r="H218" s="148"/>
      <c r="I218" s="147"/>
      <c r="J218" s="149"/>
      <c r="K218" s="307"/>
      <c r="L218" s="307"/>
      <c r="M218" s="148"/>
      <c r="N218" s="584"/>
      <c r="O218" s="147"/>
      <c r="P218" s="148"/>
      <c r="Q218" s="150">
        <f>SUM(Q216:Q217)</f>
        <v>0</v>
      </c>
      <c r="R218" s="150"/>
      <c r="S218" s="150"/>
      <c r="T218" s="150"/>
      <c r="U218" s="150"/>
      <c r="V218" s="150"/>
      <c r="W218" s="150"/>
      <c r="X218" s="150"/>
      <c r="Y218" s="150">
        <f>SUM(Y216:Y217)</f>
        <v>0</v>
      </c>
      <c r="Z218" s="150"/>
      <c r="AA218" s="150"/>
      <c r="AB218" s="150">
        <f>SUM(AB216:AB217)</f>
        <v>0</v>
      </c>
      <c r="AC218" s="150"/>
      <c r="AD218" s="150"/>
      <c r="AE218" s="150">
        <f>SUM(AE216:AE217)</f>
        <v>119400000</v>
      </c>
      <c r="AF218" s="150">
        <f>SUM(AF216:AF217)</f>
        <v>0</v>
      </c>
      <c r="AG218" s="150"/>
      <c r="AH218" s="150">
        <f>SUM(AH216:AH217)</f>
        <v>0</v>
      </c>
      <c r="AI218" s="904">
        <f>SUM(AI216:AI217)</f>
        <v>119400000</v>
      </c>
    </row>
    <row r="219" spans="1:35" ht="24.95" customHeight="1" x14ac:dyDescent="0.25">
      <c r="A219" s="938"/>
      <c r="B219" s="210"/>
      <c r="C219" s="152"/>
      <c r="D219" s="316"/>
      <c r="E219" s="317"/>
      <c r="F219" s="317"/>
      <c r="G219" s="151"/>
      <c r="H219" s="152"/>
      <c r="I219" s="151"/>
      <c r="J219" s="153"/>
      <c r="K219" s="327"/>
      <c r="L219" s="327"/>
      <c r="M219" s="152"/>
      <c r="N219" s="585"/>
      <c r="O219" s="151"/>
      <c r="P219" s="152"/>
      <c r="Q219" s="154">
        <f>Q218+Q213</f>
        <v>0</v>
      </c>
      <c r="R219" s="154"/>
      <c r="S219" s="154"/>
      <c r="T219" s="154"/>
      <c r="U219" s="154"/>
      <c r="V219" s="154"/>
      <c r="W219" s="154"/>
      <c r="X219" s="154"/>
      <c r="Y219" s="154">
        <f>Y218+Y213</f>
        <v>0</v>
      </c>
      <c r="Z219" s="154"/>
      <c r="AA219" s="154"/>
      <c r="AB219" s="154">
        <f>AB218+AB213</f>
        <v>0</v>
      </c>
      <c r="AC219" s="154"/>
      <c r="AD219" s="154"/>
      <c r="AE219" s="154">
        <f>AE218+AE213</f>
        <v>268580526</v>
      </c>
      <c r="AF219" s="154">
        <f>AF218+AF213</f>
        <v>393378867</v>
      </c>
      <c r="AG219" s="154"/>
      <c r="AH219" s="154">
        <f>AH218+AH213</f>
        <v>0</v>
      </c>
      <c r="AI219" s="906">
        <f>AI218+AI213</f>
        <v>661959393</v>
      </c>
    </row>
    <row r="220" spans="1:35" ht="24.95" customHeight="1" x14ac:dyDescent="0.25">
      <c r="A220" s="907"/>
      <c r="B220" s="155"/>
      <c r="C220" s="67"/>
      <c r="D220" s="328"/>
      <c r="E220" s="329"/>
      <c r="F220" s="329"/>
      <c r="G220" s="155"/>
      <c r="H220" s="67"/>
      <c r="I220" s="155"/>
      <c r="J220" s="156"/>
      <c r="K220" s="330"/>
      <c r="L220" s="330"/>
      <c r="M220" s="67"/>
      <c r="N220" s="586"/>
      <c r="O220" s="155"/>
      <c r="P220" s="67"/>
      <c r="Q220" s="157">
        <f>Q219+Q208</f>
        <v>3178090342</v>
      </c>
      <c r="R220" s="157"/>
      <c r="S220" s="157"/>
      <c r="T220" s="157"/>
      <c r="U220" s="157"/>
      <c r="V220" s="157"/>
      <c r="W220" s="157"/>
      <c r="X220" s="157"/>
      <c r="Y220" s="157">
        <f>Y219+Y208</f>
        <v>0</v>
      </c>
      <c r="Z220" s="157"/>
      <c r="AA220" s="157"/>
      <c r="AB220" s="157">
        <f>AB219+AB208</f>
        <v>0</v>
      </c>
      <c r="AC220" s="157"/>
      <c r="AD220" s="157"/>
      <c r="AE220" s="157">
        <f>AE219+AE208</f>
        <v>1850124691</v>
      </c>
      <c r="AF220" s="157">
        <f>AF219+AF208</f>
        <v>393378867</v>
      </c>
      <c r="AG220" s="157"/>
      <c r="AH220" s="157">
        <f>AH219+AH208</f>
        <v>28350000</v>
      </c>
      <c r="AI220" s="908">
        <f>AI219+AI208</f>
        <v>5449943900</v>
      </c>
    </row>
    <row r="221" spans="1:35" ht="24.95" customHeight="1" x14ac:dyDescent="0.25">
      <c r="A221" s="909"/>
      <c r="B221" s="158"/>
      <c r="C221" s="159"/>
      <c r="D221" s="331"/>
      <c r="E221" s="332"/>
      <c r="F221" s="332"/>
      <c r="G221" s="158"/>
      <c r="H221" s="159"/>
      <c r="I221" s="158"/>
      <c r="J221" s="160"/>
      <c r="K221" s="333"/>
      <c r="L221" s="333"/>
      <c r="M221" s="159"/>
      <c r="N221" s="587"/>
      <c r="O221" s="158"/>
      <c r="P221" s="159"/>
      <c r="Q221" s="11">
        <f>Q220</f>
        <v>3178090342</v>
      </c>
      <c r="R221" s="11"/>
      <c r="S221" s="11"/>
      <c r="T221" s="11"/>
      <c r="U221" s="11"/>
      <c r="V221" s="11"/>
      <c r="W221" s="11"/>
      <c r="X221" s="11"/>
      <c r="Y221" s="11">
        <f>Y220</f>
        <v>0</v>
      </c>
      <c r="Z221" s="11"/>
      <c r="AA221" s="11"/>
      <c r="AB221" s="11">
        <f>AB220</f>
        <v>0</v>
      </c>
      <c r="AC221" s="11"/>
      <c r="AD221" s="11"/>
      <c r="AE221" s="11">
        <f>AE220</f>
        <v>1850124691</v>
      </c>
      <c r="AF221" s="11">
        <f>AF220</f>
        <v>393378867</v>
      </c>
      <c r="AG221" s="11"/>
      <c r="AH221" s="11">
        <f>AH220</f>
        <v>28350000</v>
      </c>
      <c r="AI221" s="910">
        <f>AI220</f>
        <v>5449943900</v>
      </c>
    </row>
    <row r="222" spans="1:35" ht="24.75" customHeight="1" x14ac:dyDescent="0.25">
      <c r="A222" s="911"/>
      <c r="B222" s="161"/>
      <c r="C222" s="845"/>
      <c r="D222" s="334"/>
      <c r="E222" s="142"/>
      <c r="F222" s="142"/>
      <c r="G222" s="161"/>
      <c r="H222" s="845"/>
      <c r="I222" s="161"/>
      <c r="J222" s="162"/>
      <c r="K222" s="309"/>
      <c r="L222" s="309"/>
      <c r="M222" s="845"/>
      <c r="N222" s="21"/>
      <c r="O222" s="161"/>
      <c r="P222" s="845"/>
      <c r="Q222" s="12"/>
      <c r="R222" s="163"/>
      <c r="S222" s="12"/>
      <c r="T222" s="12"/>
      <c r="U222" s="12"/>
      <c r="V222" s="12"/>
      <c r="W222" s="12"/>
      <c r="X222" s="12"/>
      <c r="Y222" s="12"/>
      <c r="Z222" s="12"/>
      <c r="AA222" s="163"/>
      <c r="AB222" s="163"/>
      <c r="AC222" s="12"/>
      <c r="AD222" s="12"/>
      <c r="AE222" s="64"/>
      <c r="AF222" s="12"/>
      <c r="AG222" s="12"/>
      <c r="AH222" s="163"/>
      <c r="AI222" s="954"/>
    </row>
    <row r="223" spans="1:35" ht="24.95" customHeight="1" x14ac:dyDescent="0.25">
      <c r="A223" s="891" t="s">
        <v>295</v>
      </c>
      <c r="B223" s="22"/>
      <c r="C223" s="23"/>
      <c r="D223" s="22"/>
      <c r="E223" s="22"/>
      <c r="F223" s="22"/>
      <c r="G223" s="22"/>
      <c r="H223" s="23"/>
      <c r="I223" s="22"/>
      <c r="J223" s="22"/>
      <c r="K223" s="31"/>
      <c r="L223" s="31"/>
      <c r="M223" s="22"/>
      <c r="N223" s="13"/>
      <c r="O223" s="22"/>
      <c r="P223" s="23"/>
      <c r="Q223" s="164"/>
      <c r="R223" s="164"/>
      <c r="S223" s="164"/>
      <c r="T223" s="164"/>
      <c r="U223" s="164"/>
      <c r="V223" s="164"/>
      <c r="W223" s="164"/>
      <c r="X223" s="164"/>
      <c r="Y223" s="164"/>
      <c r="Z223" s="164"/>
      <c r="AA223" s="164"/>
      <c r="AB223" s="164"/>
      <c r="AC223" s="164"/>
      <c r="AD223" s="164"/>
      <c r="AE223" s="165"/>
      <c r="AF223" s="164"/>
      <c r="AG223" s="164"/>
      <c r="AH223" s="164"/>
      <c r="AI223" s="913" t="s">
        <v>0</v>
      </c>
    </row>
    <row r="224" spans="1:35" ht="24.95" customHeight="1" x14ac:dyDescent="0.25">
      <c r="A224" s="893">
        <v>2</v>
      </c>
      <c r="B224" s="77" t="s">
        <v>119</v>
      </c>
      <c r="C224" s="139"/>
      <c r="D224" s="77"/>
      <c r="E224" s="77"/>
      <c r="F224" s="77"/>
      <c r="G224" s="77"/>
      <c r="H224" s="139"/>
      <c r="I224" s="77"/>
      <c r="J224" s="77"/>
      <c r="K224" s="335"/>
      <c r="L224" s="335"/>
      <c r="M224" s="77"/>
      <c r="N224" s="14"/>
      <c r="O224" s="77"/>
      <c r="P224" s="77"/>
      <c r="Q224" s="166"/>
      <c r="R224" s="166"/>
      <c r="S224" s="166"/>
      <c r="T224" s="166"/>
      <c r="U224" s="166"/>
      <c r="V224" s="166"/>
      <c r="W224" s="166"/>
      <c r="X224" s="166"/>
      <c r="Y224" s="166"/>
      <c r="Z224" s="166"/>
      <c r="AA224" s="166"/>
      <c r="AB224" s="166"/>
      <c r="AC224" s="166"/>
      <c r="AD224" s="166"/>
      <c r="AE224" s="167"/>
      <c r="AF224" s="166"/>
      <c r="AG224" s="166"/>
      <c r="AH224" s="166"/>
      <c r="AI224" s="914"/>
    </row>
    <row r="225" spans="1:35" ht="24.95" customHeight="1" x14ac:dyDescent="0.25">
      <c r="A225" s="915"/>
      <c r="B225" s="232">
        <v>2</v>
      </c>
      <c r="C225" s="837" t="s">
        <v>296</v>
      </c>
      <c r="D225" s="87"/>
      <c r="E225" s="87"/>
      <c r="F225" s="87"/>
      <c r="G225" s="87"/>
      <c r="H225" s="838"/>
      <c r="I225" s="87"/>
      <c r="J225" s="87"/>
      <c r="K225" s="319"/>
      <c r="L225" s="319"/>
      <c r="M225" s="87"/>
      <c r="N225" s="15"/>
      <c r="O225" s="87"/>
      <c r="P225" s="87"/>
      <c r="Q225" s="169"/>
      <c r="R225" s="169"/>
      <c r="S225" s="169"/>
      <c r="T225" s="169"/>
      <c r="U225" s="169"/>
      <c r="V225" s="169"/>
      <c r="W225" s="169"/>
      <c r="X225" s="169"/>
      <c r="Y225" s="169"/>
      <c r="Z225" s="169"/>
      <c r="AA225" s="169"/>
      <c r="AB225" s="169"/>
      <c r="AC225" s="169"/>
      <c r="AD225" s="169"/>
      <c r="AE225" s="170"/>
      <c r="AF225" s="169"/>
      <c r="AG225" s="169"/>
      <c r="AH225" s="169"/>
      <c r="AI225" s="916"/>
    </row>
    <row r="226" spans="1:35" ht="24.95" customHeight="1" x14ac:dyDescent="0.25">
      <c r="A226" s="917"/>
      <c r="B226" s="172"/>
      <c r="C226" s="845"/>
      <c r="D226" s="161"/>
      <c r="E226" s="845"/>
      <c r="F226" s="846"/>
      <c r="G226" s="336">
        <v>8</v>
      </c>
      <c r="H226" s="81" t="s">
        <v>297</v>
      </c>
      <c r="I226" s="81"/>
      <c r="J226" s="81"/>
      <c r="K226" s="312"/>
      <c r="L226" s="312"/>
      <c r="M226" s="81"/>
      <c r="N226" s="88"/>
      <c r="O226" s="81"/>
      <c r="P226" s="81"/>
      <c r="Q226" s="176"/>
      <c r="R226" s="176"/>
      <c r="S226" s="176"/>
      <c r="T226" s="176"/>
      <c r="U226" s="176"/>
      <c r="V226" s="176"/>
      <c r="W226" s="176"/>
      <c r="X226" s="176"/>
      <c r="Y226" s="176"/>
      <c r="Z226" s="176"/>
      <c r="AA226" s="176"/>
      <c r="AB226" s="176"/>
      <c r="AC226" s="176"/>
      <c r="AD226" s="176"/>
      <c r="AE226" s="177"/>
      <c r="AF226" s="176"/>
      <c r="AG226" s="176"/>
      <c r="AH226" s="176"/>
      <c r="AI226" s="918"/>
    </row>
    <row r="227" spans="1:35" s="539" customFormat="1" ht="65.25" customHeight="1" x14ac:dyDescent="0.25">
      <c r="A227" s="919"/>
      <c r="B227" s="541"/>
      <c r="C227" s="827">
        <v>5</v>
      </c>
      <c r="D227" s="828" t="s">
        <v>298</v>
      </c>
      <c r="E227" s="829">
        <v>12.9</v>
      </c>
      <c r="F227" s="829">
        <v>8.9</v>
      </c>
      <c r="G227" s="542"/>
      <c r="H227" s="829">
        <v>38</v>
      </c>
      <c r="I227" s="828" t="s">
        <v>299</v>
      </c>
      <c r="J227" s="829">
        <v>3</v>
      </c>
      <c r="K227" s="651">
        <v>4</v>
      </c>
      <c r="L227" s="651">
        <v>3</v>
      </c>
      <c r="M227" s="1080" t="s">
        <v>300</v>
      </c>
      <c r="N227" s="1084" t="s">
        <v>301</v>
      </c>
      <c r="O227" s="1080" t="s">
        <v>302</v>
      </c>
      <c r="P227" s="651" t="s">
        <v>46</v>
      </c>
      <c r="Q227" s="546"/>
      <c r="R227" s="546"/>
      <c r="S227" s="546"/>
      <c r="T227" s="546"/>
      <c r="U227" s="546"/>
      <c r="V227" s="546"/>
      <c r="W227" s="546"/>
      <c r="X227" s="546"/>
      <c r="Y227" s="546"/>
      <c r="Z227" s="546"/>
      <c r="AA227" s="546"/>
      <c r="AB227" s="546"/>
      <c r="AC227" s="546"/>
      <c r="AD227" s="546"/>
      <c r="AE227" s="550">
        <f>19850000+60000000</f>
        <v>79850000</v>
      </c>
      <c r="AF227" s="547"/>
      <c r="AG227" s="547"/>
      <c r="AH227" s="547"/>
      <c r="AI227" s="900">
        <f>+Q227+R227+S227+T227+U227+V227+W227+X227+Y227+Z227+AA227+AB227+AC227+AD227+AE227+AF227+AG227+AH227</f>
        <v>79850000</v>
      </c>
    </row>
    <row r="228" spans="1:35" s="539" customFormat="1" ht="55.5" customHeight="1" x14ac:dyDescent="0.25">
      <c r="A228" s="919"/>
      <c r="B228" s="541"/>
      <c r="C228" s="827">
        <v>6</v>
      </c>
      <c r="D228" s="828" t="s">
        <v>303</v>
      </c>
      <c r="E228" s="821" t="s">
        <v>304</v>
      </c>
      <c r="F228" s="821" t="s">
        <v>305</v>
      </c>
      <c r="G228" s="549"/>
      <c r="H228" s="829">
        <v>39</v>
      </c>
      <c r="I228" s="542" t="s">
        <v>306</v>
      </c>
      <c r="J228" s="829">
        <v>0</v>
      </c>
      <c r="K228" s="651">
        <v>3</v>
      </c>
      <c r="L228" s="651">
        <v>2</v>
      </c>
      <c r="M228" s="1081"/>
      <c r="N228" s="1083"/>
      <c r="O228" s="1081"/>
      <c r="P228" s="651" t="s">
        <v>46</v>
      </c>
      <c r="Q228" s="546"/>
      <c r="R228" s="546"/>
      <c r="S228" s="546"/>
      <c r="T228" s="546"/>
      <c r="U228" s="546"/>
      <c r="V228" s="546"/>
      <c r="W228" s="546"/>
      <c r="X228" s="546"/>
      <c r="Y228" s="546"/>
      <c r="Z228" s="546"/>
      <c r="AA228" s="546"/>
      <c r="AB228" s="546"/>
      <c r="AC228" s="546"/>
      <c r="AD228" s="546"/>
      <c r="AE228" s="550">
        <v>39750000</v>
      </c>
      <c r="AF228" s="547"/>
      <c r="AG228" s="547"/>
      <c r="AH228" s="547"/>
      <c r="AI228" s="900">
        <f>+Q228+R228+S228+T228+U228+V228+W228+X228+Y228+Z228+AA228+AB228+AC228+AD228+AE228+AF228+AG228+AH228</f>
        <v>39750000</v>
      </c>
    </row>
    <row r="229" spans="1:35" s="539" customFormat="1" ht="85.5" customHeight="1" x14ac:dyDescent="0.25">
      <c r="A229" s="919"/>
      <c r="B229" s="541"/>
      <c r="C229" s="1096">
        <v>5</v>
      </c>
      <c r="D229" s="1091" t="s">
        <v>298</v>
      </c>
      <c r="E229" s="1085">
        <v>12.9</v>
      </c>
      <c r="F229" s="1085">
        <v>8.9</v>
      </c>
      <c r="G229" s="549"/>
      <c r="H229" s="829">
        <v>40</v>
      </c>
      <c r="I229" s="828" t="s">
        <v>307</v>
      </c>
      <c r="J229" s="829">
        <v>0</v>
      </c>
      <c r="K229" s="777">
        <f>0.56+0.36</f>
        <v>0.92</v>
      </c>
      <c r="L229" s="704">
        <v>0.7</v>
      </c>
      <c r="M229" s="1085" t="s">
        <v>300</v>
      </c>
      <c r="N229" s="1084" t="s">
        <v>308</v>
      </c>
      <c r="O229" s="1080" t="s">
        <v>309</v>
      </c>
      <c r="P229" s="651" t="s">
        <v>40</v>
      </c>
      <c r="Q229" s="546"/>
      <c r="R229" s="546"/>
      <c r="S229" s="546"/>
      <c r="T229" s="546"/>
      <c r="U229" s="546"/>
      <c r="V229" s="546"/>
      <c r="W229" s="546"/>
      <c r="X229" s="546"/>
      <c r="Y229" s="546"/>
      <c r="Z229" s="546"/>
      <c r="AA229" s="546"/>
      <c r="AB229" s="546"/>
      <c r="AC229" s="546"/>
      <c r="AD229" s="546"/>
      <c r="AE229" s="550">
        <f>19850000+50000000</f>
        <v>69850000</v>
      </c>
      <c r="AF229" s="547"/>
      <c r="AG229" s="547"/>
      <c r="AH229" s="547"/>
      <c r="AI229" s="900">
        <f>+Q229+R229+S229+T229+U229+V229+W229+X229+Y229+Z229+AA229+AB229+AC229+AD229+AE229+AF229+AG229+AH229</f>
        <v>69850000</v>
      </c>
    </row>
    <row r="230" spans="1:35" s="539" customFormat="1" ht="28.5" x14ac:dyDescent="0.25">
      <c r="A230" s="919"/>
      <c r="B230" s="541"/>
      <c r="C230" s="1089"/>
      <c r="D230" s="1091"/>
      <c r="E230" s="1088"/>
      <c r="F230" s="1088"/>
      <c r="G230" s="549"/>
      <c r="H230" s="829">
        <v>41</v>
      </c>
      <c r="I230" s="828" t="s">
        <v>310</v>
      </c>
      <c r="J230" s="829">
        <v>0</v>
      </c>
      <c r="K230" s="651">
        <v>1</v>
      </c>
      <c r="L230" s="704">
        <v>0.8</v>
      </c>
      <c r="M230" s="1088"/>
      <c r="N230" s="1082"/>
      <c r="O230" s="1087"/>
      <c r="P230" s="651" t="s">
        <v>46</v>
      </c>
      <c r="Q230" s="546"/>
      <c r="R230" s="546"/>
      <c r="S230" s="546"/>
      <c r="T230" s="546"/>
      <c r="U230" s="546"/>
      <c r="V230" s="546"/>
      <c r="W230" s="546"/>
      <c r="X230" s="546"/>
      <c r="Y230" s="546"/>
      <c r="Z230" s="546"/>
      <c r="AA230" s="546"/>
      <c r="AB230" s="546"/>
      <c r="AC230" s="546"/>
      <c r="AD230" s="546"/>
      <c r="AE230" s="550">
        <v>24850000</v>
      </c>
      <c r="AF230" s="547"/>
      <c r="AG230" s="547"/>
      <c r="AH230" s="547"/>
      <c r="AI230" s="900">
        <f>+Q230+R230+S230+T230+U230+V230+W230+X230+Y230+Z230+AA230+AB230+AC230+AD230+AE230+AF230+AG230+AH230</f>
        <v>24850000</v>
      </c>
    </row>
    <row r="231" spans="1:35" s="539" customFormat="1" ht="53.25" customHeight="1" x14ac:dyDescent="0.25">
      <c r="A231" s="919"/>
      <c r="B231" s="541"/>
      <c r="C231" s="687">
        <v>6</v>
      </c>
      <c r="D231" s="688" t="s">
        <v>303</v>
      </c>
      <c r="E231" s="689" t="s">
        <v>304</v>
      </c>
      <c r="F231" s="689" t="s">
        <v>305</v>
      </c>
      <c r="G231" s="624"/>
      <c r="H231" s="829">
        <v>42</v>
      </c>
      <c r="I231" s="828" t="s">
        <v>311</v>
      </c>
      <c r="J231" s="829">
        <v>1</v>
      </c>
      <c r="K231" s="651">
        <v>1</v>
      </c>
      <c r="L231" s="704">
        <v>0.8</v>
      </c>
      <c r="M231" s="1086"/>
      <c r="N231" s="1083"/>
      <c r="O231" s="1081"/>
      <c r="P231" s="651" t="s">
        <v>46</v>
      </c>
      <c r="Q231" s="546"/>
      <c r="R231" s="546"/>
      <c r="S231" s="546"/>
      <c r="T231" s="546"/>
      <c r="U231" s="546"/>
      <c r="V231" s="546"/>
      <c r="W231" s="546"/>
      <c r="X231" s="546"/>
      <c r="Y231" s="546"/>
      <c r="Z231" s="546"/>
      <c r="AA231" s="546"/>
      <c r="AB231" s="546"/>
      <c r="AC231" s="546"/>
      <c r="AD231" s="546"/>
      <c r="AE231" s="550">
        <v>34750000</v>
      </c>
      <c r="AF231" s="546"/>
      <c r="AG231" s="546"/>
      <c r="AH231" s="546"/>
      <c r="AI231" s="900">
        <f>+Q231+R231+S231+T231+U231+V231+W231+X231+Y231+Z231+AA231+AB231+AC231+AD231+AE231+AF231+AG231+AH231</f>
        <v>34750000</v>
      </c>
    </row>
    <row r="232" spans="1:35" ht="15" customHeight="1" x14ac:dyDescent="0.25">
      <c r="A232" s="917"/>
      <c r="B232" s="144"/>
      <c r="C232" s="846"/>
      <c r="D232" s="565"/>
      <c r="E232" s="865"/>
      <c r="F232" s="865"/>
      <c r="G232" s="147"/>
      <c r="H232" s="148"/>
      <c r="I232" s="147"/>
      <c r="J232" s="148"/>
      <c r="K232" s="307"/>
      <c r="L232" s="307"/>
      <c r="M232" s="148"/>
      <c r="N232" s="584"/>
      <c r="O232" s="147"/>
      <c r="P232" s="148"/>
      <c r="Q232" s="150"/>
      <c r="R232" s="150"/>
      <c r="S232" s="150"/>
      <c r="T232" s="150"/>
      <c r="U232" s="150"/>
      <c r="V232" s="150"/>
      <c r="W232" s="150"/>
      <c r="X232" s="150"/>
      <c r="Y232" s="150">
        <f>SUM(Y227:Y231)</f>
        <v>0</v>
      </c>
      <c r="Z232" s="150"/>
      <c r="AA232" s="150"/>
      <c r="AB232" s="150">
        <f>SUM(AB227:AB231)</f>
        <v>0</v>
      </c>
      <c r="AC232" s="150"/>
      <c r="AD232" s="150"/>
      <c r="AE232" s="150">
        <f>SUM(AE227:AE231)</f>
        <v>249050000</v>
      </c>
      <c r="AF232" s="150"/>
      <c r="AG232" s="150"/>
      <c r="AH232" s="150"/>
      <c r="AI232" s="904">
        <f>SUM(AI227:AI231)</f>
        <v>249050000</v>
      </c>
    </row>
    <row r="233" spans="1:35" ht="15" customHeight="1" x14ac:dyDescent="0.25">
      <c r="A233" s="917"/>
      <c r="B233" s="144"/>
      <c r="C233" s="846"/>
      <c r="D233" s="565"/>
      <c r="E233" s="865"/>
      <c r="F233" s="865"/>
      <c r="G233" s="565"/>
      <c r="H233" s="865"/>
      <c r="I233" s="565"/>
      <c r="J233" s="865"/>
      <c r="K233" s="337"/>
      <c r="L233" s="571"/>
      <c r="M233" s="851"/>
      <c r="N233" s="834"/>
      <c r="O233" s="832"/>
      <c r="P233" s="865"/>
      <c r="Q233" s="9"/>
      <c r="R233" s="248"/>
      <c r="S233" s="9"/>
      <c r="T233" s="9"/>
      <c r="U233" s="9"/>
      <c r="V233" s="9"/>
      <c r="W233" s="9"/>
      <c r="X233" s="9"/>
      <c r="Y233" s="9"/>
      <c r="Z233" s="9"/>
      <c r="AA233" s="9"/>
      <c r="AB233" s="9"/>
      <c r="AC233" s="9"/>
      <c r="AD233" s="268"/>
      <c r="AE233" s="338"/>
      <c r="AF233" s="61"/>
      <c r="AG233" s="61"/>
      <c r="AH233" s="61"/>
      <c r="AI233" s="942"/>
    </row>
    <row r="234" spans="1:35" ht="15" customHeight="1" x14ac:dyDescent="0.25">
      <c r="A234" s="917"/>
      <c r="B234" s="144"/>
      <c r="C234" s="846"/>
      <c r="D234" s="565"/>
      <c r="E234" s="865"/>
      <c r="F234" s="865"/>
      <c r="G234" s="251">
        <v>9</v>
      </c>
      <c r="H234" s="85" t="s">
        <v>312</v>
      </c>
      <c r="I234" s="81"/>
      <c r="J234" s="81"/>
      <c r="K234" s="339"/>
      <c r="L234" s="339"/>
      <c r="M234" s="81"/>
      <c r="N234" s="88"/>
      <c r="O234" s="81"/>
      <c r="P234" s="81"/>
      <c r="Q234" s="176"/>
      <c r="R234" s="176"/>
      <c r="S234" s="176"/>
      <c r="T234" s="176"/>
      <c r="U234" s="176"/>
      <c r="V234" s="176"/>
      <c r="W234" s="176"/>
      <c r="X234" s="176"/>
      <c r="Y234" s="176"/>
      <c r="Z234" s="176"/>
      <c r="AA234" s="176"/>
      <c r="AB234" s="176"/>
      <c r="AC234" s="176"/>
      <c r="AD234" s="176"/>
      <c r="AE234" s="177"/>
      <c r="AF234" s="176"/>
      <c r="AG234" s="176"/>
      <c r="AH234" s="176"/>
      <c r="AI234" s="918"/>
    </row>
    <row r="235" spans="1:35" s="539" customFormat="1" ht="48.75" customHeight="1" x14ac:dyDescent="0.25">
      <c r="A235" s="919"/>
      <c r="B235" s="541"/>
      <c r="C235" s="824">
        <v>5</v>
      </c>
      <c r="D235" s="828" t="s">
        <v>298</v>
      </c>
      <c r="E235" s="820">
        <v>12.9</v>
      </c>
      <c r="F235" s="820">
        <v>8.9</v>
      </c>
      <c r="G235" s="1085">
        <v>0</v>
      </c>
      <c r="H235" s="829">
        <v>43</v>
      </c>
      <c r="I235" s="828" t="s">
        <v>313</v>
      </c>
      <c r="J235" s="829" t="s">
        <v>36</v>
      </c>
      <c r="K235" s="651">
        <v>3</v>
      </c>
      <c r="L235" s="704">
        <v>2.5</v>
      </c>
      <c r="M235" s="1085" t="s">
        <v>300</v>
      </c>
      <c r="N235" s="1084" t="s">
        <v>314</v>
      </c>
      <c r="O235" s="1080" t="s">
        <v>315</v>
      </c>
      <c r="P235" s="829" t="s">
        <v>40</v>
      </c>
      <c r="Q235" s="546"/>
      <c r="R235" s="546"/>
      <c r="S235" s="546"/>
      <c r="T235" s="546"/>
      <c r="U235" s="546"/>
      <c r="V235" s="546"/>
      <c r="W235" s="546"/>
      <c r="X235" s="546"/>
      <c r="Y235" s="546"/>
      <c r="Z235" s="546"/>
      <c r="AA235" s="546"/>
      <c r="AB235" s="546"/>
      <c r="AC235" s="546"/>
      <c r="AD235" s="546"/>
      <c r="AE235" s="550">
        <f>28800000+255000000</f>
        <v>283800000</v>
      </c>
      <c r="AF235" s="547"/>
      <c r="AG235" s="547"/>
      <c r="AH235" s="547"/>
      <c r="AI235" s="900">
        <f>+Q235+R235+S235+T235+U235+V235+W235+X235+Y235+Z235+AA235+AB235+AC235+AD235+AE235+AF235+AG235+AH235</f>
        <v>283800000</v>
      </c>
    </row>
    <row r="236" spans="1:35" s="539" customFormat="1" ht="49.5" customHeight="1" x14ac:dyDescent="0.25">
      <c r="A236" s="919"/>
      <c r="B236" s="541"/>
      <c r="C236" s="824">
        <v>6</v>
      </c>
      <c r="D236" s="828" t="s">
        <v>316</v>
      </c>
      <c r="E236" s="823" t="s">
        <v>304</v>
      </c>
      <c r="F236" s="823" t="s">
        <v>305</v>
      </c>
      <c r="G236" s="1088"/>
      <c r="H236" s="829">
        <v>44</v>
      </c>
      <c r="I236" s="828" t="s">
        <v>317</v>
      </c>
      <c r="J236" s="829">
        <v>0</v>
      </c>
      <c r="K236" s="651">
        <v>1</v>
      </c>
      <c r="L236" s="704">
        <v>0.9</v>
      </c>
      <c r="M236" s="1088"/>
      <c r="N236" s="1082"/>
      <c r="O236" s="1087"/>
      <c r="P236" s="829" t="s">
        <v>46</v>
      </c>
      <c r="Q236" s="546"/>
      <c r="R236" s="546"/>
      <c r="S236" s="546"/>
      <c r="T236" s="546"/>
      <c r="U236" s="546"/>
      <c r="V236" s="546"/>
      <c r="W236" s="546"/>
      <c r="X236" s="546"/>
      <c r="Y236" s="546"/>
      <c r="Z236" s="546"/>
      <c r="AA236" s="546"/>
      <c r="AB236" s="546"/>
      <c r="AC236" s="546"/>
      <c r="AD236" s="546"/>
      <c r="AE236" s="550">
        <f>31500000+39400000</f>
        <v>70900000</v>
      </c>
      <c r="AF236" s="547"/>
      <c r="AG236" s="547"/>
      <c r="AH236" s="547"/>
      <c r="AI236" s="900">
        <f>+Q236+R236+S236+T236+U236+V236+W236+X236+Y236+Z236+AA236+AB236+AC236+AD236+AE236+AF236+AG236+AH236</f>
        <v>70900000</v>
      </c>
    </row>
    <row r="237" spans="1:35" s="539" customFormat="1" ht="28.5" x14ac:dyDescent="0.25">
      <c r="A237" s="919"/>
      <c r="B237" s="541"/>
      <c r="C237" s="1089">
        <v>7</v>
      </c>
      <c r="D237" s="1091" t="s">
        <v>318</v>
      </c>
      <c r="E237" s="1088" t="s">
        <v>319</v>
      </c>
      <c r="F237" s="1088">
        <v>27</v>
      </c>
      <c r="G237" s="1088"/>
      <c r="H237" s="829">
        <v>45</v>
      </c>
      <c r="I237" s="828" t="s">
        <v>320</v>
      </c>
      <c r="J237" s="829" t="s">
        <v>36</v>
      </c>
      <c r="K237" s="651">
        <v>4</v>
      </c>
      <c r="L237" s="651">
        <v>3</v>
      </c>
      <c r="M237" s="1088"/>
      <c r="N237" s="1082"/>
      <c r="O237" s="1087"/>
      <c r="P237" s="829" t="s">
        <v>40</v>
      </c>
      <c r="Q237" s="546"/>
      <c r="R237" s="546"/>
      <c r="S237" s="546"/>
      <c r="T237" s="546"/>
      <c r="U237" s="546"/>
      <c r="V237" s="546"/>
      <c r="W237" s="546"/>
      <c r="X237" s="546"/>
      <c r="Y237" s="546"/>
      <c r="Z237" s="546"/>
      <c r="AA237" s="546"/>
      <c r="AB237" s="546"/>
      <c r="AC237" s="546"/>
      <c r="AD237" s="546"/>
      <c r="AE237" s="550">
        <v>98500000</v>
      </c>
      <c r="AF237" s="547"/>
      <c r="AG237" s="547"/>
      <c r="AH237" s="547"/>
      <c r="AI237" s="900">
        <f>+Q237+R237+S237+T237+U237+V237+W237+X237+Y237+Z237+AA237+AB237+AC237+AD237+AE237+AF237+AG237+AH237</f>
        <v>98500000</v>
      </c>
    </row>
    <row r="238" spans="1:35" s="539" customFormat="1" ht="28.5" x14ac:dyDescent="0.25">
      <c r="A238" s="919"/>
      <c r="B238" s="541"/>
      <c r="C238" s="1090"/>
      <c r="D238" s="1091"/>
      <c r="E238" s="1086"/>
      <c r="F238" s="1086"/>
      <c r="G238" s="1086"/>
      <c r="H238" s="829">
        <v>46</v>
      </c>
      <c r="I238" s="828" t="s">
        <v>321</v>
      </c>
      <c r="J238" s="829">
        <v>0</v>
      </c>
      <c r="K238" s="651">
        <v>1</v>
      </c>
      <c r="L238" s="651">
        <v>1</v>
      </c>
      <c r="M238" s="1086"/>
      <c r="N238" s="1083"/>
      <c r="O238" s="1081"/>
      <c r="P238" s="829" t="s">
        <v>46</v>
      </c>
      <c r="Q238" s="546"/>
      <c r="R238" s="546"/>
      <c r="S238" s="546"/>
      <c r="T238" s="546"/>
      <c r="U238" s="546"/>
      <c r="V238" s="546"/>
      <c r="W238" s="546"/>
      <c r="X238" s="546"/>
      <c r="Y238" s="546"/>
      <c r="Z238" s="546"/>
      <c r="AA238" s="546"/>
      <c r="AB238" s="546"/>
      <c r="AC238" s="546"/>
      <c r="AD238" s="546"/>
      <c r="AE238" s="550">
        <f>99400000+50600000</f>
        <v>150000000</v>
      </c>
      <c r="AF238" s="547"/>
      <c r="AG238" s="547"/>
      <c r="AH238" s="547"/>
      <c r="AI238" s="900">
        <f>+Q238+R238+S238+T238+U238+V238+W238+X238+Y238+Z238+AA238+AB238+AC238+AD238+AE238+AF238+AG238+AH238</f>
        <v>150000000</v>
      </c>
    </row>
    <row r="239" spans="1:35" ht="15" customHeight="1" x14ac:dyDescent="0.25">
      <c r="A239" s="917"/>
      <c r="B239" s="144"/>
      <c r="C239" s="851"/>
      <c r="D239" s="832"/>
      <c r="E239" s="851"/>
      <c r="F239" s="851"/>
      <c r="G239" s="147"/>
      <c r="H239" s="148"/>
      <c r="I239" s="147"/>
      <c r="J239" s="148"/>
      <c r="K239" s="340"/>
      <c r="L239" s="340"/>
      <c r="M239" s="148"/>
      <c r="N239" s="584"/>
      <c r="O239" s="147"/>
      <c r="P239" s="148"/>
      <c r="Q239" s="150"/>
      <c r="R239" s="150"/>
      <c r="S239" s="150"/>
      <c r="T239" s="150"/>
      <c r="U239" s="150"/>
      <c r="V239" s="150"/>
      <c r="W239" s="150"/>
      <c r="X239" s="150"/>
      <c r="Y239" s="150">
        <f>SUM(Y235:Y238)</f>
        <v>0</v>
      </c>
      <c r="Z239" s="150"/>
      <c r="AA239" s="150"/>
      <c r="AB239" s="150">
        <f>SUM(AB235:AB238)</f>
        <v>0</v>
      </c>
      <c r="AC239" s="150"/>
      <c r="AD239" s="150"/>
      <c r="AE239" s="150">
        <f>SUM(AE235:AE238)</f>
        <v>603200000</v>
      </c>
      <c r="AF239" s="150"/>
      <c r="AG239" s="150"/>
      <c r="AH239" s="150"/>
      <c r="AI239" s="904">
        <f>SUM(AI235:AI238)</f>
        <v>603200000</v>
      </c>
    </row>
    <row r="240" spans="1:35" ht="15" customHeight="1" x14ac:dyDescent="0.25">
      <c r="A240" s="917"/>
      <c r="B240" s="171"/>
      <c r="C240" s="341"/>
      <c r="D240" s="294"/>
      <c r="E240" s="567"/>
      <c r="F240" s="567"/>
      <c r="G240" s="927"/>
      <c r="H240" s="928"/>
      <c r="I240" s="927"/>
      <c r="J240" s="928"/>
      <c r="K240" s="956"/>
      <c r="L240" s="956"/>
      <c r="M240" s="928"/>
      <c r="N240" s="931"/>
      <c r="O240" s="927"/>
      <c r="P240" s="928"/>
      <c r="Q240" s="932"/>
      <c r="R240" s="933"/>
      <c r="S240" s="932"/>
      <c r="T240" s="932"/>
      <c r="U240" s="932"/>
      <c r="V240" s="932"/>
      <c r="W240" s="932"/>
      <c r="X240" s="932"/>
      <c r="Y240" s="932"/>
      <c r="Z240" s="932"/>
      <c r="AA240" s="932"/>
      <c r="AB240" s="932"/>
      <c r="AC240" s="932"/>
      <c r="AD240" s="932"/>
      <c r="AE240" s="946"/>
      <c r="AF240" s="932"/>
      <c r="AG240" s="932"/>
      <c r="AH240" s="932"/>
      <c r="AI240" s="957"/>
    </row>
    <row r="241" spans="1:35" ht="15" customHeight="1" x14ac:dyDescent="0.25">
      <c r="A241" s="917"/>
      <c r="B241" s="144"/>
      <c r="C241" s="858"/>
      <c r="D241" s="849"/>
      <c r="E241" s="853"/>
      <c r="F241" s="853"/>
      <c r="G241" s="251">
        <v>10</v>
      </c>
      <c r="H241" s="85" t="s">
        <v>322</v>
      </c>
      <c r="I241" s="81"/>
      <c r="J241" s="81"/>
      <c r="K241" s="339"/>
      <c r="L241" s="339"/>
      <c r="M241" s="81"/>
      <c r="N241" s="88"/>
      <c r="O241" s="81"/>
      <c r="P241" s="81"/>
      <c r="Q241" s="176"/>
      <c r="R241" s="176"/>
      <c r="S241" s="176"/>
      <c r="T241" s="176"/>
      <c r="U241" s="176"/>
      <c r="V241" s="176"/>
      <c r="W241" s="176"/>
      <c r="X241" s="176"/>
      <c r="Y241" s="176"/>
      <c r="Z241" s="176"/>
      <c r="AA241" s="176"/>
      <c r="AB241" s="176"/>
      <c r="AC241" s="176"/>
      <c r="AD241" s="176"/>
      <c r="AE241" s="177"/>
      <c r="AF241" s="176"/>
      <c r="AG241" s="176"/>
      <c r="AH241" s="176"/>
      <c r="AI241" s="918"/>
    </row>
    <row r="242" spans="1:35" s="539" customFormat="1" ht="79.5" customHeight="1" x14ac:dyDescent="0.25">
      <c r="A242" s="919"/>
      <c r="B242" s="541"/>
      <c r="C242" s="824">
        <v>5</v>
      </c>
      <c r="D242" s="816" t="s">
        <v>323</v>
      </c>
      <c r="E242" s="820" t="s">
        <v>324</v>
      </c>
      <c r="F242" s="820" t="s">
        <v>325</v>
      </c>
      <c r="G242" s="549"/>
      <c r="H242" s="829">
        <v>47</v>
      </c>
      <c r="I242" s="828" t="s">
        <v>326</v>
      </c>
      <c r="J242" s="829">
        <v>0</v>
      </c>
      <c r="K242" s="651">
        <v>48</v>
      </c>
      <c r="L242" s="651">
        <v>45</v>
      </c>
      <c r="M242" s="1080" t="s">
        <v>300</v>
      </c>
      <c r="N242" s="1084" t="s">
        <v>327</v>
      </c>
      <c r="O242" s="1080" t="s">
        <v>328</v>
      </c>
      <c r="P242" s="829" t="s">
        <v>40</v>
      </c>
      <c r="Q242" s="546"/>
      <c r="R242" s="546"/>
      <c r="S242" s="546"/>
      <c r="T242" s="546"/>
      <c r="U242" s="546"/>
      <c r="V242" s="546"/>
      <c r="W242" s="546"/>
      <c r="X242" s="546"/>
      <c r="Y242" s="546"/>
      <c r="Z242" s="546"/>
      <c r="AA242" s="546"/>
      <c r="AB242" s="546"/>
      <c r="AC242" s="546"/>
      <c r="AD242" s="546"/>
      <c r="AE242" s="550">
        <f>54700000+100000000</f>
        <v>154700000</v>
      </c>
      <c r="AF242" s="547"/>
      <c r="AG242" s="547"/>
      <c r="AH242" s="547"/>
      <c r="AI242" s="900">
        <f>+Q242+R242+S242+T242+U242+V242+W242+X242+Y242+Z242+AA242+AB242+AC242+AD242+AE242+AF242+AG242+AH242</f>
        <v>154700000</v>
      </c>
    </row>
    <row r="243" spans="1:35" s="539" customFormat="1" ht="46.5" customHeight="1" x14ac:dyDescent="0.25">
      <c r="A243" s="919"/>
      <c r="B243" s="541"/>
      <c r="C243" s="825">
        <v>6</v>
      </c>
      <c r="D243" s="549" t="s">
        <v>316</v>
      </c>
      <c r="E243" s="823" t="s">
        <v>304</v>
      </c>
      <c r="F243" s="823" t="s">
        <v>305</v>
      </c>
      <c r="G243" s="549"/>
      <c r="H243" s="829">
        <v>48</v>
      </c>
      <c r="I243" s="828" t="s">
        <v>329</v>
      </c>
      <c r="J243" s="829">
        <v>0</v>
      </c>
      <c r="K243" s="651">
        <v>1</v>
      </c>
      <c r="L243" s="651">
        <v>1</v>
      </c>
      <c r="M243" s="1087"/>
      <c r="N243" s="1082"/>
      <c r="O243" s="1087"/>
      <c r="P243" s="829" t="s">
        <v>46</v>
      </c>
      <c r="Q243" s="546"/>
      <c r="R243" s="546"/>
      <c r="S243" s="546"/>
      <c r="T243" s="546"/>
      <c r="U243" s="546"/>
      <c r="V243" s="546"/>
      <c r="W243" s="546"/>
      <c r="X243" s="546"/>
      <c r="Y243" s="546"/>
      <c r="Z243" s="546"/>
      <c r="AA243" s="546"/>
      <c r="AB243" s="546"/>
      <c r="AC243" s="546"/>
      <c r="AD243" s="546"/>
      <c r="AE243" s="550">
        <f>198750000+1250000</f>
        <v>200000000</v>
      </c>
      <c r="AF243" s="547"/>
      <c r="AG243" s="547"/>
      <c r="AH243" s="547"/>
      <c r="AI243" s="900">
        <f>+Q243+R243+S243+T243+U243+V243+W243+X243+Y243+Z243+AA243+AB243+AC243+AD243+AE243+AF243+AG243+AH243</f>
        <v>200000000</v>
      </c>
    </row>
    <row r="244" spans="1:35" s="539" customFormat="1" ht="79.5" customHeight="1" thickBot="1" x14ac:dyDescent="0.3">
      <c r="A244" s="919"/>
      <c r="B244" s="541"/>
      <c r="C244" s="826">
        <v>7</v>
      </c>
      <c r="D244" s="817" t="s">
        <v>318</v>
      </c>
      <c r="E244" s="692">
        <v>31.7</v>
      </c>
      <c r="F244" s="821" t="s">
        <v>330</v>
      </c>
      <c r="G244" s="624"/>
      <c r="H244" s="829">
        <v>49</v>
      </c>
      <c r="I244" s="828" t="s">
        <v>331</v>
      </c>
      <c r="J244" s="829">
        <v>0</v>
      </c>
      <c r="K244" s="651">
        <v>1</v>
      </c>
      <c r="L244" s="651">
        <v>1</v>
      </c>
      <c r="M244" s="1081"/>
      <c r="N244" s="1083"/>
      <c r="O244" s="1125"/>
      <c r="P244" s="829" t="s">
        <v>46</v>
      </c>
      <c r="Q244" s="546"/>
      <c r="R244" s="546"/>
      <c r="S244" s="546"/>
      <c r="T244" s="546"/>
      <c r="U244" s="546"/>
      <c r="V244" s="546"/>
      <c r="W244" s="546"/>
      <c r="X244" s="546"/>
      <c r="Y244" s="546"/>
      <c r="Z244" s="546"/>
      <c r="AA244" s="546"/>
      <c r="AB244" s="546"/>
      <c r="AC244" s="546"/>
      <c r="AD244" s="546"/>
      <c r="AE244" s="550">
        <f>5000000-1250000</f>
        <v>3750000</v>
      </c>
      <c r="AF244" s="547"/>
      <c r="AG244" s="547"/>
      <c r="AH244" s="547"/>
      <c r="AI244" s="900">
        <f>+Q244+R244+S244+T244+U244+V244+W244+X244+Y244+Z244+AA244+AB244+AC244+AD244+AE244+AF244+AG244+AH244</f>
        <v>3750000</v>
      </c>
    </row>
    <row r="245" spans="1:35" ht="15.75" customHeight="1" thickTop="1" x14ac:dyDescent="0.25">
      <c r="A245" s="917"/>
      <c r="B245" s="146"/>
      <c r="C245" s="846"/>
      <c r="D245" s="565"/>
      <c r="E245" s="865"/>
      <c r="F245" s="865"/>
      <c r="G245" s="147"/>
      <c r="H245" s="148"/>
      <c r="I245" s="147"/>
      <c r="J245" s="148"/>
      <c r="K245" s="340"/>
      <c r="L245" s="340"/>
      <c r="M245" s="148"/>
      <c r="N245" s="584"/>
      <c r="O245" s="147"/>
      <c r="P245" s="148"/>
      <c r="Q245" s="150"/>
      <c r="R245" s="150"/>
      <c r="S245" s="150"/>
      <c r="T245" s="150"/>
      <c r="U245" s="150"/>
      <c r="V245" s="150"/>
      <c r="W245" s="150"/>
      <c r="X245" s="150"/>
      <c r="Y245" s="150">
        <f>SUM(Y242:Y244)</f>
        <v>0</v>
      </c>
      <c r="Z245" s="150"/>
      <c r="AA245" s="150"/>
      <c r="AB245" s="150">
        <f>SUM(AB242:AB244)</f>
        <v>0</v>
      </c>
      <c r="AC245" s="150"/>
      <c r="AD245" s="150"/>
      <c r="AE245" s="150">
        <f>SUM(AE242:AE244)</f>
        <v>358450000</v>
      </c>
      <c r="AF245" s="150"/>
      <c r="AG245" s="150"/>
      <c r="AH245" s="150"/>
      <c r="AI245" s="904">
        <f>SUM(AI242:AI244)</f>
        <v>358450000</v>
      </c>
    </row>
    <row r="246" spans="1:35" ht="15" customHeight="1" x14ac:dyDescent="0.25">
      <c r="A246" s="917"/>
      <c r="B246" s="210"/>
      <c r="C246" s="152"/>
      <c r="D246" s="151"/>
      <c r="E246" s="152"/>
      <c r="F246" s="152"/>
      <c r="G246" s="151"/>
      <c r="H246" s="152"/>
      <c r="I246" s="151"/>
      <c r="J246" s="152"/>
      <c r="K246" s="342"/>
      <c r="L246" s="342"/>
      <c r="M246" s="152"/>
      <c r="N246" s="585"/>
      <c r="O246" s="151"/>
      <c r="P246" s="152"/>
      <c r="Q246" s="154"/>
      <c r="R246" s="154"/>
      <c r="S246" s="154"/>
      <c r="T246" s="154"/>
      <c r="U246" s="154"/>
      <c r="V246" s="154"/>
      <c r="W246" s="154"/>
      <c r="X246" s="154"/>
      <c r="Y246" s="154">
        <f>Y245+Y239+Y232</f>
        <v>0</v>
      </c>
      <c r="Z246" s="154"/>
      <c r="AA246" s="154"/>
      <c r="AB246" s="154">
        <f>AB245+AB239+AB232</f>
        <v>0</v>
      </c>
      <c r="AC246" s="154"/>
      <c r="AD246" s="154"/>
      <c r="AE246" s="154">
        <f>AE245+AE239+AE232</f>
        <v>1210700000</v>
      </c>
      <c r="AF246" s="154"/>
      <c r="AG246" s="154"/>
      <c r="AH246" s="154"/>
      <c r="AI246" s="906">
        <f>AI245+AI239+AI232</f>
        <v>1210700000</v>
      </c>
    </row>
    <row r="247" spans="1:35" ht="15" customHeight="1" x14ac:dyDescent="0.25">
      <c r="A247" s="917"/>
      <c r="B247" s="178"/>
      <c r="C247" s="865"/>
      <c r="D247" s="565"/>
      <c r="E247" s="865"/>
      <c r="F247" s="865"/>
      <c r="G247" s="565"/>
      <c r="H247" s="865"/>
      <c r="I247" s="565"/>
      <c r="J247" s="865"/>
      <c r="K247" s="337"/>
      <c r="L247" s="337"/>
      <c r="M247" s="865"/>
      <c r="N247" s="568"/>
      <c r="O247" s="565"/>
      <c r="P247" s="865"/>
      <c r="Q247" s="9"/>
      <c r="R247" s="9"/>
      <c r="S247" s="9"/>
      <c r="T247" s="9"/>
      <c r="U247" s="9"/>
      <c r="V247" s="9"/>
      <c r="W247" s="9"/>
      <c r="X247" s="9"/>
      <c r="Y247" s="9"/>
      <c r="Z247" s="9"/>
      <c r="AA247" s="9"/>
      <c r="AB247" s="9"/>
      <c r="AC247" s="9"/>
      <c r="AD247" s="9"/>
      <c r="AE247" s="249"/>
      <c r="AF247" s="61"/>
      <c r="AG247" s="61"/>
      <c r="AH247" s="61"/>
      <c r="AI247" s="942"/>
    </row>
    <row r="248" spans="1:35" ht="15.75" customHeight="1" x14ac:dyDescent="0.25">
      <c r="A248" s="917"/>
      <c r="B248" s="232">
        <v>3</v>
      </c>
      <c r="C248" s="837" t="s">
        <v>332</v>
      </c>
      <c r="D248" s="87"/>
      <c r="E248" s="87"/>
      <c r="F248" s="87"/>
      <c r="G248" s="87"/>
      <c r="H248" s="838"/>
      <c r="I248" s="87"/>
      <c r="J248" s="87"/>
      <c r="K248" s="343"/>
      <c r="L248" s="343"/>
      <c r="M248" s="87"/>
      <c r="N248" s="15"/>
      <c r="O248" s="87"/>
      <c r="P248" s="87"/>
      <c r="Q248" s="169"/>
      <c r="R248" s="169"/>
      <c r="S248" s="169"/>
      <c r="T248" s="169"/>
      <c r="U248" s="169"/>
      <c r="V248" s="169"/>
      <c r="W248" s="169"/>
      <c r="X248" s="169"/>
      <c r="Y248" s="169"/>
      <c r="Z248" s="169"/>
      <c r="AA248" s="169"/>
      <c r="AB248" s="169"/>
      <c r="AC248" s="169"/>
      <c r="AD248" s="169"/>
      <c r="AE248" s="170"/>
      <c r="AF248" s="169"/>
      <c r="AG248" s="169"/>
      <c r="AH248" s="169"/>
      <c r="AI248" s="916"/>
    </row>
    <row r="249" spans="1:35" ht="15" customHeight="1" x14ac:dyDescent="0.25">
      <c r="A249" s="917"/>
      <c r="B249" s="145" t="s">
        <v>0</v>
      </c>
      <c r="C249" s="234"/>
      <c r="D249" s="870"/>
      <c r="E249" s="870"/>
      <c r="F249" s="870"/>
      <c r="G249" s="323">
        <v>11</v>
      </c>
      <c r="H249" s="84" t="s">
        <v>333</v>
      </c>
      <c r="I249" s="84"/>
      <c r="J249" s="84"/>
      <c r="K249" s="344"/>
      <c r="L249" s="344"/>
      <c r="M249" s="84"/>
      <c r="N249" s="596"/>
      <c r="O249" s="84"/>
      <c r="P249" s="84"/>
      <c r="Q249" s="220"/>
      <c r="R249" s="220"/>
      <c r="S249" s="220"/>
      <c r="T249" s="220"/>
      <c r="U249" s="220"/>
      <c r="V249" s="220"/>
      <c r="W249" s="220"/>
      <c r="X249" s="220"/>
      <c r="Y249" s="220"/>
      <c r="Z249" s="220"/>
      <c r="AA249" s="220"/>
      <c r="AB249" s="220"/>
      <c r="AC249" s="220"/>
      <c r="AD249" s="220"/>
      <c r="AE249" s="221"/>
      <c r="AF249" s="220"/>
      <c r="AG249" s="220"/>
      <c r="AH249" s="220"/>
      <c r="AI249" s="923"/>
    </row>
    <row r="250" spans="1:35" s="539" customFormat="1" ht="62.25" customHeight="1" x14ac:dyDescent="0.25">
      <c r="A250" s="919"/>
      <c r="B250" s="549"/>
      <c r="C250" s="1085" t="s">
        <v>334</v>
      </c>
      <c r="D250" s="1080" t="s">
        <v>335</v>
      </c>
      <c r="E250" s="1085" t="s">
        <v>336</v>
      </c>
      <c r="F250" s="1085" t="s">
        <v>337</v>
      </c>
      <c r="G250" s="821"/>
      <c r="H250" s="829">
        <v>50</v>
      </c>
      <c r="I250" s="828" t="s">
        <v>338</v>
      </c>
      <c r="J250" s="829" t="s">
        <v>36</v>
      </c>
      <c r="K250" s="654">
        <v>3</v>
      </c>
      <c r="L250" s="651">
        <v>2</v>
      </c>
      <c r="M250" s="1085" t="s">
        <v>300</v>
      </c>
      <c r="N250" s="1084" t="s">
        <v>339</v>
      </c>
      <c r="O250" s="1080" t="s">
        <v>340</v>
      </c>
      <c r="P250" s="829" t="s">
        <v>40</v>
      </c>
      <c r="Q250" s="546"/>
      <c r="R250" s="546"/>
      <c r="S250" s="546"/>
      <c r="T250" s="546"/>
      <c r="U250" s="546"/>
      <c r="V250" s="546"/>
      <c r="W250" s="546"/>
      <c r="X250" s="546"/>
      <c r="Y250" s="546"/>
      <c r="Z250" s="546"/>
      <c r="AA250" s="546"/>
      <c r="AB250" s="546"/>
      <c r="AC250" s="546"/>
      <c r="AD250" s="546"/>
      <c r="AE250" s="550">
        <v>119250000</v>
      </c>
      <c r="AF250" s="547"/>
      <c r="AG250" s="547"/>
      <c r="AH250" s="547"/>
      <c r="AI250" s="900">
        <f>+Q250+R250+S250+T250+U250+V250+W250+X250+Y250+Z250+AA250+AB250+AC250+AD250+AE250+AF250+AG250+AH250</f>
        <v>119250000</v>
      </c>
    </row>
    <row r="251" spans="1:35" s="539" customFormat="1" ht="49.5" customHeight="1" x14ac:dyDescent="0.25">
      <c r="A251" s="919"/>
      <c r="B251" s="549"/>
      <c r="C251" s="1086"/>
      <c r="D251" s="1081"/>
      <c r="E251" s="1086"/>
      <c r="F251" s="1086"/>
      <c r="G251" s="821"/>
      <c r="H251" s="827">
        <v>51</v>
      </c>
      <c r="I251" s="828" t="s">
        <v>341</v>
      </c>
      <c r="J251" s="829">
        <v>0</v>
      </c>
      <c r="K251" s="651">
        <v>1</v>
      </c>
      <c r="L251" s="704">
        <v>0.7</v>
      </c>
      <c r="M251" s="1086"/>
      <c r="N251" s="1083"/>
      <c r="O251" s="1081"/>
      <c r="P251" s="829" t="s">
        <v>46</v>
      </c>
      <c r="Q251" s="546"/>
      <c r="R251" s="546"/>
      <c r="S251" s="546"/>
      <c r="T251" s="546"/>
      <c r="U251" s="546"/>
      <c r="V251" s="546"/>
      <c r="W251" s="546"/>
      <c r="X251" s="546"/>
      <c r="Y251" s="546"/>
      <c r="Z251" s="546"/>
      <c r="AA251" s="546"/>
      <c r="AB251" s="546"/>
      <c r="AC251" s="546"/>
      <c r="AD251" s="546"/>
      <c r="AE251" s="550">
        <v>29800000</v>
      </c>
      <c r="AF251" s="547"/>
      <c r="AG251" s="547"/>
      <c r="AH251" s="547"/>
      <c r="AI251" s="900">
        <f>+Q251+R251+S251+T251+U251+V251+W251+X251+Y251+Z251+AA251+AB251+AC251+AD251+AE251+AF251+AG251+AH251</f>
        <v>29800000</v>
      </c>
    </row>
    <row r="252" spans="1:35" ht="15" customHeight="1" x14ac:dyDescent="0.25">
      <c r="A252" s="917"/>
      <c r="B252" s="3"/>
      <c r="C252" s="846"/>
      <c r="D252" s="565"/>
      <c r="E252" s="865"/>
      <c r="F252" s="865"/>
      <c r="G252" s="147"/>
      <c r="H252" s="148"/>
      <c r="I252" s="147"/>
      <c r="J252" s="148"/>
      <c r="K252" s="307"/>
      <c r="L252" s="307"/>
      <c r="M252" s="148"/>
      <c r="N252" s="584"/>
      <c r="O252" s="147"/>
      <c r="P252" s="148"/>
      <c r="Q252" s="150"/>
      <c r="R252" s="150"/>
      <c r="S252" s="150"/>
      <c r="T252" s="150"/>
      <c r="U252" s="150"/>
      <c r="V252" s="150"/>
      <c r="W252" s="150"/>
      <c r="X252" s="150"/>
      <c r="Y252" s="150">
        <f>SUM(Y250:Y250)</f>
        <v>0</v>
      </c>
      <c r="Z252" s="150"/>
      <c r="AA252" s="150"/>
      <c r="AB252" s="150">
        <f>SUM(AB250:AB250)</f>
        <v>0</v>
      </c>
      <c r="AC252" s="150"/>
      <c r="AD252" s="150"/>
      <c r="AE252" s="150">
        <f>SUM(AE250:AE251)</f>
        <v>149050000</v>
      </c>
      <c r="AF252" s="150"/>
      <c r="AG252" s="150"/>
      <c r="AH252" s="150"/>
      <c r="AI252" s="904">
        <f>SUM(AI250:AI251)</f>
        <v>149050000</v>
      </c>
    </row>
    <row r="253" spans="1:35" ht="15" customHeight="1" x14ac:dyDescent="0.25">
      <c r="A253" s="917"/>
      <c r="B253" s="3"/>
      <c r="C253" s="845"/>
      <c r="D253" s="161"/>
      <c r="E253" s="845"/>
      <c r="F253" s="845"/>
      <c r="G253" s="161"/>
      <c r="H253" s="845"/>
      <c r="I253" s="161"/>
      <c r="J253" s="845"/>
      <c r="K253" s="309"/>
      <c r="L253" s="309"/>
      <c r="M253" s="845"/>
      <c r="N253" s="21"/>
      <c r="O253" s="161"/>
      <c r="P253" s="845"/>
      <c r="Q253" s="12"/>
      <c r="R253" s="163"/>
      <c r="S253" s="12"/>
      <c r="T253" s="12"/>
      <c r="U253" s="12"/>
      <c r="V253" s="12"/>
      <c r="W253" s="12"/>
      <c r="X253" s="12"/>
      <c r="Y253" s="12"/>
      <c r="Z253" s="12"/>
      <c r="AA253" s="12"/>
      <c r="AB253" s="12"/>
      <c r="AC253" s="12"/>
      <c r="AD253" s="932"/>
      <c r="AE253" s="946"/>
      <c r="AF253" s="12"/>
      <c r="AG253" s="12"/>
      <c r="AH253" s="12"/>
      <c r="AI253" s="921"/>
    </row>
    <row r="254" spans="1:35" ht="15" customHeight="1" x14ac:dyDescent="0.25">
      <c r="A254" s="917"/>
      <c r="B254" s="3"/>
      <c r="C254" s="846"/>
      <c r="D254" s="565"/>
      <c r="E254" s="865"/>
      <c r="F254" s="865"/>
      <c r="G254" s="251">
        <v>12</v>
      </c>
      <c r="H254" s="85" t="s">
        <v>342</v>
      </c>
      <c r="I254" s="81"/>
      <c r="J254" s="81"/>
      <c r="K254" s="312"/>
      <c r="L254" s="312"/>
      <c r="M254" s="81"/>
      <c r="N254" s="88"/>
      <c r="O254" s="81"/>
      <c r="P254" s="81"/>
      <c r="Q254" s="176"/>
      <c r="R254" s="958"/>
      <c r="S254" s="958"/>
      <c r="T254" s="958"/>
      <c r="U254" s="958"/>
      <c r="V254" s="958"/>
      <c r="W254" s="958"/>
      <c r="X254" s="958"/>
      <c r="Y254" s="958"/>
      <c r="Z254" s="958"/>
      <c r="AA254" s="958"/>
      <c r="AB254" s="958"/>
      <c r="AC254" s="958"/>
      <c r="AD254" s="345"/>
      <c r="AE254" s="345"/>
      <c r="AF254" s="958"/>
      <c r="AG254" s="958"/>
      <c r="AH254" s="958"/>
      <c r="AI254" s="959"/>
    </row>
    <row r="255" spans="1:35" s="539" customFormat="1" ht="74.25" customHeight="1" x14ac:dyDescent="0.25">
      <c r="A255" s="919"/>
      <c r="B255" s="549"/>
      <c r="C255" s="827" t="s">
        <v>334</v>
      </c>
      <c r="D255" s="828" t="s">
        <v>335</v>
      </c>
      <c r="E255" s="829" t="s">
        <v>336</v>
      </c>
      <c r="F255" s="829" t="s">
        <v>337</v>
      </c>
      <c r="G255" s="820"/>
      <c r="H255" s="829">
        <v>52</v>
      </c>
      <c r="I255" s="828" t="s">
        <v>343</v>
      </c>
      <c r="J255" s="829">
        <v>0</v>
      </c>
      <c r="K255" s="651">
        <v>3</v>
      </c>
      <c r="L255" s="651">
        <v>2</v>
      </c>
      <c r="M255" s="828" t="s">
        <v>300</v>
      </c>
      <c r="N255" s="619" t="s">
        <v>344</v>
      </c>
      <c r="O255" s="828" t="s">
        <v>345</v>
      </c>
      <c r="P255" s="829" t="s">
        <v>46</v>
      </c>
      <c r="Q255" s="546"/>
      <c r="R255" s="546"/>
      <c r="S255" s="546"/>
      <c r="T255" s="546"/>
      <c r="U255" s="546"/>
      <c r="V255" s="546"/>
      <c r="W255" s="546"/>
      <c r="X255" s="546"/>
      <c r="Y255" s="546"/>
      <c r="Z255" s="546"/>
      <c r="AA255" s="546"/>
      <c r="AB255" s="546"/>
      <c r="AC255" s="546"/>
      <c r="AD255" s="546"/>
      <c r="AE255" s="550">
        <v>119240000</v>
      </c>
      <c r="AF255" s="547"/>
      <c r="AG255" s="547"/>
      <c r="AH255" s="547"/>
      <c r="AI255" s="900">
        <f>+Q255+R255+S255+T255+U255+V255+W255+X255+Y255+Z255+AA255+AB255+AC255+AD255+AE255+AF255+AG255+AH255</f>
        <v>119240000</v>
      </c>
    </row>
    <row r="256" spans="1:35" s="32" customFormat="1" ht="20.25" customHeight="1" x14ac:dyDescent="0.25">
      <c r="A256" s="917"/>
      <c r="B256" s="3"/>
      <c r="C256" s="846"/>
      <c r="D256" s="565"/>
      <c r="E256" s="865"/>
      <c r="F256" s="865"/>
      <c r="G256" s="147"/>
      <c r="H256" s="148"/>
      <c r="I256" s="147"/>
      <c r="J256" s="148"/>
      <c r="K256" s="340"/>
      <c r="L256" s="340"/>
      <c r="M256" s="148"/>
      <c r="N256" s="584"/>
      <c r="O256" s="147"/>
      <c r="P256" s="148"/>
      <c r="Q256" s="150"/>
      <c r="R256" s="150"/>
      <c r="S256" s="150"/>
      <c r="T256" s="150"/>
      <c r="U256" s="150"/>
      <c r="V256" s="150"/>
      <c r="W256" s="150"/>
      <c r="X256" s="150"/>
      <c r="Y256" s="150">
        <f>SUM(Y255:Y255)</f>
        <v>0</v>
      </c>
      <c r="Z256" s="150"/>
      <c r="AA256" s="150"/>
      <c r="AB256" s="150">
        <f>SUM(AB255:AB255)</f>
        <v>0</v>
      </c>
      <c r="AC256" s="150"/>
      <c r="AD256" s="150"/>
      <c r="AE256" s="150">
        <f>SUM(AE255:AE255)</f>
        <v>119240000</v>
      </c>
      <c r="AF256" s="150"/>
      <c r="AG256" s="150"/>
      <c r="AH256" s="150"/>
      <c r="AI256" s="904">
        <f>SUM(AI255:AI255)</f>
        <v>119240000</v>
      </c>
    </row>
    <row r="257" spans="1:35" s="32" customFormat="1" ht="20.25" customHeight="1" x14ac:dyDescent="0.25">
      <c r="A257" s="917"/>
      <c r="B257" s="3"/>
      <c r="C257" s="845"/>
      <c r="D257" s="161"/>
      <c r="E257" s="845"/>
      <c r="F257" s="845"/>
      <c r="G257" s="161"/>
      <c r="H257" s="845"/>
      <c r="I257" s="161"/>
      <c r="J257" s="845"/>
      <c r="K257" s="346"/>
      <c r="L257" s="346"/>
      <c r="M257" s="845"/>
      <c r="N257" s="21"/>
      <c r="O257" s="161"/>
      <c r="P257" s="845"/>
      <c r="Q257" s="12"/>
      <c r="R257" s="163"/>
      <c r="S257" s="12"/>
      <c r="T257" s="12"/>
      <c r="U257" s="12"/>
      <c r="V257" s="12"/>
      <c r="W257" s="12"/>
      <c r="X257" s="12"/>
      <c r="Y257" s="12"/>
      <c r="Z257" s="12"/>
      <c r="AA257" s="12"/>
      <c r="AB257" s="12"/>
      <c r="AC257" s="12"/>
      <c r="AD257" s="12"/>
      <c r="AE257" s="189"/>
      <c r="AF257" s="12"/>
      <c r="AG257" s="12"/>
      <c r="AH257" s="12"/>
      <c r="AI257" s="921"/>
    </row>
    <row r="258" spans="1:35" s="32" customFormat="1" ht="20.25" customHeight="1" x14ac:dyDescent="0.25">
      <c r="A258" s="917"/>
      <c r="B258" s="3"/>
      <c r="C258" s="846"/>
      <c r="D258" s="565"/>
      <c r="E258" s="865"/>
      <c r="F258" s="865"/>
      <c r="G258" s="175">
        <v>13</v>
      </c>
      <c r="H258" s="88" t="s">
        <v>346</v>
      </c>
      <c r="I258" s="81"/>
      <c r="J258" s="81"/>
      <c r="K258" s="339"/>
      <c r="L258" s="339"/>
      <c r="M258" s="81"/>
      <c r="N258" s="588"/>
      <c r="O258" s="81"/>
      <c r="P258" s="81"/>
      <c r="Q258" s="176"/>
      <c r="R258" s="176"/>
      <c r="S258" s="176"/>
      <c r="T258" s="176"/>
      <c r="U258" s="176"/>
      <c r="V258" s="176"/>
      <c r="W258" s="176"/>
      <c r="X258" s="176"/>
      <c r="Y258" s="176"/>
      <c r="Z258" s="176"/>
      <c r="AA258" s="176"/>
      <c r="AB258" s="176"/>
      <c r="AC258" s="176"/>
      <c r="AD258" s="176"/>
      <c r="AE258" s="177"/>
      <c r="AF258" s="176"/>
      <c r="AG258" s="176"/>
      <c r="AH258" s="176"/>
      <c r="AI258" s="918"/>
    </row>
    <row r="259" spans="1:35" s="694" customFormat="1" ht="70.5" customHeight="1" x14ac:dyDescent="0.25">
      <c r="A259" s="919"/>
      <c r="B259" s="549"/>
      <c r="C259" s="827" t="s">
        <v>334</v>
      </c>
      <c r="D259" s="828" t="s">
        <v>335</v>
      </c>
      <c r="E259" s="829" t="s">
        <v>336</v>
      </c>
      <c r="F259" s="829" t="s">
        <v>337</v>
      </c>
      <c r="G259" s="542"/>
      <c r="H259" s="829">
        <v>53</v>
      </c>
      <c r="I259" s="828" t="s">
        <v>347</v>
      </c>
      <c r="J259" s="829">
        <v>0</v>
      </c>
      <c r="K259" s="651">
        <v>1</v>
      </c>
      <c r="L259" s="704">
        <v>0.8</v>
      </c>
      <c r="M259" s="828" t="s">
        <v>300</v>
      </c>
      <c r="N259" s="619" t="s">
        <v>348</v>
      </c>
      <c r="O259" s="693" t="s">
        <v>349</v>
      </c>
      <c r="P259" s="829" t="s">
        <v>46</v>
      </c>
      <c r="Q259" s="546"/>
      <c r="R259" s="546"/>
      <c r="S259" s="546"/>
      <c r="T259" s="546"/>
      <c r="U259" s="546"/>
      <c r="V259" s="546"/>
      <c r="W259" s="546"/>
      <c r="X259" s="546"/>
      <c r="Y259" s="546"/>
      <c r="Z259" s="546"/>
      <c r="AA259" s="546"/>
      <c r="AB259" s="546"/>
      <c r="AC259" s="546"/>
      <c r="AD259" s="546"/>
      <c r="AE259" s="550">
        <f>248604326+400000000+128998611</f>
        <v>777602937</v>
      </c>
      <c r="AF259" s="640">
        <f>581320553+72966900</f>
        <v>654287453</v>
      </c>
      <c r="AG259" s="640"/>
      <c r="AH259" s="640"/>
      <c r="AI259" s="900">
        <f>+Q259+R259+S259+T259+U259+V259+W259+X259+Y259+Z259+AA259+AB259+AC259+AD259+AE259+AF259+AG259+AH259</f>
        <v>1431890390</v>
      </c>
    </row>
    <row r="260" spans="1:35" ht="24.95" customHeight="1" x14ac:dyDescent="0.25">
      <c r="A260" s="917"/>
      <c r="B260" s="72"/>
      <c r="C260" s="846"/>
      <c r="D260" s="565"/>
      <c r="E260" s="865"/>
      <c r="F260" s="865"/>
      <c r="G260" s="147"/>
      <c r="H260" s="148"/>
      <c r="I260" s="147"/>
      <c r="J260" s="148"/>
      <c r="K260" s="340"/>
      <c r="L260" s="340"/>
      <c r="M260" s="148"/>
      <c r="N260" s="584"/>
      <c r="O260" s="147"/>
      <c r="P260" s="148"/>
      <c r="Q260" s="150"/>
      <c r="R260" s="150"/>
      <c r="S260" s="150"/>
      <c r="T260" s="150"/>
      <c r="U260" s="150"/>
      <c r="V260" s="150"/>
      <c r="W260" s="150"/>
      <c r="X260" s="150"/>
      <c r="Y260" s="150">
        <f>SUM(Y259:Y259)</f>
        <v>0</v>
      </c>
      <c r="Z260" s="150"/>
      <c r="AA260" s="150"/>
      <c r="AB260" s="150">
        <f>SUM(AB259:AB259)</f>
        <v>0</v>
      </c>
      <c r="AC260" s="150"/>
      <c r="AD260" s="150"/>
      <c r="AE260" s="150">
        <f>SUM(AE259:AE259)</f>
        <v>777602937</v>
      </c>
      <c r="AF260" s="150">
        <f t="shared" ref="AF260:AH260" si="13">SUM(AF259:AF259)</f>
        <v>654287453</v>
      </c>
      <c r="AG260" s="150">
        <f t="shared" si="13"/>
        <v>0</v>
      </c>
      <c r="AH260" s="150">
        <f t="shared" si="13"/>
        <v>0</v>
      </c>
      <c r="AI260" s="904">
        <f>SUM(AI259:AI259)</f>
        <v>1431890390</v>
      </c>
    </row>
    <row r="261" spans="1:35" ht="24.95" customHeight="1" x14ac:dyDescent="0.25">
      <c r="A261" s="938"/>
      <c r="B261" s="210"/>
      <c r="C261" s="152"/>
      <c r="D261" s="151"/>
      <c r="E261" s="152"/>
      <c r="F261" s="152"/>
      <c r="G261" s="151"/>
      <c r="H261" s="152"/>
      <c r="I261" s="151"/>
      <c r="J261" s="152"/>
      <c r="K261" s="342"/>
      <c r="L261" s="342"/>
      <c r="M261" s="152"/>
      <c r="N261" s="585"/>
      <c r="O261" s="151"/>
      <c r="P261" s="152"/>
      <c r="Q261" s="154"/>
      <c r="R261" s="154"/>
      <c r="S261" s="154"/>
      <c r="T261" s="154"/>
      <c r="U261" s="154"/>
      <c r="V261" s="154"/>
      <c r="W261" s="154"/>
      <c r="X261" s="154"/>
      <c r="Y261" s="154">
        <f>Y260+Y256+Y252</f>
        <v>0</v>
      </c>
      <c r="Z261" s="154"/>
      <c r="AA261" s="154"/>
      <c r="AB261" s="154">
        <f>AB260+AB256+AB252</f>
        <v>0</v>
      </c>
      <c r="AC261" s="154"/>
      <c r="AD261" s="154"/>
      <c r="AE261" s="154">
        <f>AE260+AE256+AE252</f>
        <v>1045892937</v>
      </c>
      <c r="AF261" s="154">
        <f>AF260+AF256+AF252</f>
        <v>654287453</v>
      </c>
      <c r="AG261" s="154">
        <f>AG260+AG256+AG252</f>
        <v>0</v>
      </c>
      <c r="AH261" s="154">
        <f>AH260+AH256+AH252</f>
        <v>0</v>
      </c>
      <c r="AI261" s="906">
        <f>AI260+AI256+AI252</f>
        <v>1700180390</v>
      </c>
    </row>
    <row r="262" spans="1:35" ht="24.95" customHeight="1" x14ac:dyDescent="0.25">
      <c r="A262" s="907"/>
      <c r="B262" s="155"/>
      <c r="C262" s="67"/>
      <c r="D262" s="155"/>
      <c r="E262" s="67"/>
      <c r="F262" s="67"/>
      <c r="G262" s="155"/>
      <c r="H262" s="67"/>
      <c r="I262" s="155"/>
      <c r="J262" s="67"/>
      <c r="K262" s="347"/>
      <c r="L262" s="347"/>
      <c r="M262" s="67"/>
      <c r="N262" s="586"/>
      <c r="O262" s="155"/>
      <c r="P262" s="67"/>
      <c r="Q262" s="157"/>
      <c r="R262" s="157"/>
      <c r="S262" s="157"/>
      <c r="T262" s="157"/>
      <c r="U262" s="157"/>
      <c r="V262" s="157"/>
      <c r="W262" s="157"/>
      <c r="X262" s="157"/>
      <c r="Y262" s="157">
        <f>Y261+Y246</f>
        <v>0</v>
      </c>
      <c r="Z262" s="157"/>
      <c r="AA262" s="157"/>
      <c r="AB262" s="157">
        <f>AB261+AB246</f>
        <v>0</v>
      </c>
      <c r="AC262" s="157"/>
      <c r="AD262" s="157"/>
      <c r="AE262" s="157">
        <f>AE261+AE246</f>
        <v>2256592937</v>
      </c>
      <c r="AF262" s="157">
        <f t="shared" ref="AF262:AH262" si="14">AF261+AF246</f>
        <v>654287453</v>
      </c>
      <c r="AG262" s="157">
        <f t="shared" si="14"/>
        <v>0</v>
      </c>
      <c r="AH262" s="157">
        <f t="shared" si="14"/>
        <v>0</v>
      </c>
      <c r="AI262" s="908">
        <f>AI261+AI246</f>
        <v>2910880390</v>
      </c>
    </row>
    <row r="263" spans="1:35" ht="24.95" customHeight="1" x14ac:dyDescent="0.25">
      <c r="A263" s="909"/>
      <c r="B263" s="158"/>
      <c r="C263" s="159"/>
      <c r="D263" s="158"/>
      <c r="E263" s="159"/>
      <c r="F263" s="159"/>
      <c r="G263" s="158"/>
      <c r="H263" s="159"/>
      <c r="I263" s="158"/>
      <c r="J263" s="159"/>
      <c r="K263" s="348"/>
      <c r="L263" s="348"/>
      <c r="M263" s="159"/>
      <c r="N263" s="587"/>
      <c r="O263" s="158"/>
      <c r="P263" s="159"/>
      <c r="Q263" s="11"/>
      <c r="R263" s="11"/>
      <c r="S263" s="11"/>
      <c r="T263" s="11"/>
      <c r="U263" s="11"/>
      <c r="V263" s="11"/>
      <c r="W263" s="11"/>
      <c r="X263" s="11"/>
      <c r="Y263" s="11">
        <f>Y262</f>
        <v>0</v>
      </c>
      <c r="Z263" s="11"/>
      <c r="AA263" s="11"/>
      <c r="AB263" s="11">
        <f>AB262</f>
        <v>0</v>
      </c>
      <c r="AC263" s="11"/>
      <c r="AD263" s="11"/>
      <c r="AE263" s="11">
        <f>AE262</f>
        <v>2256592937</v>
      </c>
      <c r="AF263" s="11">
        <f t="shared" ref="AF263:AH263" si="15">AF262</f>
        <v>654287453</v>
      </c>
      <c r="AG263" s="11">
        <f t="shared" si="15"/>
        <v>0</v>
      </c>
      <c r="AH263" s="11">
        <f t="shared" si="15"/>
        <v>0</v>
      </c>
      <c r="AI263" s="910">
        <f>AI262</f>
        <v>2910880390</v>
      </c>
    </row>
    <row r="264" spans="1:35" ht="32.25" customHeight="1" x14ac:dyDescent="0.25">
      <c r="A264" s="911"/>
      <c r="B264" s="161"/>
      <c r="C264" s="845"/>
      <c r="D264" s="161"/>
      <c r="E264" s="845"/>
      <c r="F264" s="845"/>
      <c r="G264" s="161"/>
      <c r="H264" s="845"/>
      <c r="I264" s="161"/>
      <c r="J264" s="845"/>
      <c r="K264" s="346"/>
      <c r="L264" s="346"/>
      <c r="M264" s="845"/>
      <c r="N264" s="21"/>
      <c r="O264" s="161"/>
      <c r="P264" s="845"/>
      <c r="Q264" s="12"/>
      <c r="R264" s="12"/>
      <c r="S264" s="12"/>
      <c r="T264" s="12"/>
      <c r="U264" s="12"/>
      <c r="V264" s="12"/>
      <c r="W264" s="12"/>
      <c r="X264" s="12"/>
      <c r="Y264" s="12"/>
      <c r="Z264" s="12"/>
      <c r="AA264" s="163"/>
      <c r="AB264" s="163"/>
      <c r="AC264" s="12"/>
      <c r="AD264" s="12"/>
      <c r="AE264" s="64"/>
      <c r="AF264" s="349"/>
      <c r="AG264" s="349"/>
      <c r="AH264" s="349"/>
      <c r="AI264" s="960"/>
    </row>
    <row r="265" spans="1:35" ht="24.95" customHeight="1" x14ac:dyDescent="0.25">
      <c r="A265" s="891" t="s">
        <v>350</v>
      </c>
      <c r="B265" s="33"/>
      <c r="C265" s="34"/>
      <c r="D265" s="33"/>
      <c r="E265" s="33"/>
      <c r="F265" s="33"/>
      <c r="G265" s="33"/>
      <c r="H265" s="34"/>
      <c r="I265" s="33"/>
      <c r="J265" s="33"/>
      <c r="K265" s="35"/>
      <c r="L265" s="35"/>
      <c r="M265" s="33"/>
      <c r="N265" s="18"/>
      <c r="O265" s="33"/>
      <c r="P265" s="34"/>
      <c r="Q265" s="350"/>
      <c r="R265" s="350"/>
      <c r="S265" s="350"/>
      <c r="T265" s="350"/>
      <c r="U265" s="350"/>
      <c r="V265" s="350"/>
      <c r="W265" s="350"/>
      <c r="X265" s="350"/>
      <c r="Y265" s="350"/>
      <c r="Z265" s="350"/>
      <c r="AA265" s="350"/>
      <c r="AB265" s="350"/>
      <c r="AC265" s="350"/>
      <c r="AD265" s="350"/>
      <c r="AE265" s="351"/>
      <c r="AF265" s="350"/>
      <c r="AG265" s="350"/>
      <c r="AH265" s="350"/>
      <c r="AI265" s="961"/>
    </row>
    <row r="266" spans="1:35" ht="24.95" customHeight="1" x14ac:dyDescent="0.25">
      <c r="A266" s="893">
        <v>1</v>
      </c>
      <c r="B266" s="77" t="s">
        <v>144</v>
      </c>
      <c r="C266" s="139"/>
      <c r="D266" s="77"/>
      <c r="E266" s="77"/>
      <c r="F266" s="77"/>
      <c r="G266" s="77"/>
      <c r="H266" s="139"/>
      <c r="I266" s="77"/>
      <c r="J266" s="77"/>
      <c r="K266" s="352"/>
      <c r="L266" s="352"/>
      <c r="M266" s="77"/>
      <c r="N266" s="14"/>
      <c r="O266" s="77"/>
      <c r="P266" s="77"/>
      <c r="Q266" s="166"/>
      <c r="R266" s="166"/>
      <c r="S266" s="166"/>
      <c r="T266" s="166"/>
      <c r="U266" s="166"/>
      <c r="V266" s="166"/>
      <c r="W266" s="166"/>
      <c r="X266" s="166"/>
      <c r="Y266" s="166"/>
      <c r="Z266" s="166"/>
      <c r="AA266" s="166"/>
      <c r="AB266" s="166"/>
      <c r="AC266" s="166"/>
      <c r="AD266" s="166"/>
      <c r="AE266" s="167"/>
      <c r="AF266" s="166"/>
      <c r="AG266" s="166"/>
      <c r="AH266" s="166"/>
      <c r="AI266" s="914"/>
    </row>
    <row r="267" spans="1:35" ht="24.95" customHeight="1" x14ac:dyDescent="0.25">
      <c r="A267" s="915"/>
      <c r="B267" s="261">
        <v>1</v>
      </c>
      <c r="C267" s="837" t="s">
        <v>145</v>
      </c>
      <c r="D267" s="87"/>
      <c r="E267" s="87"/>
      <c r="F267" s="87"/>
      <c r="G267" s="87"/>
      <c r="H267" s="838"/>
      <c r="I267" s="87"/>
      <c r="J267" s="87"/>
      <c r="K267" s="343"/>
      <c r="L267" s="343"/>
      <c r="M267" s="87"/>
      <c r="N267" s="15"/>
      <c r="O267" s="87"/>
      <c r="P267" s="87"/>
      <c r="Q267" s="169"/>
      <c r="R267" s="169"/>
      <c r="S267" s="169"/>
      <c r="T267" s="169"/>
      <c r="U267" s="169"/>
      <c r="V267" s="169"/>
      <c r="W267" s="169"/>
      <c r="X267" s="169"/>
      <c r="Y267" s="169"/>
      <c r="Z267" s="169"/>
      <c r="AA267" s="169"/>
      <c r="AB267" s="169"/>
      <c r="AC267" s="169"/>
      <c r="AD267" s="169"/>
      <c r="AE267" s="170"/>
      <c r="AF267" s="169"/>
      <c r="AG267" s="169"/>
      <c r="AH267" s="169"/>
      <c r="AI267" s="916"/>
    </row>
    <row r="268" spans="1:35" ht="24.95" customHeight="1" x14ac:dyDescent="0.25">
      <c r="A268" s="917"/>
      <c r="B268" s="172"/>
      <c r="C268" s="566"/>
      <c r="D268" s="216"/>
      <c r="E268" s="566"/>
      <c r="F268" s="856"/>
      <c r="G268" s="336">
        <v>1</v>
      </c>
      <c r="H268" s="78" t="s">
        <v>351</v>
      </c>
      <c r="I268" s="81"/>
      <c r="J268" s="81"/>
      <c r="K268" s="339"/>
      <c r="L268" s="339"/>
      <c r="M268" s="81"/>
      <c r="N268" s="588"/>
      <c r="O268" s="81"/>
      <c r="P268" s="81"/>
      <c r="Q268" s="176"/>
      <c r="R268" s="176"/>
      <c r="S268" s="176"/>
      <c r="T268" s="176"/>
      <c r="U268" s="176"/>
      <c r="V268" s="176"/>
      <c r="W268" s="176"/>
      <c r="X268" s="176"/>
      <c r="Y268" s="176"/>
      <c r="Z268" s="176"/>
      <c r="AA268" s="176"/>
      <c r="AB268" s="176"/>
      <c r="AC268" s="176"/>
      <c r="AD268" s="176"/>
      <c r="AE268" s="177"/>
      <c r="AF268" s="176"/>
      <c r="AG268" s="176"/>
      <c r="AH268" s="176"/>
      <c r="AI268" s="918"/>
    </row>
    <row r="269" spans="1:35" s="539" customFormat="1" ht="46.5" customHeight="1" x14ac:dyDescent="0.25">
      <c r="A269" s="919"/>
      <c r="B269" s="685"/>
      <c r="C269" s="823">
        <v>1</v>
      </c>
      <c r="D269" s="822" t="s">
        <v>352</v>
      </c>
      <c r="E269" s="695" t="s">
        <v>36</v>
      </c>
      <c r="F269" s="696">
        <v>15000</v>
      </c>
      <c r="G269" s="697"/>
      <c r="H269" s="829">
        <v>1</v>
      </c>
      <c r="I269" s="828" t="s">
        <v>353</v>
      </c>
      <c r="J269" s="829">
        <v>0</v>
      </c>
      <c r="K269" s="651">
        <v>1</v>
      </c>
      <c r="L269" s="651">
        <v>1</v>
      </c>
      <c r="M269" s="1085" t="s">
        <v>354</v>
      </c>
      <c r="N269" s="1084" t="s">
        <v>355</v>
      </c>
      <c r="O269" s="1080" t="s">
        <v>356</v>
      </c>
      <c r="P269" s="829" t="s">
        <v>46</v>
      </c>
      <c r="Q269" s="546"/>
      <c r="R269" s="546"/>
      <c r="S269" s="546"/>
      <c r="T269" s="546"/>
      <c r="U269" s="546"/>
      <c r="V269" s="546"/>
      <c r="W269" s="546"/>
      <c r="X269" s="546"/>
      <c r="Y269" s="546"/>
      <c r="Z269" s="546"/>
      <c r="AA269" s="546"/>
      <c r="AB269" s="546"/>
      <c r="AC269" s="546"/>
      <c r="AD269" s="547"/>
      <c r="AE269" s="559">
        <v>9500000</v>
      </c>
      <c r="AF269" s="547"/>
      <c r="AG269" s="547"/>
      <c r="AH269" s="547"/>
      <c r="AI269" s="900">
        <f>+Q269+R269+S269+T269+U269+V269+W269+X269+Y269+Z269+AA269+AB269+AC269+AD269+AE269+AF269+AG269+AH269</f>
        <v>9500000</v>
      </c>
    </row>
    <row r="270" spans="1:35" s="539" customFormat="1" ht="55.5" customHeight="1" x14ac:dyDescent="0.25">
      <c r="A270" s="919"/>
      <c r="B270" s="685"/>
      <c r="C270" s="823">
        <v>2</v>
      </c>
      <c r="D270" s="822" t="s">
        <v>357</v>
      </c>
      <c r="E270" s="823" t="s">
        <v>358</v>
      </c>
      <c r="F270" s="823" t="s">
        <v>358</v>
      </c>
      <c r="G270" s="623"/>
      <c r="H270" s="829">
        <v>2</v>
      </c>
      <c r="I270" s="828" t="s">
        <v>359</v>
      </c>
      <c r="J270" s="829">
        <v>3</v>
      </c>
      <c r="K270" s="651">
        <v>4</v>
      </c>
      <c r="L270" s="651">
        <v>4</v>
      </c>
      <c r="M270" s="1088"/>
      <c r="N270" s="1082"/>
      <c r="O270" s="1087"/>
      <c r="P270" s="829" t="s">
        <v>46</v>
      </c>
      <c r="Q270" s="546"/>
      <c r="R270" s="546"/>
      <c r="S270" s="546"/>
      <c r="T270" s="546"/>
      <c r="U270" s="546"/>
      <c r="V270" s="546"/>
      <c r="W270" s="546"/>
      <c r="X270" s="546"/>
      <c r="Y270" s="546"/>
      <c r="Z270" s="546"/>
      <c r="AA270" s="546"/>
      <c r="AB270" s="546"/>
      <c r="AC270" s="546"/>
      <c r="AD270" s="547"/>
      <c r="AE270" s="559">
        <v>26900000</v>
      </c>
      <c r="AF270" s="547"/>
      <c r="AG270" s="547"/>
      <c r="AH270" s="547"/>
      <c r="AI270" s="900">
        <f>+Q270+R270+S270+T270+U270+V270+W270+X270+Y270+Z270+AA270+AB270+AC270+AD270+AE270+AF270+AG270+AH270</f>
        <v>26900000</v>
      </c>
    </row>
    <row r="271" spans="1:35" s="539" customFormat="1" ht="28.5" x14ac:dyDescent="0.25">
      <c r="A271" s="919"/>
      <c r="B271" s="685"/>
      <c r="C271" s="823"/>
      <c r="D271" s="822"/>
      <c r="E271" s="823"/>
      <c r="F271" s="823"/>
      <c r="G271" s="623"/>
      <c r="H271" s="829">
        <v>3</v>
      </c>
      <c r="I271" s="828" t="s">
        <v>360</v>
      </c>
      <c r="J271" s="829">
        <v>1</v>
      </c>
      <c r="K271" s="651">
        <v>1</v>
      </c>
      <c r="L271" s="651">
        <v>1</v>
      </c>
      <c r="M271" s="1088"/>
      <c r="N271" s="1082"/>
      <c r="O271" s="1087"/>
      <c r="P271" s="829" t="s">
        <v>46</v>
      </c>
      <c r="Q271" s="546"/>
      <c r="R271" s="546"/>
      <c r="S271" s="546"/>
      <c r="T271" s="546"/>
      <c r="U271" s="546"/>
      <c r="V271" s="546"/>
      <c r="W271" s="546"/>
      <c r="X271" s="546"/>
      <c r="Y271" s="546"/>
      <c r="Z271" s="546"/>
      <c r="AA271" s="546"/>
      <c r="AB271" s="546"/>
      <c r="AC271" s="546"/>
      <c r="AD271" s="547"/>
      <c r="AE271" s="559">
        <v>20500000</v>
      </c>
      <c r="AF271" s="547"/>
      <c r="AG271" s="547"/>
      <c r="AH271" s="547"/>
      <c r="AI271" s="900">
        <f>+Q271+R271+S271+T271+U271+V271+W271+X271+Y271+Z271+AA271+AB271+AC271+AD271+AE271+AF271+AG271+AH271</f>
        <v>20500000</v>
      </c>
    </row>
    <row r="272" spans="1:35" s="539" customFormat="1" ht="28.5" x14ac:dyDescent="0.25">
      <c r="A272" s="919"/>
      <c r="B272" s="685"/>
      <c r="C272" s="823"/>
      <c r="D272" s="822"/>
      <c r="E272" s="823"/>
      <c r="F272" s="823"/>
      <c r="G272" s="623"/>
      <c r="H272" s="829">
        <v>4</v>
      </c>
      <c r="I272" s="828" t="s">
        <v>361</v>
      </c>
      <c r="J272" s="829">
        <v>0</v>
      </c>
      <c r="K272" s="651">
        <v>1</v>
      </c>
      <c r="L272" s="704">
        <v>0.5</v>
      </c>
      <c r="M272" s="1088"/>
      <c r="N272" s="1082"/>
      <c r="O272" s="1087"/>
      <c r="P272" s="829" t="s">
        <v>46</v>
      </c>
      <c r="Q272" s="546"/>
      <c r="R272" s="546"/>
      <c r="S272" s="546"/>
      <c r="T272" s="546"/>
      <c r="U272" s="546"/>
      <c r="V272" s="546"/>
      <c r="W272" s="546"/>
      <c r="X272" s="546"/>
      <c r="Y272" s="546"/>
      <c r="Z272" s="546"/>
      <c r="AA272" s="546"/>
      <c r="AB272" s="546"/>
      <c r="AC272" s="546"/>
      <c r="AD272" s="547"/>
      <c r="AE272" s="559">
        <v>66500000</v>
      </c>
      <c r="AF272" s="547"/>
      <c r="AG272" s="547"/>
      <c r="AH272" s="547"/>
      <c r="AI272" s="900">
        <f>+Q272+R272+S272+T272+U272+V272+W272+X272+Y272+Z272+AA272+AB272+AC272+AD272+AE272+AF272+AG272+AH272</f>
        <v>66500000</v>
      </c>
    </row>
    <row r="273" spans="1:35" s="694" customFormat="1" ht="78.75" customHeight="1" x14ac:dyDescent="0.25">
      <c r="A273" s="919"/>
      <c r="B273" s="685"/>
      <c r="C273" s="821"/>
      <c r="D273" s="624"/>
      <c r="E273" s="821"/>
      <c r="F273" s="821"/>
      <c r="G273" s="698"/>
      <c r="H273" s="829">
        <v>6</v>
      </c>
      <c r="I273" s="828" t="s">
        <v>362</v>
      </c>
      <c r="J273" s="829">
        <v>3</v>
      </c>
      <c r="K273" s="651">
        <v>12</v>
      </c>
      <c r="L273" s="651">
        <v>12</v>
      </c>
      <c r="M273" s="1086"/>
      <c r="N273" s="1083"/>
      <c r="O273" s="1081"/>
      <c r="P273" s="829" t="s">
        <v>46</v>
      </c>
      <c r="Q273" s="546"/>
      <c r="R273" s="546"/>
      <c r="S273" s="546"/>
      <c r="T273" s="546"/>
      <c r="U273" s="546"/>
      <c r="V273" s="546"/>
      <c r="W273" s="546"/>
      <c r="X273" s="546"/>
      <c r="Y273" s="546"/>
      <c r="Z273" s="546"/>
      <c r="AA273" s="546"/>
      <c r="AB273" s="546"/>
      <c r="AC273" s="546"/>
      <c r="AD273" s="547"/>
      <c r="AE273" s="559">
        <v>11217500</v>
      </c>
      <c r="AF273" s="547"/>
      <c r="AG273" s="547"/>
      <c r="AH273" s="547"/>
      <c r="AI273" s="900">
        <f>+Q273+R273+S273+T273+U273+V273+W273+X273+Y273+Z273+AA273+AB273+AC273+AD273+AE273+AF273+AG273+AH273</f>
        <v>11217500</v>
      </c>
    </row>
    <row r="274" spans="1:35" ht="15" x14ac:dyDescent="0.25">
      <c r="A274" s="917"/>
      <c r="B274" s="144"/>
      <c r="C274" s="846"/>
      <c r="D274" s="565"/>
      <c r="E274" s="865"/>
      <c r="F274" s="865"/>
      <c r="G274" s="147"/>
      <c r="H274" s="148"/>
      <c r="I274" s="147"/>
      <c r="J274" s="148"/>
      <c r="K274" s="340"/>
      <c r="L274" s="340"/>
      <c r="M274" s="148"/>
      <c r="N274" s="584"/>
      <c r="O274" s="147"/>
      <c r="P274" s="148"/>
      <c r="Q274" s="150"/>
      <c r="R274" s="150"/>
      <c r="S274" s="150"/>
      <c r="T274" s="150"/>
      <c r="U274" s="150"/>
      <c r="V274" s="150"/>
      <c r="W274" s="150"/>
      <c r="X274" s="150"/>
      <c r="Y274" s="150">
        <f>SUM(Y269:Y273)</f>
        <v>0</v>
      </c>
      <c r="Z274" s="150"/>
      <c r="AA274" s="150"/>
      <c r="AB274" s="150">
        <f>SUM(AB269:AB273)</f>
        <v>0</v>
      </c>
      <c r="AC274" s="150"/>
      <c r="AD274" s="150"/>
      <c r="AE274" s="150">
        <f>SUM(AE269:AE273)</f>
        <v>134617500</v>
      </c>
      <c r="AF274" s="150"/>
      <c r="AG274" s="150"/>
      <c r="AH274" s="150"/>
      <c r="AI274" s="904">
        <f>SUM(AI269:AI273)</f>
        <v>134617500</v>
      </c>
    </row>
    <row r="275" spans="1:35" ht="15" x14ac:dyDescent="0.25">
      <c r="A275" s="917"/>
      <c r="B275" s="144"/>
      <c r="C275" s="845"/>
      <c r="D275" s="161"/>
      <c r="E275" s="845"/>
      <c r="F275" s="845"/>
      <c r="G275" s="161"/>
      <c r="H275" s="845"/>
      <c r="I275" s="161"/>
      <c r="J275" s="845"/>
      <c r="K275" s="346"/>
      <c r="L275" s="346"/>
      <c r="M275" s="845"/>
      <c r="N275" s="21"/>
      <c r="O275" s="161"/>
      <c r="P275" s="845"/>
      <c r="Q275" s="12"/>
      <c r="R275" s="163"/>
      <c r="S275" s="12"/>
      <c r="T275" s="12"/>
      <c r="U275" s="12"/>
      <c r="V275" s="12"/>
      <c r="W275" s="12"/>
      <c r="X275" s="12"/>
      <c r="Y275" s="12"/>
      <c r="Z275" s="12"/>
      <c r="AA275" s="163"/>
      <c r="AB275" s="163"/>
      <c r="AC275" s="12"/>
      <c r="AD275" s="12"/>
      <c r="AE275" s="189"/>
      <c r="AF275" s="12"/>
      <c r="AG275" s="12"/>
      <c r="AH275" s="163"/>
      <c r="AI275" s="921"/>
    </row>
    <row r="276" spans="1:35" x14ac:dyDescent="0.25">
      <c r="A276" s="917"/>
      <c r="B276" s="144"/>
      <c r="C276" s="846"/>
      <c r="D276" s="565"/>
      <c r="E276" s="865"/>
      <c r="F276" s="865"/>
      <c r="G276" s="251">
        <v>2</v>
      </c>
      <c r="H276" s="82" t="s">
        <v>146</v>
      </c>
      <c r="I276" s="81"/>
      <c r="J276" s="81"/>
      <c r="K276" s="339"/>
      <c r="L276" s="339"/>
      <c r="M276" s="81"/>
      <c r="N276" s="588"/>
      <c r="O276" s="81"/>
      <c r="P276" s="81"/>
      <c r="Q276" s="176"/>
      <c r="R276" s="176"/>
      <c r="S276" s="176"/>
      <c r="T276" s="176"/>
      <c r="U276" s="176"/>
      <c r="V276" s="176"/>
      <c r="W276" s="176"/>
      <c r="X276" s="176"/>
      <c r="Y276" s="176"/>
      <c r="Z276" s="176"/>
      <c r="AA276" s="176"/>
      <c r="AB276" s="176"/>
      <c r="AC276" s="176"/>
      <c r="AD276" s="176"/>
      <c r="AE276" s="177"/>
      <c r="AF276" s="176"/>
      <c r="AG276" s="176"/>
      <c r="AH276" s="176"/>
      <c r="AI276" s="918"/>
    </row>
    <row r="277" spans="1:35" s="539" customFormat="1" ht="99.75" customHeight="1" x14ac:dyDescent="0.25">
      <c r="A277" s="919"/>
      <c r="B277" s="541"/>
      <c r="C277" s="827">
        <v>2</v>
      </c>
      <c r="D277" s="828" t="s">
        <v>357</v>
      </c>
      <c r="E277" s="829" t="s">
        <v>358</v>
      </c>
      <c r="F277" s="829" t="s">
        <v>358</v>
      </c>
      <c r="G277" s="542"/>
      <c r="H277" s="829">
        <v>8</v>
      </c>
      <c r="I277" s="828" t="s">
        <v>363</v>
      </c>
      <c r="J277" s="829">
        <v>1</v>
      </c>
      <c r="K277" s="651">
        <v>1</v>
      </c>
      <c r="L277" s="704">
        <v>0.8</v>
      </c>
      <c r="M277" s="1080" t="s">
        <v>364</v>
      </c>
      <c r="N277" s="1084" t="s">
        <v>365</v>
      </c>
      <c r="O277" s="1080" t="s">
        <v>366</v>
      </c>
      <c r="P277" s="829" t="s">
        <v>40</v>
      </c>
      <c r="Q277" s="546"/>
      <c r="R277" s="546"/>
      <c r="S277" s="546"/>
      <c r="T277" s="546"/>
      <c r="U277" s="546"/>
      <c r="V277" s="546"/>
      <c r="W277" s="546"/>
      <c r="X277" s="546"/>
      <c r="Y277" s="546"/>
      <c r="Z277" s="546"/>
      <c r="AA277" s="546"/>
      <c r="AB277" s="546"/>
      <c r="AC277" s="546"/>
      <c r="AD277" s="546"/>
      <c r="AE277" s="559">
        <v>31700000</v>
      </c>
      <c r="AF277" s="547"/>
      <c r="AG277" s="547"/>
      <c r="AH277" s="547"/>
      <c r="AI277" s="900">
        <f>+Q277+R277+S277+T277+U277+V277+W277+X277+Y277+Z277+AA277+AB277+AC277+AD277+AE277+AF277+AG277+AH277</f>
        <v>31700000</v>
      </c>
    </row>
    <row r="278" spans="1:35" s="539" customFormat="1" ht="47.25" customHeight="1" x14ac:dyDescent="0.25">
      <c r="A278" s="919"/>
      <c r="B278" s="541"/>
      <c r="C278" s="827">
        <v>2</v>
      </c>
      <c r="D278" s="828" t="s">
        <v>357</v>
      </c>
      <c r="E278" s="829" t="s">
        <v>358</v>
      </c>
      <c r="F278" s="829" t="s">
        <v>358</v>
      </c>
      <c r="G278" s="624"/>
      <c r="H278" s="829">
        <v>7</v>
      </c>
      <c r="I278" s="828" t="s">
        <v>367</v>
      </c>
      <c r="J278" s="829">
        <v>0</v>
      </c>
      <c r="K278" s="651">
        <v>1</v>
      </c>
      <c r="L278" s="777">
        <v>0.39</v>
      </c>
      <c r="M278" s="1081"/>
      <c r="N278" s="1083"/>
      <c r="O278" s="1081"/>
      <c r="P278" s="829" t="s">
        <v>46</v>
      </c>
      <c r="Q278" s="546"/>
      <c r="R278" s="546"/>
      <c r="S278" s="546"/>
      <c r="T278" s="546"/>
      <c r="U278" s="546"/>
      <c r="V278" s="546"/>
      <c r="W278" s="546"/>
      <c r="X278" s="546"/>
      <c r="Y278" s="546"/>
      <c r="Z278" s="546"/>
      <c r="AA278" s="546"/>
      <c r="AB278" s="546"/>
      <c r="AC278" s="546"/>
      <c r="AD278" s="634"/>
      <c r="AE278" s="559">
        <f>126673000+529</f>
        <v>126673529</v>
      </c>
      <c r="AF278" s="547"/>
      <c r="AG278" s="547"/>
      <c r="AH278" s="547"/>
      <c r="AI278" s="900">
        <f>+Q278+R278+S278+T278+U278+V278+W278+X278+Y278+Z278+AA278+AB278+AC278+AD278+AE278+AF278+AG278+AH278</f>
        <v>126673529</v>
      </c>
    </row>
    <row r="279" spans="1:35" ht="15" x14ac:dyDescent="0.25">
      <c r="A279" s="917"/>
      <c r="B279" s="144"/>
      <c r="C279" s="846"/>
      <c r="D279" s="565"/>
      <c r="E279" s="1"/>
      <c r="F279" s="1"/>
      <c r="G279" s="147"/>
      <c r="H279" s="148"/>
      <c r="I279" s="147"/>
      <c r="J279" s="147"/>
      <c r="K279" s="356"/>
      <c r="L279" s="356"/>
      <c r="M279" s="147"/>
      <c r="N279" s="584"/>
      <c r="O279" s="147"/>
      <c r="P279" s="148"/>
      <c r="Q279" s="357"/>
      <c r="R279" s="357"/>
      <c r="S279" s="357"/>
      <c r="T279" s="357"/>
      <c r="U279" s="357"/>
      <c r="V279" s="357"/>
      <c r="W279" s="357"/>
      <c r="X279" s="357"/>
      <c r="Y279" s="357">
        <f>SUM(Y277:Y278)</f>
        <v>0</v>
      </c>
      <c r="Z279" s="357"/>
      <c r="AA279" s="357"/>
      <c r="AB279" s="357">
        <f>SUM(AB277:AB278)</f>
        <v>0</v>
      </c>
      <c r="AC279" s="357"/>
      <c r="AD279" s="357"/>
      <c r="AE279" s="357">
        <f>SUM(AE277:AE278)</f>
        <v>158373529</v>
      </c>
      <c r="AF279" s="357"/>
      <c r="AG279" s="357"/>
      <c r="AH279" s="357"/>
      <c r="AI279" s="962">
        <f>SUM(AI277:AI278)</f>
        <v>158373529</v>
      </c>
    </row>
    <row r="280" spans="1:35" ht="15" x14ac:dyDescent="0.25">
      <c r="A280" s="917"/>
      <c r="B280" s="144"/>
      <c r="C280" s="845"/>
      <c r="D280" s="161"/>
      <c r="E280" s="162"/>
      <c r="F280" s="162"/>
      <c r="G280" s="161"/>
      <c r="H280" s="845"/>
      <c r="I280" s="161"/>
      <c r="J280" s="161"/>
      <c r="K280" s="358"/>
      <c r="L280" s="358"/>
      <c r="M280" s="161"/>
      <c r="N280" s="21"/>
      <c r="O280" s="161"/>
      <c r="P280" s="845"/>
      <c r="Q280" s="359"/>
      <c r="R280" s="360"/>
      <c r="S280" s="359"/>
      <c r="T280" s="359"/>
      <c r="U280" s="359"/>
      <c r="V280" s="359"/>
      <c r="W280" s="359"/>
      <c r="X280" s="359"/>
      <c r="Y280" s="359"/>
      <c r="Z280" s="359"/>
      <c r="AA280" s="360"/>
      <c r="AB280" s="360"/>
      <c r="AC280" s="359"/>
      <c r="AD280" s="359"/>
      <c r="AE280" s="361"/>
      <c r="AF280" s="359"/>
      <c r="AG280" s="359"/>
      <c r="AH280" s="360"/>
      <c r="AI280" s="963"/>
    </row>
    <row r="281" spans="1:35" ht="19.5" customHeight="1" x14ac:dyDescent="0.25">
      <c r="A281" s="917"/>
      <c r="B281" s="144"/>
      <c r="C281" s="846"/>
      <c r="D281" s="565"/>
      <c r="E281" s="1"/>
      <c r="F281" s="1"/>
      <c r="G281" s="251">
        <v>3</v>
      </c>
      <c r="H281" s="82" t="s">
        <v>368</v>
      </c>
      <c r="I281" s="81"/>
      <c r="J281" s="81"/>
      <c r="K281" s="339"/>
      <c r="L281" s="339"/>
      <c r="M281" s="81"/>
      <c r="N281" s="588"/>
      <c r="O281" s="81"/>
      <c r="P281" s="81"/>
      <c r="Q281" s="176"/>
      <c r="R281" s="176"/>
      <c r="S281" s="176"/>
      <c r="T281" s="176"/>
      <c r="U281" s="176"/>
      <c r="V281" s="176"/>
      <c r="W281" s="176"/>
      <c r="X281" s="176"/>
      <c r="Y281" s="176"/>
      <c r="Z281" s="176"/>
      <c r="AA281" s="176"/>
      <c r="AB281" s="176"/>
      <c r="AC281" s="176"/>
      <c r="AD281" s="176"/>
      <c r="AE281" s="177"/>
      <c r="AF281" s="176"/>
      <c r="AG281" s="176"/>
      <c r="AH281" s="176"/>
      <c r="AI281" s="918"/>
    </row>
    <row r="282" spans="1:35" s="539" customFormat="1" ht="96" customHeight="1" x14ac:dyDescent="0.25">
      <c r="A282" s="919"/>
      <c r="B282" s="541"/>
      <c r="C282" s="827" t="s">
        <v>369</v>
      </c>
      <c r="D282" s="828" t="s">
        <v>370</v>
      </c>
      <c r="E282" s="829" t="s">
        <v>371</v>
      </c>
      <c r="F282" s="829" t="s">
        <v>372</v>
      </c>
      <c r="G282" s="542"/>
      <c r="H282" s="829">
        <v>14</v>
      </c>
      <c r="I282" s="828" t="s">
        <v>373</v>
      </c>
      <c r="J282" s="829">
        <v>2</v>
      </c>
      <c r="K282" s="651">
        <v>6</v>
      </c>
      <c r="L282" s="651">
        <v>4</v>
      </c>
      <c r="M282" s="1085" t="s">
        <v>354</v>
      </c>
      <c r="N282" s="1084" t="s">
        <v>374</v>
      </c>
      <c r="O282" s="1085" t="s">
        <v>375</v>
      </c>
      <c r="P282" s="829" t="s">
        <v>46</v>
      </c>
      <c r="Q282" s="546"/>
      <c r="R282" s="546"/>
      <c r="S282" s="546"/>
      <c r="T282" s="546"/>
      <c r="U282" s="546"/>
      <c r="V282" s="546"/>
      <c r="W282" s="546"/>
      <c r="X282" s="546"/>
      <c r="Y282" s="546"/>
      <c r="Z282" s="546"/>
      <c r="AA282" s="546"/>
      <c r="AB282" s="546"/>
      <c r="AC282" s="546"/>
      <c r="AD282" s="546"/>
      <c r="AE282" s="559">
        <f>267400000+50000000</f>
        <v>317400000</v>
      </c>
      <c r="AF282" s="547"/>
      <c r="AG282" s="547"/>
      <c r="AH282" s="547"/>
      <c r="AI282" s="900">
        <f t="shared" ref="AI282:AI288" si="16">+Q282+R282+S282+T282+U282+V282+W282+X282+Y282+Z282+AA282+AB282+AC282+AD282+AE282+AF282+AG282+AH282</f>
        <v>317400000</v>
      </c>
    </row>
    <row r="283" spans="1:35" s="539" customFormat="1" ht="93.75" customHeight="1" x14ac:dyDescent="0.25">
      <c r="A283" s="919"/>
      <c r="B283" s="541"/>
      <c r="C283" s="827"/>
      <c r="D283" s="828"/>
      <c r="E283" s="829"/>
      <c r="F283" s="829"/>
      <c r="G283" s="549"/>
      <c r="H283" s="699">
        <v>17</v>
      </c>
      <c r="I283" s="700" t="s">
        <v>376</v>
      </c>
      <c r="J283" s="829"/>
      <c r="K283" s="651">
        <v>270</v>
      </c>
      <c r="L283" s="651"/>
      <c r="M283" s="1086"/>
      <c r="N283" s="1083"/>
      <c r="O283" s="1086"/>
      <c r="P283" s="829" t="s">
        <v>40</v>
      </c>
      <c r="Q283" s="546"/>
      <c r="R283" s="546"/>
      <c r="S283" s="546"/>
      <c r="T283" s="546"/>
      <c r="U283" s="546"/>
      <c r="V283" s="546"/>
      <c r="W283" s="546"/>
      <c r="X283" s="546"/>
      <c r="Y283" s="546"/>
      <c r="Z283" s="546"/>
      <c r="AA283" s="546"/>
      <c r="AB283" s="546"/>
      <c r="AC283" s="546"/>
      <c r="AD283" s="546"/>
      <c r="AE283" s="559">
        <f>544145757+5968604+826000000</f>
        <v>1376114361</v>
      </c>
      <c r="AF283" s="547"/>
      <c r="AG283" s="547"/>
      <c r="AH283" s="547"/>
      <c r="AI283" s="900">
        <f t="shared" si="16"/>
        <v>1376114361</v>
      </c>
    </row>
    <row r="284" spans="1:35" s="539" customFormat="1" ht="72" customHeight="1" x14ac:dyDescent="0.25">
      <c r="A284" s="919"/>
      <c r="B284" s="541"/>
      <c r="C284" s="827">
        <v>3</v>
      </c>
      <c r="D284" s="828" t="s">
        <v>377</v>
      </c>
      <c r="E284" s="829" t="s">
        <v>378</v>
      </c>
      <c r="F284" s="829" t="s">
        <v>149</v>
      </c>
      <c r="G284" s="549"/>
      <c r="H284" s="829">
        <v>15</v>
      </c>
      <c r="I284" s="549" t="s">
        <v>379</v>
      </c>
      <c r="J284" s="821">
        <v>0</v>
      </c>
      <c r="K284" s="691">
        <v>2</v>
      </c>
      <c r="L284" s="690">
        <v>1</v>
      </c>
      <c r="M284" s="1088" t="s">
        <v>354</v>
      </c>
      <c r="N284" s="1082" t="s">
        <v>380</v>
      </c>
      <c r="O284" s="1087" t="s">
        <v>381</v>
      </c>
      <c r="P284" s="821" t="s">
        <v>46</v>
      </c>
      <c r="Q284" s="546"/>
      <c r="R284" s="546"/>
      <c r="S284" s="546"/>
      <c r="T284" s="546"/>
      <c r="U284" s="546"/>
      <c r="V284" s="546"/>
      <c r="W284" s="546"/>
      <c r="X284" s="546"/>
      <c r="Y284" s="546"/>
      <c r="Z284" s="546"/>
      <c r="AA284" s="546"/>
      <c r="AB284" s="546"/>
      <c r="AC284" s="546"/>
      <c r="AD284" s="546"/>
      <c r="AE284" s="559">
        <f>17766406+174829</f>
        <v>17941235</v>
      </c>
      <c r="AF284" s="547"/>
      <c r="AG284" s="547"/>
      <c r="AH284" s="547"/>
      <c r="AI284" s="900">
        <f t="shared" si="16"/>
        <v>17941235</v>
      </c>
    </row>
    <row r="285" spans="1:35" s="539" customFormat="1" ht="79.5" customHeight="1" x14ac:dyDescent="0.25">
      <c r="A285" s="919"/>
      <c r="B285" s="541"/>
      <c r="C285" s="827"/>
      <c r="D285" s="828"/>
      <c r="E285" s="829"/>
      <c r="F285" s="829"/>
      <c r="G285" s="549"/>
      <c r="H285" s="829">
        <v>16</v>
      </c>
      <c r="I285" s="542" t="s">
        <v>382</v>
      </c>
      <c r="J285" s="829">
        <v>7</v>
      </c>
      <c r="K285" s="651">
        <v>5</v>
      </c>
      <c r="L285" s="704">
        <v>3.5</v>
      </c>
      <c r="M285" s="1088"/>
      <c r="N285" s="1082"/>
      <c r="O285" s="1087"/>
      <c r="P285" s="829" t="s">
        <v>40</v>
      </c>
      <c r="Q285" s="546"/>
      <c r="R285" s="546"/>
      <c r="S285" s="546"/>
      <c r="T285" s="546"/>
      <c r="U285" s="546"/>
      <c r="V285" s="546"/>
      <c r="W285" s="546"/>
      <c r="X285" s="546"/>
      <c r="Y285" s="546"/>
      <c r="Z285" s="546"/>
      <c r="AA285" s="546"/>
      <c r="AB285" s="546"/>
      <c r="AC285" s="546"/>
      <c r="AD285" s="546"/>
      <c r="AE285" s="559">
        <v>9500000</v>
      </c>
      <c r="AF285" s="547"/>
      <c r="AG285" s="547"/>
      <c r="AH285" s="547"/>
      <c r="AI285" s="900">
        <f t="shared" si="16"/>
        <v>9500000</v>
      </c>
    </row>
    <row r="286" spans="1:35" s="539" customFormat="1" ht="61.5" customHeight="1" x14ac:dyDescent="0.25">
      <c r="A286" s="919"/>
      <c r="B286" s="541"/>
      <c r="C286" s="827"/>
      <c r="D286" s="828"/>
      <c r="E286" s="829"/>
      <c r="F286" s="829"/>
      <c r="G286" s="549"/>
      <c r="H286" s="829">
        <v>18</v>
      </c>
      <c r="I286" s="828" t="s">
        <v>383</v>
      </c>
      <c r="J286" s="829">
        <v>0</v>
      </c>
      <c r="K286" s="651">
        <v>10</v>
      </c>
      <c r="L286" s="651">
        <v>7</v>
      </c>
      <c r="M286" s="1088"/>
      <c r="N286" s="1082"/>
      <c r="O286" s="1087"/>
      <c r="P286" s="829" t="s">
        <v>40</v>
      </c>
      <c r="Q286" s="546"/>
      <c r="R286" s="546"/>
      <c r="S286" s="546"/>
      <c r="T286" s="546"/>
      <c r="U286" s="546"/>
      <c r="V286" s="546"/>
      <c r="W286" s="546"/>
      <c r="X286" s="546"/>
      <c r="Y286" s="546"/>
      <c r="Z286" s="546"/>
      <c r="AA286" s="546"/>
      <c r="AB286" s="546"/>
      <c r="AC286" s="546"/>
      <c r="AD286" s="547"/>
      <c r="AE286" s="559">
        <v>13620000</v>
      </c>
      <c r="AF286" s="547"/>
      <c r="AG286" s="547"/>
      <c r="AH286" s="547"/>
      <c r="AI286" s="900">
        <f t="shared" si="16"/>
        <v>13620000</v>
      </c>
    </row>
    <row r="287" spans="1:35" s="539" customFormat="1" ht="72" customHeight="1" x14ac:dyDescent="0.25">
      <c r="A287" s="919"/>
      <c r="B287" s="541"/>
      <c r="C287" s="827">
        <v>4</v>
      </c>
      <c r="D287" s="828" t="s">
        <v>384</v>
      </c>
      <c r="E287" s="829" t="s">
        <v>385</v>
      </c>
      <c r="F287" s="829" t="s">
        <v>386</v>
      </c>
      <c r="G287" s="549"/>
      <c r="H287" s="829">
        <v>19</v>
      </c>
      <c r="I287" s="828" t="s">
        <v>387</v>
      </c>
      <c r="J287" s="829">
        <v>20</v>
      </c>
      <c r="K287" s="651">
        <v>8</v>
      </c>
      <c r="L287" s="651">
        <v>8</v>
      </c>
      <c r="M287" s="1088"/>
      <c r="N287" s="1082"/>
      <c r="O287" s="1087"/>
      <c r="P287" s="829" t="s">
        <v>40</v>
      </c>
      <c r="Q287" s="546"/>
      <c r="R287" s="546"/>
      <c r="S287" s="546"/>
      <c r="T287" s="546"/>
      <c r="U287" s="546"/>
      <c r="V287" s="546"/>
      <c r="W287" s="546"/>
      <c r="X287" s="546"/>
      <c r="Y287" s="546"/>
      <c r="Z287" s="546"/>
      <c r="AA287" s="546"/>
      <c r="AB287" s="546"/>
      <c r="AC287" s="546"/>
      <c r="AD287" s="547"/>
      <c r="AE287" s="559">
        <v>11000000</v>
      </c>
      <c r="AF287" s="547"/>
      <c r="AG287" s="547"/>
      <c r="AH287" s="547"/>
      <c r="AI287" s="900">
        <f t="shared" si="16"/>
        <v>11000000</v>
      </c>
    </row>
    <row r="288" spans="1:35" s="539" customFormat="1" ht="83.25" customHeight="1" x14ac:dyDescent="0.25">
      <c r="A288" s="919"/>
      <c r="B288" s="541"/>
      <c r="C288" s="827">
        <v>1</v>
      </c>
      <c r="D288" s="828" t="s">
        <v>352</v>
      </c>
      <c r="E288" s="701" t="s">
        <v>36</v>
      </c>
      <c r="F288" s="702">
        <v>15000</v>
      </c>
      <c r="G288" s="549"/>
      <c r="H288" s="829">
        <v>20</v>
      </c>
      <c r="I288" s="828" t="s">
        <v>388</v>
      </c>
      <c r="J288" s="829" t="s">
        <v>36</v>
      </c>
      <c r="K288" s="651">
        <v>60</v>
      </c>
      <c r="L288" s="651">
        <v>60</v>
      </c>
      <c r="M288" s="1086"/>
      <c r="N288" s="1083"/>
      <c r="O288" s="1081"/>
      <c r="P288" s="829" t="s">
        <v>40</v>
      </c>
      <c r="Q288" s="546"/>
      <c r="R288" s="546"/>
      <c r="S288" s="546"/>
      <c r="T288" s="546"/>
      <c r="U288" s="546"/>
      <c r="V288" s="546"/>
      <c r="W288" s="546"/>
      <c r="X288" s="546"/>
      <c r="Y288" s="546"/>
      <c r="Z288" s="546"/>
      <c r="AA288" s="546"/>
      <c r="AB288" s="546"/>
      <c r="AC288" s="546"/>
      <c r="AD288" s="547"/>
      <c r="AE288" s="559">
        <f>11000000</f>
        <v>11000000</v>
      </c>
      <c r="AF288" s="547"/>
      <c r="AG288" s="547"/>
      <c r="AH288" s="547"/>
      <c r="AI288" s="900">
        <f t="shared" si="16"/>
        <v>11000000</v>
      </c>
    </row>
    <row r="289" spans="1:35" ht="20.25" customHeight="1" x14ac:dyDescent="0.25">
      <c r="A289" s="917"/>
      <c r="B289" s="146"/>
      <c r="C289" s="846"/>
      <c r="D289" s="565"/>
      <c r="E289" s="865"/>
      <c r="F289" s="865"/>
      <c r="G289" s="147"/>
      <c r="H289" s="148"/>
      <c r="I289" s="147"/>
      <c r="J289" s="147"/>
      <c r="K289" s="356"/>
      <c r="L289" s="356"/>
      <c r="M289" s="147"/>
      <c r="N289" s="584"/>
      <c r="O289" s="362"/>
      <c r="P289" s="148"/>
      <c r="Q289" s="357"/>
      <c r="R289" s="357"/>
      <c r="S289" s="357"/>
      <c r="T289" s="357"/>
      <c r="U289" s="357"/>
      <c r="V289" s="357"/>
      <c r="W289" s="357"/>
      <c r="X289" s="357"/>
      <c r="Y289" s="357">
        <f>SUM(Y282:Y288)</f>
        <v>0</v>
      </c>
      <c r="Z289" s="357"/>
      <c r="AA289" s="357"/>
      <c r="AB289" s="357">
        <f>SUM(AB282:AB288)</f>
        <v>0</v>
      </c>
      <c r="AC289" s="357"/>
      <c r="AD289" s="357"/>
      <c r="AE289" s="357">
        <f>SUM(AE282:AE288)</f>
        <v>1756575596</v>
      </c>
      <c r="AF289" s="357"/>
      <c r="AG289" s="357"/>
      <c r="AH289" s="357"/>
      <c r="AI289" s="962">
        <f>SUM(AI282:AI288)</f>
        <v>1756575596</v>
      </c>
    </row>
    <row r="290" spans="1:35" ht="24" customHeight="1" x14ac:dyDescent="0.25">
      <c r="A290" s="938"/>
      <c r="B290" s="151"/>
      <c r="C290" s="212"/>
      <c r="D290" s="151"/>
      <c r="E290" s="152"/>
      <c r="F290" s="152"/>
      <c r="G290" s="151"/>
      <c r="H290" s="152"/>
      <c r="I290" s="151"/>
      <c r="J290" s="151"/>
      <c r="K290" s="363"/>
      <c r="L290" s="363"/>
      <c r="M290" s="151"/>
      <c r="N290" s="585"/>
      <c r="O290" s="151"/>
      <c r="P290" s="152"/>
      <c r="Q290" s="364"/>
      <c r="R290" s="364"/>
      <c r="S290" s="364"/>
      <c r="T290" s="364"/>
      <c r="U290" s="364"/>
      <c r="V290" s="364"/>
      <c r="W290" s="364"/>
      <c r="X290" s="364"/>
      <c r="Y290" s="364">
        <f>Y289+Y279+Y274</f>
        <v>0</v>
      </c>
      <c r="Z290" s="364"/>
      <c r="AA290" s="364"/>
      <c r="AB290" s="364">
        <f>AB289+AB279+AB274</f>
        <v>0</v>
      </c>
      <c r="AC290" s="364"/>
      <c r="AD290" s="364"/>
      <c r="AE290" s="364">
        <f>AE289+AE279+AE274</f>
        <v>2049566625</v>
      </c>
      <c r="AF290" s="364"/>
      <c r="AG290" s="364"/>
      <c r="AH290" s="364"/>
      <c r="AI290" s="964">
        <f>AI289+AI279+AI274</f>
        <v>2049566625</v>
      </c>
    </row>
    <row r="291" spans="1:35" ht="23.25" customHeight="1" x14ac:dyDescent="0.25">
      <c r="A291" s="965"/>
      <c r="B291" s="66"/>
      <c r="C291" s="67"/>
      <c r="D291" s="68"/>
      <c r="E291" s="68"/>
      <c r="F291" s="68"/>
      <c r="G291" s="68"/>
      <c r="H291" s="67"/>
      <c r="I291" s="68"/>
      <c r="J291" s="68"/>
      <c r="K291" s="69"/>
      <c r="L291" s="69"/>
      <c r="M291" s="68"/>
      <c r="N291" s="586"/>
      <c r="O291" s="68"/>
      <c r="P291" s="68"/>
      <c r="Q291" s="70"/>
      <c r="R291" s="70"/>
      <c r="S291" s="70"/>
      <c r="T291" s="70"/>
      <c r="U291" s="70"/>
      <c r="V291" s="70"/>
      <c r="W291" s="70"/>
      <c r="X291" s="70"/>
      <c r="Y291" s="70">
        <f>Y290</f>
        <v>0</v>
      </c>
      <c r="Z291" s="70"/>
      <c r="AA291" s="70"/>
      <c r="AB291" s="70">
        <f>AB290</f>
        <v>0</v>
      </c>
      <c r="AC291" s="70"/>
      <c r="AD291" s="70"/>
      <c r="AE291" s="70">
        <f>AE290</f>
        <v>2049566625</v>
      </c>
      <c r="AF291" s="70"/>
      <c r="AG291" s="70"/>
      <c r="AH291" s="70"/>
      <c r="AI291" s="966">
        <f>AI290</f>
        <v>2049566625</v>
      </c>
    </row>
    <row r="292" spans="1:35" ht="15" x14ac:dyDescent="0.25">
      <c r="A292" s="911"/>
      <c r="B292" s="161"/>
      <c r="C292" s="845"/>
      <c r="D292" s="161"/>
      <c r="E292" s="845"/>
      <c r="F292" s="845"/>
      <c r="G292" s="161"/>
      <c r="H292" s="845"/>
      <c r="I292" s="161"/>
      <c r="J292" s="161"/>
      <c r="K292" s="358"/>
      <c r="L292" s="358"/>
      <c r="M292" s="161"/>
      <c r="N292" s="21"/>
      <c r="O292" s="161"/>
      <c r="P292" s="845"/>
      <c r="Q292" s="359"/>
      <c r="R292" s="360"/>
      <c r="S292" s="359"/>
      <c r="T292" s="359"/>
      <c r="U292" s="359"/>
      <c r="V292" s="359"/>
      <c r="W292" s="359"/>
      <c r="X292" s="359"/>
      <c r="Y292" s="359"/>
      <c r="Z292" s="359"/>
      <c r="AA292" s="360"/>
      <c r="AB292" s="360"/>
      <c r="AC292" s="359"/>
      <c r="AD292" s="359"/>
      <c r="AE292" s="361"/>
      <c r="AF292" s="359"/>
      <c r="AG292" s="359"/>
      <c r="AH292" s="360"/>
      <c r="AI292" s="963"/>
    </row>
    <row r="293" spans="1:35" x14ac:dyDescent="0.25">
      <c r="A293" s="893">
        <v>2</v>
      </c>
      <c r="B293" s="77" t="s">
        <v>119</v>
      </c>
      <c r="C293" s="139"/>
      <c r="D293" s="77"/>
      <c r="E293" s="77"/>
      <c r="F293" s="77"/>
      <c r="G293" s="77"/>
      <c r="H293" s="139"/>
      <c r="I293" s="77"/>
      <c r="J293" s="77"/>
      <c r="K293" s="352"/>
      <c r="L293" s="352"/>
      <c r="M293" s="77"/>
      <c r="N293" s="14"/>
      <c r="O293" s="77"/>
      <c r="P293" s="77"/>
      <c r="Q293" s="166"/>
      <c r="R293" s="166"/>
      <c r="S293" s="166"/>
      <c r="T293" s="166"/>
      <c r="U293" s="166"/>
      <c r="V293" s="166"/>
      <c r="W293" s="166"/>
      <c r="X293" s="166"/>
      <c r="Y293" s="166"/>
      <c r="Z293" s="166"/>
      <c r="AA293" s="166"/>
      <c r="AB293" s="166"/>
      <c r="AC293" s="166"/>
      <c r="AD293" s="166"/>
      <c r="AE293" s="167"/>
      <c r="AF293" s="166"/>
      <c r="AG293" s="166"/>
      <c r="AH293" s="166"/>
      <c r="AI293" s="914"/>
    </row>
    <row r="294" spans="1:35" ht="18.75" customHeight="1" x14ac:dyDescent="0.25">
      <c r="A294" s="915"/>
      <c r="B294" s="232">
        <v>2</v>
      </c>
      <c r="C294" s="837" t="s">
        <v>296</v>
      </c>
      <c r="D294" s="87"/>
      <c r="E294" s="87"/>
      <c r="F294" s="87"/>
      <c r="G294" s="87"/>
      <c r="H294" s="838"/>
      <c r="I294" s="87"/>
      <c r="J294" s="87"/>
      <c r="K294" s="343"/>
      <c r="L294" s="343"/>
      <c r="M294" s="87"/>
      <c r="N294" s="15"/>
      <c r="O294" s="87"/>
      <c r="P294" s="87"/>
      <c r="Q294" s="169"/>
      <c r="R294" s="169"/>
      <c r="S294" s="169"/>
      <c r="T294" s="169"/>
      <c r="U294" s="169"/>
      <c r="V294" s="169"/>
      <c r="W294" s="169"/>
      <c r="X294" s="169"/>
      <c r="Y294" s="169"/>
      <c r="Z294" s="169"/>
      <c r="AA294" s="169"/>
      <c r="AB294" s="169"/>
      <c r="AC294" s="169"/>
      <c r="AD294" s="169"/>
      <c r="AE294" s="170"/>
      <c r="AF294" s="169"/>
      <c r="AG294" s="169"/>
      <c r="AH294" s="169"/>
      <c r="AI294" s="916"/>
    </row>
    <row r="295" spans="1:35" ht="23.25" customHeight="1" x14ac:dyDescent="0.25">
      <c r="A295" s="917"/>
      <c r="B295" s="172"/>
      <c r="C295" s="845"/>
      <c r="D295" s="161"/>
      <c r="E295" s="845"/>
      <c r="F295" s="846"/>
      <c r="G295" s="336">
        <v>4</v>
      </c>
      <c r="H295" s="78" t="s">
        <v>389</v>
      </c>
      <c r="I295" s="81"/>
      <c r="J295" s="81"/>
      <c r="K295" s="339"/>
      <c r="L295" s="339"/>
      <c r="M295" s="81"/>
      <c r="N295" s="588"/>
      <c r="O295" s="81"/>
      <c r="P295" s="81"/>
      <c r="Q295" s="176"/>
      <c r="R295" s="176"/>
      <c r="S295" s="176"/>
      <c r="T295" s="176"/>
      <c r="U295" s="176"/>
      <c r="V295" s="176"/>
      <c r="W295" s="176"/>
      <c r="X295" s="176"/>
      <c r="Y295" s="176"/>
      <c r="Z295" s="176"/>
      <c r="AA295" s="176"/>
      <c r="AB295" s="176"/>
      <c r="AC295" s="176"/>
      <c r="AD295" s="176"/>
      <c r="AE295" s="177"/>
      <c r="AF295" s="176"/>
      <c r="AG295" s="176"/>
      <c r="AH295" s="176"/>
      <c r="AI295" s="918"/>
    </row>
    <row r="296" spans="1:35" s="539" customFormat="1" ht="96" customHeight="1" x14ac:dyDescent="0.25">
      <c r="A296" s="919"/>
      <c r="B296" s="541"/>
      <c r="C296" s="827" t="s">
        <v>390</v>
      </c>
      <c r="D296" s="828" t="s">
        <v>391</v>
      </c>
      <c r="E296" s="829" t="s">
        <v>392</v>
      </c>
      <c r="F296" s="829" t="s">
        <v>393</v>
      </c>
      <c r="G296" s="828"/>
      <c r="H296" s="829">
        <v>21</v>
      </c>
      <c r="I296" s="828" t="s">
        <v>394</v>
      </c>
      <c r="J296" s="829">
        <v>20</v>
      </c>
      <c r="K296" s="651">
        <v>100</v>
      </c>
      <c r="L296" s="651">
        <v>81</v>
      </c>
      <c r="M296" s="1085" t="s">
        <v>90</v>
      </c>
      <c r="N296" s="1084" t="s">
        <v>395</v>
      </c>
      <c r="O296" s="1085" t="s">
        <v>396</v>
      </c>
      <c r="P296" s="829" t="s">
        <v>40</v>
      </c>
      <c r="Q296" s="546"/>
      <c r="R296" s="546"/>
      <c r="S296" s="546"/>
      <c r="T296" s="546"/>
      <c r="U296" s="546"/>
      <c r="V296" s="546"/>
      <c r="W296" s="546"/>
      <c r="X296" s="546"/>
      <c r="Y296" s="546"/>
      <c r="Z296" s="546"/>
      <c r="AA296" s="546"/>
      <c r="AB296" s="546"/>
      <c r="AC296" s="546"/>
      <c r="AD296" s="547"/>
      <c r="AE296" s="550">
        <v>69680000</v>
      </c>
      <c r="AF296" s="547"/>
      <c r="AG296" s="547"/>
      <c r="AH296" s="547"/>
      <c r="AI296" s="900">
        <f>+Q296+R296+S296+T296+U296+V296+W296+X296+Y296+Z296+AA296+AB296+AC296+AD296+AE296+AF296+AG296+AH296</f>
        <v>69680000</v>
      </c>
    </row>
    <row r="297" spans="1:35" s="539" customFormat="1" ht="96" customHeight="1" x14ac:dyDescent="0.25">
      <c r="A297" s="919"/>
      <c r="B297" s="541"/>
      <c r="C297" s="827" t="s">
        <v>390</v>
      </c>
      <c r="D297" s="828" t="s">
        <v>391</v>
      </c>
      <c r="E297" s="829" t="s">
        <v>392</v>
      </c>
      <c r="F297" s="829" t="s">
        <v>393</v>
      </c>
      <c r="G297" s="828"/>
      <c r="H297" s="827">
        <v>22</v>
      </c>
      <c r="I297" s="828" t="s">
        <v>397</v>
      </c>
      <c r="J297" s="829">
        <v>0</v>
      </c>
      <c r="K297" s="651">
        <v>3</v>
      </c>
      <c r="L297" s="651">
        <v>2</v>
      </c>
      <c r="M297" s="1088"/>
      <c r="N297" s="1082"/>
      <c r="O297" s="1088"/>
      <c r="P297" s="829" t="s">
        <v>40</v>
      </c>
      <c r="Q297" s="546"/>
      <c r="R297" s="546"/>
      <c r="S297" s="546"/>
      <c r="T297" s="546"/>
      <c r="U297" s="546"/>
      <c r="V297" s="546"/>
      <c r="W297" s="546"/>
      <c r="X297" s="546"/>
      <c r="Y297" s="546"/>
      <c r="Z297" s="546"/>
      <c r="AA297" s="546"/>
      <c r="AB297" s="546"/>
      <c r="AC297" s="546"/>
      <c r="AD297" s="547"/>
      <c r="AE297" s="550">
        <v>44300000</v>
      </c>
      <c r="AF297" s="547"/>
      <c r="AG297" s="547"/>
      <c r="AH297" s="547"/>
      <c r="AI297" s="900">
        <f>+Q297+R297+S297+T297+U297+V297+W297+X297+Y297+Z297+AA297+AB297+AC297+AD297+AE297+AF297+AG297+AH297</f>
        <v>44300000</v>
      </c>
    </row>
    <row r="298" spans="1:35" s="539" customFormat="1" ht="96" customHeight="1" x14ac:dyDescent="0.25">
      <c r="A298" s="919"/>
      <c r="B298" s="541"/>
      <c r="C298" s="827" t="s">
        <v>390</v>
      </c>
      <c r="D298" s="828" t="s">
        <v>391</v>
      </c>
      <c r="E298" s="829" t="s">
        <v>392</v>
      </c>
      <c r="F298" s="829" t="s">
        <v>393</v>
      </c>
      <c r="G298" s="828"/>
      <c r="H298" s="827">
        <v>23</v>
      </c>
      <c r="I298" s="828" t="s">
        <v>398</v>
      </c>
      <c r="J298" s="829">
        <v>0</v>
      </c>
      <c r="K298" s="651">
        <v>1</v>
      </c>
      <c r="L298" s="651">
        <v>1</v>
      </c>
      <c r="M298" s="1088"/>
      <c r="N298" s="1082"/>
      <c r="O298" s="1088"/>
      <c r="P298" s="829" t="s">
        <v>46</v>
      </c>
      <c r="Q298" s="546"/>
      <c r="R298" s="546"/>
      <c r="S298" s="546"/>
      <c r="T298" s="546"/>
      <c r="U298" s="546"/>
      <c r="V298" s="546"/>
      <c r="W298" s="546"/>
      <c r="X298" s="546"/>
      <c r="Y298" s="546"/>
      <c r="Z298" s="546"/>
      <c r="AA298" s="546"/>
      <c r="AB298" s="546"/>
      <c r="AC298" s="546"/>
      <c r="AD298" s="547"/>
      <c r="AE298" s="550">
        <v>69680000</v>
      </c>
      <c r="AF298" s="547"/>
      <c r="AG298" s="547"/>
      <c r="AH298" s="547"/>
      <c r="AI298" s="900">
        <f>+Q298+R298+S298+T298+U298+V298+W298+X298+Y298+Z298+AA298+AB298+AC298+AD298+AE298+AF298+AG298+AH298</f>
        <v>69680000</v>
      </c>
    </row>
    <row r="299" spans="1:35" s="539" customFormat="1" ht="96" customHeight="1" x14ac:dyDescent="0.25">
      <c r="A299" s="919"/>
      <c r="B299" s="541"/>
      <c r="C299" s="827" t="s">
        <v>390</v>
      </c>
      <c r="D299" s="828" t="s">
        <v>391</v>
      </c>
      <c r="E299" s="829" t="s">
        <v>392</v>
      </c>
      <c r="F299" s="829" t="s">
        <v>393</v>
      </c>
      <c r="G299" s="828"/>
      <c r="H299" s="827">
        <v>24</v>
      </c>
      <c r="I299" s="828" t="s">
        <v>399</v>
      </c>
      <c r="J299" s="829">
        <v>0</v>
      </c>
      <c r="K299" s="651">
        <v>1</v>
      </c>
      <c r="L299" s="651">
        <v>2</v>
      </c>
      <c r="M299" s="1086"/>
      <c r="N299" s="1083"/>
      <c r="O299" s="1086"/>
      <c r="P299" s="829" t="s">
        <v>46</v>
      </c>
      <c r="Q299" s="546"/>
      <c r="R299" s="546"/>
      <c r="S299" s="546"/>
      <c r="T299" s="546"/>
      <c r="U299" s="546"/>
      <c r="V299" s="546"/>
      <c r="W299" s="546"/>
      <c r="X299" s="546"/>
      <c r="Y299" s="546"/>
      <c r="Z299" s="546"/>
      <c r="AA299" s="546"/>
      <c r="AB299" s="546"/>
      <c r="AC299" s="546"/>
      <c r="AD299" s="547"/>
      <c r="AE299" s="550">
        <v>180599118</v>
      </c>
      <c r="AF299" s="547"/>
      <c r="AG299" s="547"/>
      <c r="AH299" s="547"/>
      <c r="AI299" s="900">
        <f>+Q299+R299+S299+T299+U299+V299+W299+X299+Y299+Z299+AA299+AB299+AC299+AD299+AE299+AF299+AG299+AH299</f>
        <v>180599118</v>
      </c>
    </row>
    <row r="300" spans="1:35" ht="21" customHeight="1" x14ac:dyDescent="0.25">
      <c r="A300" s="917"/>
      <c r="B300" s="144"/>
      <c r="C300" s="846"/>
      <c r="D300" s="565"/>
      <c r="E300" s="865"/>
      <c r="F300" s="865"/>
      <c r="G300" s="365"/>
      <c r="H300" s="365"/>
      <c r="I300" s="365"/>
      <c r="J300" s="365"/>
      <c r="K300" s="365"/>
      <c r="L300" s="365"/>
      <c r="M300" s="365"/>
      <c r="N300" s="597"/>
      <c r="O300" s="365"/>
      <c r="P300" s="365"/>
      <c r="Q300" s="365"/>
      <c r="R300" s="365"/>
      <c r="S300" s="365"/>
      <c r="T300" s="365"/>
      <c r="U300" s="365"/>
      <c r="V300" s="365"/>
      <c r="W300" s="365"/>
      <c r="X300" s="365"/>
      <c r="Y300" s="365">
        <f>SUM(Y296:Y299)</f>
        <v>0</v>
      </c>
      <c r="Z300" s="365"/>
      <c r="AA300" s="365"/>
      <c r="AB300" s="365">
        <f>SUM(AB296:AB299)</f>
        <v>0</v>
      </c>
      <c r="AC300" s="365"/>
      <c r="AD300" s="365"/>
      <c r="AE300" s="365">
        <f>SUM(AE296:AE299)</f>
        <v>364259118</v>
      </c>
      <c r="AF300" s="365"/>
      <c r="AG300" s="365"/>
      <c r="AH300" s="365"/>
      <c r="AI300" s="967">
        <f>SUM(AI296:AI299)</f>
        <v>364259118</v>
      </c>
    </row>
    <row r="301" spans="1:35" ht="21" customHeight="1" x14ac:dyDescent="0.25">
      <c r="A301" s="917"/>
      <c r="B301" s="144"/>
      <c r="C301" s="846"/>
      <c r="D301" s="565"/>
      <c r="E301" s="865"/>
      <c r="F301" s="865"/>
      <c r="G301" s="849"/>
      <c r="H301" s="567"/>
      <c r="I301" s="565"/>
      <c r="J301" s="865"/>
      <c r="K301" s="337"/>
      <c r="L301" s="572"/>
      <c r="M301" s="853"/>
      <c r="N301" s="850"/>
      <c r="O301" s="853"/>
      <c r="P301" s="865"/>
      <c r="Q301" s="9"/>
      <c r="R301" s="248"/>
      <c r="S301" s="9"/>
      <c r="T301" s="9"/>
      <c r="U301" s="9"/>
      <c r="V301" s="9"/>
      <c r="W301" s="9"/>
      <c r="X301" s="9"/>
      <c r="Y301" s="9"/>
      <c r="Z301" s="9"/>
      <c r="AA301" s="9"/>
      <c r="AB301" s="9"/>
      <c r="AC301" s="9"/>
      <c r="AD301" s="61"/>
      <c r="AE301" s="236"/>
      <c r="AF301" s="61"/>
      <c r="AG301" s="61"/>
      <c r="AH301" s="61"/>
      <c r="AI301" s="942" t="s">
        <v>0</v>
      </c>
    </row>
    <row r="302" spans="1:35" ht="20.25" customHeight="1" x14ac:dyDescent="0.25">
      <c r="A302" s="917"/>
      <c r="B302" s="144"/>
      <c r="C302" s="846"/>
      <c r="D302" s="565"/>
      <c r="E302" s="865"/>
      <c r="F302" s="865"/>
      <c r="G302" s="336">
        <v>5</v>
      </c>
      <c r="H302" s="78" t="s">
        <v>400</v>
      </c>
      <c r="I302" s="81"/>
      <c r="J302" s="81"/>
      <c r="K302" s="339"/>
      <c r="L302" s="339"/>
      <c r="M302" s="81"/>
      <c r="N302" s="588"/>
      <c r="O302" s="81"/>
      <c r="P302" s="81"/>
      <c r="Q302" s="176"/>
      <c r="R302" s="176"/>
      <c r="S302" s="176"/>
      <c r="T302" s="176"/>
      <c r="U302" s="176"/>
      <c r="V302" s="176"/>
      <c r="W302" s="176"/>
      <c r="X302" s="176"/>
      <c r="Y302" s="176"/>
      <c r="Z302" s="176"/>
      <c r="AA302" s="176"/>
      <c r="AB302" s="176"/>
      <c r="AC302" s="176"/>
      <c r="AD302" s="176"/>
      <c r="AE302" s="177"/>
      <c r="AF302" s="176"/>
      <c r="AG302" s="176"/>
      <c r="AH302" s="176"/>
      <c r="AI302" s="918"/>
    </row>
    <row r="303" spans="1:35" s="539" customFormat="1" ht="84.75" customHeight="1" x14ac:dyDescent="0.25">
      <c r="A303" s="919"/>
      <c r="B303" s="541"/>
      <c r="C303" s="827" t="s">
        <v>390</v>
      </c>
      <c r="D303" s="828" t="s">
        <v>391</v>
      </c>
      <c r="E303" s="829" t="s">
        <v>392</v>
      </c>
      <c r="F303" s="829" t="s">
        <v>393</v>
      </c>
      <c r="G303" s="703"/>
      <c r="H303" s="829">
        <v>25</v>
      </c>
      <c r="I303" s="828" t="s">
        <v>401</v>
      </c>
      <c r="J303" s="829" t="s">
        <v>36</v>
      </c>
      <c r="K303" s="651">
        <v>2</v>
      </c>
      <c r="L303" s="777">
        <v>1.75</v>
      </c>
      <c r="M303" s="1085" t="s">
        <v>90</v>
      </c>
      <c r="N303" s="1084" t="s">
        <v>402</v>
      </c>
      <c r="O303" s="1085" t="s">
        <v>403</v>
      </c>
      <c r="P303" s="829" t="s">
        <v>40</v>
      </c>
      <c r="Q303" s="546"/>
      <c r="R303" s="546"/>
      <c r="S303" s="546"/>
      <c r="T303" s="546"/>
      <c r="U303" s="546"/>
      <c r="V303" s="546"/>
      <c r="W303" s="546"/>
      <c r="X303" s="546"/>
      <c r="Y303" s="546"/>
      <c r="Z303" s="546"/>
      <c r="AA303" s="546"/>
      <c r="AB303" s="546"/>
      <c r="AC303" s="546"/>
      <c r="AD303" s="547"/>
      <c r="AE303" s="550">
        <f>237560000+50000000</f>
        <v>287560000</v>
      </c>
      <c r="AF303" s="547"/>
      <c r="AG303" s="547"/>
      <c r="AH303" s="547"/>
      <c r="AI303" s="900">
        <f t="shared" ref="AI303:AI308" si="17">+Q303+R303+S303+T303+U303+V303+W303+X303+Y303+Z303+AA303+AB303+AC303+AD303+AE303+AF303+AG303+AH303</f>
        <v>287560000</v>
      </c>
    </row>
    <row r="304" spans="1:35" s="539" customFormat="1" ht="84.75" customHeight="1" x14ac:dyDescent="0.25">
      <c r="A304" s="919"/>
      <c r="B304" s="541"/>
      <c r="C304" s="827" t="s">
        <v>390</v>
      </c>
      <c r="D304" s="828" t="s">
        <v>391</v>
      </c>
      <c r="E304" s="829" t="s">
        <v>392</v>
      </c>
      <c r="F304" s="829" t="s">
        <v>393</v>
      </c>
      <c r="G304" s="703"/>
      <c r="H304" s="829">
        <v>26</v>
      </c>
      <c r="I304" s="828" t="s">
        <v>404</v>
      </c>
      <c r="J304" s="829" t="s">
        <v>36</v>
      </c>
      <c r="K304" s="651">
        <v>2</v>
      </c>
      <c r="L304" s="651">
        <v>2</v>
      </c>
      <c r="M304" s="1088"/>
      <c r="N304" s="1082"/>
      <c r="O304" s="1088"/>
      <c r="P304" s="829" t="s">
        <v>40</v>
      </c>
      <c r="Q304" s="546"/>
      <c r="R304" s="546"/>
      <c r="S304" s="546"/>
      <c r="T304" s="546"/>
      <c r="U304" s="546"/>
      <c r="V304" s="546"/>
      <c r="W304" s="546"/>
      <c r="X304" s="546"/>
      <c r="Y304" s="546"/>
      <c r="Z304" s="546"/>
      <c r="AA304" s="546"/>
      <c r="AB304" s="546"/>
      <c r="AC304" s="546"/>
      <c r="AD304" s="547"/>
      <c r="AE304" s="550">
        <v>44350000</v>
      </c>
      <c r="AF304" s="547"/>
      <c r="AG304" s="547"/>
      <c r="AH304" s="547"/>
      <c r="AI304" s="900">
        <f t="shared" si="17"/>
        <v>44350000</v>
      </c>
    </row>
    <row r="305" spans="1:35" s="539" customFormat="1" ht="84.75" customHeight="1" x14ac:dyDescent="0.25">
      <c r="A305" s="919"/>
      <c r="B305" s="541"/>
      <c r="C305" s="827" t="s">
        <v>390</v>
      </c>
      <c r="D305" s="828" t="s">
        <v>391</v>
      </c>
      <c r="E305" s="829" t="s">
        <v>392</v>
      </c>
      <c r="F305" s="829" t="s">
        <v>393</v>
      </c>
      <c r="G305" s="703"/>
      <c r="H305" s="829">
        <v>27</v>
      </c>
      <c r="I305" s="828" t="s">
        <v>405</v>
      </c>
      <c r="J305" s="829">
        <v>0</v>
      </c>
      <c r="K305" s="704">
        <f>3+1.5</f>
        <v>4.5</v>
      </c>
      <c r="L305" s="704"/>
      <c r="M305" s="1088"/>
      <c r="N305" s="1082"/>
      <c r="O305" s="1088"/>
      <c r="P305" s="829" t="s">
        <v>40</v>
      </c>
      <c r="Q305" s="546"/>
      <c r="R305" s="546"/>
      <c r="S305" s="546"/>
      <c r="T305" s="546"/>
      <c r="U305" s="546"/>
      <c r="V305" s="546"/>
      <c r="W305" s="546"/>
      <c r="X305" s="546"/>
      <c r="Y305" s="546"/>
      <c r="Z305" s="546"/>
      <c r="AA305" s="546"/>
      <c r="AB305" s="546"/>
      <c r="AC305" s="546"/>
      <c r="AD305" s="547"/>
      <c r="AE305" s="550"/>
      <c r="AF305" s="547"/>
      <c r="AG305" s="547">
        <v>1000000000</v>
      </c>
      <c r="AH305" s="547"/>
      <c r="AI305" s="900">
        <f t="shared" si="17"/>
        <v>1000000000</v>
      </c>
    </row>
    <row r="306" spans="1:35" s="539" customFormat="1" ht="84.75" customHeight="1" x14ac:dyDescent="0.25">
      <c r="A306" s="919"/>
      <c r="B306" s="541"/>
      <c r="C306" s="827" t="s">
        <v>390</v>
      </c>
      <c r="D306" s="828" t="s">
        <v>391</v>
      </c>
      <c r="E306" s="829" t="s">
        <v>392</v>
      </c>
      <c r="F306" s="829" t="s">
        <v>393</v>
      </c>
      <c r="G306" s="703"/>
      <c r="H306" s="829">
        <v>28</v>
      </c>
      <c r="I306" s="828" t="s">
        <v>406</v>
      </c>
      <c r="J306" s="829" t="s">
        <v>36</v>
      </c>
      <c r="K306" s="651">
        <v>2</v>
      </c>
      <c r="L306" s="651">
        <v>2</v>
      </c>
      <c r="M306" s="1088"/>
      <c r="N306" s="1083"/>
      <c r="O306" s="1086"/>
      <c r="P306" s="829" t="s">
        <v>40</v>
      </c>
      <c r="Q306" s="546"/>
      <c r="R306" s="546"/>
      <c r="S306" s="546"/>
      <c r="T306" s="546"/>
      <c r="U306" s="546"/>
      <c r="V306" s="546"/>
      <c r="W306" s="546"/>
      <c r="X306" s="546"/>
      <c r="Y306" s="546"/>
      <c r="Z306" s="546"/>
      <c r="AA306" s="546"/>
      <c r="AB306" s="546"/>
      <c r="AC306" s="546"/>
      <c r="AD306" s="547"/>
      <c r="AE306" s="550">
        <v>33258000</v>
      </c>
      <c r="AF306" s="547"/>
      <c r="AG306" s="547"/>
      <c r="AH306" s="547"/>
      <c r="AI306" s="900">
        <f t="shared" si="17"/>
        <v>33258000</v>
      </c>
    </row>
    <row r="307" spans="1:35" s="539" customFormat="1" ht="84.75" customHeight="1" x14ac:dyDescent="0.25">
      <c r="A307" s="919"/>
      <c r="B307" s="541"/>
      <c r="C307" s="827" t="s">
        <v>390</v>
      </c>
      <c r="D307" s="828" t="s">
        <v>391</v>
      </c>
      <c r="E307" s="829" t="s">
        <v>392</v>
      </c>
      <c r="F307" s="829" t="s">
        <v>393</v>
      </c>
      <c r="G307" s="703"/>
      <c r="H307" s="829">
        <v>29</v>
      </c>
      <c r="I307" s="828" t="s">
        <v>407</v>
      </c>
      <c r="J307" s="829">
        <v>0</v>
      </c>
      <c r="K307" s="651">
        <v>1</v>
      </c>
      <c r="L307" s="704">
        <v>0.5</v>
      </c>
      <c r="M307" s="1088"/>
      <c r="N307" s="818" t="s">
        <v>408</v>
      </c>
      <c r="O307" s="821" t="s">
        <v>409</v>
      </c>
      <c r="P307" s="829" t="s">
        <v>46</v>
      </c>
      <c r="Q307" s="546"/>
      <c r="R307" s="546"/>
      <c r="S307" s="546"/>
      <c r="T307" s="546"/>
      <c r="U307" s="546"/>
      <c r="V307" s="546"/>
      <c r="W307" s="546"/>
      <c r="X307" s="546"/>
      <c r="Y307" s="546"/>
      <c r="Z307" s="546"/>
      <c r="AA307" s="546"/>
      <c r="AB307" s="546"/>
      <c r="AC307" s="546"/>
      <c r="AD307" s="547"/>
      <c r="AE307" s="550">
        <f>22170000+100000000</f>
        <v>122170000</v>
      </c>
      <c r="AF307" s="547"/>
      <c r="AG307" s="547"/>
      <c r="AH307" s="547"/>
      <c r="AI307" s="900">
        <f t="shared" si="17"/>
        <v>122170000</v>
      </c>
    </row>
    <row r="308" spans="1:35" s="539" customFormat="1" ht="84.75" customHeight="1" x14ac:dyDescent="0.25">
      <c r="A308" s="919"/>
      <c r="B308" s="541"/>
      <c r="C308" s="827" t="s">
        <v>390</v>
      </c>
      <c r="D308" s="828" t="s">
        <v>391</v>
      </c>
      <c r="E308" s="829" t="s">
        <v>392</v>
      </c>
      <c r="F308" s="829" t="s">
        <v>393</v>
      </c>
      <c r="G308" s="705"/>
      <c r="H308" s="829">
        <v>30</v>
      </c>
      <c r="I308" s="828" t="s">
        <v>410</v>
      </c>
      <c r="J308" s="829">
        <v>1</v>
      </c>
      <c r="K308" s="651">
        <v>1</v>
      </c>
      <c r="L308" s="651">
        <v>1</v>
      </c>
      <c r="M308" s="1086"/>
      <c r="N308" s="583" t="s">
        <v>411</v>
      </c>
      <c r="O308" s="828" t="s">
        <v>412</v>
      </c>
      <c r="P308" s="829" t="s">
        <v>46</v>
      </c>
      <c r="Q308" s="546"/>
      <c r="R308" s="546"/>
      <c r="S308" s="546"/>
      <c r="T308" s="546"/>
      <c r="U308" s="546"/>
      <c r="V308" s="546"/>
      <c r="W308" s="546"/>
      <c r="X308" s="546"/>
      <c r="Y308" s="546"/>
      <c r="Z308" s="546"/>
      <c r="AA308" s="546"/>
      <c r="AB308" s="546"/>
      <c r="AC308" s="546"/>
      <c r="AD308" s="547"/>
      <c r="AE308" s="550">
        <v>22169913</v>
      </c>
      <c r="AF308" s="546"/>
      <c r="AG308" s="546"/>
      <c r="AH308" s="546"/>
      <c r="AI308" s="900">
        <f t="shared" si="17"/>
        <v>22169913</v>
      </c>
    </row>
    <row r="309" spans="1:35" ht="24.75" customHeight="1" x14ac:dyDescent="0.25">
      <c r="A309" s="917"/>
      <c r="B309" s="144"/>
      <c r="C309" s="845"/>
      <c r="D309" s="161"/>
      <c r="E309" s="845"/>
      <c r="F309" s="845"/>
      <c r="G309" s="336"/>
      <c r="H309" s="366"/>
      <c r="I309" s="367"/>
      <c r="J309" s="368"/>
      <c r="K309" s="369"/>
      <c r="L309" s="369"/>
      <c r="M309" s="368"/>
      <c r="N309" s="598"/>
      <c r="O309" s="367"/>
      <c r="P309" s="368"/>
      <c r="Q309" s="370"/>
      <c r="R309" s="370"/>
      <c r="S309" s="370"/>
      <c r="T309" s="370"/>
      <c r="U309" s="370"/>
      <c r="V309" s="370"/>
      <c r="W309" s="370"/>
      <c r="X309" s="370"/>
      <c r="Y309" s="370">
        <f>SUM(Y303:Y308)</f>
        <v>0</v>
      </c>
      <c r="Z309" s="370"/>
      <c r="AA309" s="370"/>
      <c r="AB309" s="370">
        <f>SUM(AB303:AB308)</f>
        <v>0</v>
      </c>
      <c r="AC309" s="370"/>
      <c r="AD309" s="370"/>
      <c r="AE309" s="370">
        <f>SUM(AE303:AE308)</f>
        <v>509507913</v>
      </c>
      <c r="AF309" s="370">
        <f>SUM(AF303:AF308)</f>
        <v>0</v>
      </c>
      <c r="AG309" s="370">
        <f>SUM(AG303:AG308)</f>
        <v>1000000000</v>
      </c>
      <c r="AH309" s="370">
        <f>SUM(AH303:AH308)</f>
        <v>0</v>
      </c>
      <c r="AI309" s="968">
        <f>SUM(AI303:AI308)</f>
        <v>1509507913</v>
      </c>
    </row>
    <row r="310" spans="1:35" ht="15" x14ac:dyDescent="0.25">
      <c r="A310" s="917"/>
      <c r="B310" s="144"/>
      <c r="C310" s="845"/>
      <c r="D310" s="161"/>
      <c r="E310" s="845"/>
      <c r="F310" s="845"/>
      <c r="G310" s="371"/>
      <c r="H310" s="234"/>
      <c r="I310" s="161"/>
      <c r="J310" s="845"/>
      <c r="K310" s="346"/>
      <c r="L310" s="346"/>
      <c r="M310" s="845"/>
      <c r="N310" s="21"/>
      <c r="O310" s="161"/>
      <c r="P310" s="845"/>
      <c r="Q310" s="12"/>
      <c r="R310" s="163"/>
      <c r="S310" s="12"/>
      <c r="T310" s="12"/>
      <c r="U310" s="12"/>
      <c r="V310" s="12"/>
      <c r="W310" s="12"/>
      <c r="X310" s="12"/>
      <c r="Y310" s="12"/>
      <c r="Z310" s="12"/>
      <c r="AA310" s="12"/>
      <c r="AB310" s="12"/>
      <c r="AC310" s="12"/>
      <c r="AD310" s="12"/>
      <c r="AE310" s="189"/>
      <c r="AF310" s="12"/>
      <c r="AG310" s="12"/>
      <c r="AH310" s="163"/>
      <c r="AI310" s="921"/>
    </row>
    <row r="311" spans="1:35" ht="26.25" customHeight="1" thickBot="1" x14ac:dyDescent="0.3">
      <c r="A311" s="917"/>
      <c r="B311" s="144"/>
      <c r="C311" s="846"/>
      <c r="D311" s="565"/>
      <c r="E311" s="865"/>
      <c r="F311" s="865"/>
      <c r="G311" s="251">
        <v>6</v>
      </c>
      <c r="H311" s="82" t="s">
        <v>413</v>
      </c>
      <c r="I311" s="81"/>
      <c r="J311" s="81"/>
      <c r="K311" s="339"/>
      <c r="L311" s="339"/>
      <c r="M311" s="81"/>
      <c r="N311" s="588"/>
      <c r="O311" s="81"/>
      <c r="P311" s="81"/>
      <c r="Q311" s="176"/>
      <c r="R311" s="176"/>
      <c r="S311" s="176"/>
      <c r="T311" s="176"/>
      <c r="U311" s="176"/>
      <c r="V311" s="176"/>
      <c r="W311" s="176"/>
      <c r="X311" s="176"/>
      <c r="Y311" s="176"/>
      <c r="Z311" s="176"/>
      <c r="AA311" s="176"/>
      <c r="AB311" s="176"/>
      <c r="AC311" s="176"/>
      <c r="AD311" s="176"/>
      <c r="AE311" s="177"/>
      <c r="AF311" s="176"/>
      <c r="AG311" s="176"/>
      <c r="AH311" s="176"/>
      <c r="AI311" s="918"/>
    </row>
    <row r="312" spans="1:35" s="539" customFormat="1" ht="66" customHeight="1" x14ac:dyDescent="0.25">
      <c r="A312" s="919"/>
      <c r="B312" s="541"/>
      <c r="C312" s="824">
        <v>5</v>
      </c>
      <c r="D312" s="816" t="s">
        <v>414</v>
      </c>
      <c r="E312" s="820">
        <v>12.9</v>
      </c>
      <c r="F312" s="820">
        <v>8.9</v>
      </c>
      <c r="G312" s="706"/>
      <c r="H312" s="543">
        <v>31</v>
      </c>
      <c r="I312" s="828" t="s">
        <v>415</v>
      </c>
      <c r="J312" s="829" t="s">
        <v>36</v>
      </c>
      <c r="K312" s="707">
        <v>4</v>
      </c>
      <c r="L312" s="651">
        <v>4</v>
      </c>
      <c r="M312" s="1080" t="s">
        <v>90</v>
      </c>
      <c r="N312" s="1084" t="s">
        <v>416</v>
      </c>
      <c r="O312" s="1080" t="s">
        <v>417</v>
      </c>
      <c r="P312" s="829" t="s">
        <v>46</v>
      </c>
      <c r="Q312" s="546"/>
      <c r="R312" s="546"/>
      <c r="S312" s="546"/>
      <c r="T312" s="546"/>
      <c r="U312" s="546"/>
      <c r="V312" s="546"/>
      <c r="W312" s="546"/>
      <c r="X312" s="546"/>
      <c r="Y312" s="546"/>
      <c r="Z312" s="546"/>
      <c r="AA312" s="546"/>
      <c r="AB312" s="546"/>
      <c r="AC312" s="546"/>
      <c r="AD312" s="546"/>
      <c r="AE312" s="550">
        <v>164708000</v>
      </c>
      <c r="AF312" s="547"/>
      <c r="AG312" s="547"/>
      <c r="AH312" s="547"/>
      <c r="AI312" s="900">
        <f>+Q312+R312+S312+T312+U312+V312+W312+X312+Y312+Z312+AA312+AB312+AC312+AD312+AE312+AF312+AG312+AH312</f>
        <v>164708000</v>
      </c>
    </row>
    <row r="313" spans="1:35" s="539" customFormat="1" ht="45" customHeight="1" x14ac:dyDescent="0.25">
      <c r="A313" s="919"/>
      <c r="B313" s="541"/>
      <c r="C313" s="825">
        <v>6</v>
      </c>
      <c r="D313" s="822" t="s">
        <v>418</v>
      </c>
      <c r="E313" s="823">
        <v>3.4</v>
      </c>
      <c r="F313" s="823">
        <v>4.5999999999999996</v>
      </c>
      <c r="G313" s="706"/>
      <c r="H313" s="543">
        <v>32</v>
      </c>
      <c r="I313" s="828" t="s">
        <v>419</v>
      </c>
      <c r="J313" s="829" t="s">
        <v>36</v>
      </c>
      <c r="K313" s="651">
        <v>25</v>
      </c>
      <c r="L313" s="651">
        <v>20</v>
      </c>
      <c r="M313" s="1087"/>
      <c r="N313" s="1082"/>
      <c r="O313" s="1087"/>
      <c r="P313" s="829" t="s">
        <v>40</v>
      </c>
      <c r="Q313" s="546"/>
      <c r="R313" s="546"/>
      <c r="S313" s="546"/>
      <c r="T313" s="546"/>
      <c r="U313" s="546"/>
      <c r="V313" s="546"/>
      <c r="W313" s="546"/>
      <c r="X313" s="546"/>
      <c r="Y313" s="546"/>
      <c r="Z313" s="546"/>
      <c r="AA313" s="546"/>
      <c r="AB313" s="546"/>
      <c r="AC313" s="546"/>
      <c r="AD313" s="546"/>
      <c r="AE313" s="550">
        <v>250412588</v>
      </c>
      <c r="AF313" s="547"/>
      <c r="AG313" s="547"/>
      <c r="AH313" s="547"/>
      <c r="AI313" s="900">
        <f>+Q313+R313+S313+T313+U313+V313+W313+X313+Y313+Z313+AA313+AB313+AC313+AD313+AE313+AF313+AG313+AH313</f>
        <v>250412588</v>
      </c>
    </row>
    <row r="314" spans="1:35" s="539" customFormat="1" ht="59.25" customHeight="1" x14ac:dyDescent="0.25">
      <c r="A314" s="919"/>
      <c r="B314" s="541"/>
      <c r="C314" s="826">
        <v>7</v>
      </c>
      <c r="D314" s="817" t="s">
        <v>420</v>
      </c>
      <c r="E314" s="821">
        <v>31.7</v>
      </c>
      <c r="F314" s="821">
        <v>27</v>
      </c>
      <c r="G314" s="706"/>
      <c r="H314" s="543">
        <v>33</v>
      </c>
      <c r="I314" s="828" t="s">
        <v>421</v>
      </c>
      <c r="J314" s="829" t="s">
        <v>36</v>
      </c>
      <c r="K314" s="651">
        <v>200</v>
      </c>
      <c r="L314" s="651">
        <v>200</v>
      </c>
      <c r="M314" s="1087"/>
      <c r="N314" s="1082"/>
      <c r="O314" s="1087"/>
      <c r="P314" s="829" t="s">
        <v>40</v>
      </c>
      <c r="Q314" s="708"/>
      <c r="R314" s="546"/>
      <c r="S314" s="546"/>
      <c r="T314" s="546"/>
      <c r="U314" s="546"/>
      <c r="V314" s="546"/>
      <c r="W314" s="546"/>
      <c r="X314" s="546"/>
      <c r="Y314" s="546"/>
      <c r="Z314" s="546"/>
      <c r="AA314" s="546"/>
      <c r="AB314" s="546"/>
      <c r="AC314" s="546"/>
      <c r="AD314" s="546"/>
      <c r="AE314" s="550">
        <v>30000000</v>
      </c>
      <c r="AF314" s="547"/>
      <c r="AG314" s="547"/>
      <c r="AH314" s="547"/>
      <c r="AI314" s="900">
        <f>+Q314+R314+S314+T314+U314+V314+W314+X314+Y314+Z314+AA314+AB314+AC314+AD314+AE314+AF314+AG314+AH314</f>
        <v>30000000</v>
      </c>
    </row>
    <row r="315" spans="1:35" s="539" customFormat="1" ht="97.5" customHeight="1" x14ac:dyDescent="0.25">
      <c r="A315" s="919"/>
      <c r="B315" s="541"/>
      <c r="C315" s="827"/>
      <c r="D315" s="828"/>
      <c r="E315" s="829"/>
      <c r="F315" s="829"/>
      <c r="G315" s="709"/>
      <c r="H315" s="543">
        <v>34</v>
      </c>
      <c r="I315" s="828" t="s">
        <v>422</v>
      </c>
      <c r="J315" s="829" t="s">
        <v>36</v>
      </c>
      <c r="K315" s="651">
        <v>600</v>
      </c>
      <c r="L315" s="651">
        <v>600</v>
      </c>
      <c r="M315" s="1081"/>
      <c r="N315" s="1083"/>
      <c r="O315" s="1081"/>
      <c r="P315" s="829" t="s">
        <v>40</v>
      </c>
      <c r="Q315" s="546"/>
      <c r="R315" s="546"/>
      <c r="S315" s="546"/>
      <c r="T315" s="546"/>
      <c r="U315" s="546"/>
      <c r="V315" s="546"/>
      <c r="W315" s="546"/>
      <c r="X315" s="546"/>
      <c r="Y315" s="546"/>
      <c r="Z315" s="546"/>
      <c r="AA315" s="546"/>
      <c r="AB315" s="546"/>
      <c r="AC315" s="546"/>
      <c r="AD315" s="546"/>
      <c r="AE315" s="550">
        <v>30000000</v>
      </c>
      <c r="AF315" s="547"/>
      <c r="AG315" s="547"/>
      <c r="AH315" s="547"/>
      <c r="AI315" s="900">
        <f>+Q315+R315+S315+T315+U315+V315+W315+X315+Y315+Z315+AA315+AB315+AC315+AD315+AE315+AF315+AG315+AH315</f>
        <v>30000000</v>
      </c>
    </row>
    <row r="316" spans="1:35" ht="26.25" customHeight="1" x14ac:dyDescent="0.25">
      <c r="A316" s="917"/>
      <c r="B316" s="144"/>
      <c r="C316" s="1132"/>
      <c r="D316" s="1132"/>
      <c r="E316" s="1132"/>
      <c r="F316" s="1133"/>
      <c r="G316" s="299"/>
      <c r="H316" s="149"/>
      <c r="I316" s="299"/>
      <c r="J316" s="299"/>
      <c r="K316" s="373"/>
      <c r="L316" s="373"/>
      <c r="M316" s="299"/>
      <c r="N316" s="599"/>
      <c r="O316" s="299"/>
      <c r="P316" s="149"/>
      <c r="Q316" s="374"/>
      <c r="R316" s="374"/>
      <c r="S316" s="374"/>
      <c r="T316" s="374"/>
      <c r="U316" s="374"/>
      <c r="V316" s="374"/>
      <c r="W316" s="374"/>
      <c r="X316" s="374"/>
      <c r="Y316" s="374">
        <f>SUM(Y312:Y315)</f>
        <v>0</v>
      </c>
      <c r="Z316" s="374"/>
      <c r="AA316" s="374"/>
      <c r="AB316" s="374">
        <f>SUM(AB312:AB315)</f>
        <v>0</v>
      </c>
      <c r="AC316" s="374"/>
      <c r="AD316" s="374"/>
      <c r="AE316" s="374">
        <f>SUM(AE312:AE315)</f>
        <v>475120588</v>
      </c>
      <c r="AF316" s="374"/>
      <c r="AG316" s="374"/>
      <c r="AH316" s="374"/>
      <c r="AI316" s="969">
        <f>SUM(AI312:AI315)</f>
        <v>475120588</v>
      </c>
    </row>
    <row r="317" spans="1:35" ht="15" x14ac:dyDescent="0.25">
      <c r="A317" s="917"/>
      <c r="B317" s="144"/>
      <c r="C317" s="845"/>
      <c r="D317" s="845"/>
      <c r="E317" s="845"/>
      <c r="F317" s="845"/>
      <c r="G317" s="203"/>
      <c r="H317" s="162"/>
      <c r="I317" s="203"/>
      <c r="J317" s="203"/>
      <c r="K317" s="203"/>
      <c r="L317" s="203"/>
      <c r="M317" s="203"/>
      <c r="N317" s="600"/>
      <c r="O317" s="203"/>
      <c r="P317" s="162"/>
      <c r="Q317" s="375"/>
      <c r="R317" s="376"/>
      <c r="S317" s="375"/>
      <c r="T317" s="375"/>
      <c r="U317" s="375"/>
      <c r="V317" s="375"/>
      <c r="W317" s="375"/>
      <c r="X317" s="375"/>
      <c r="Y317" s="375"/>
      <c r="Z317" s="375"/>
      <c r="AA317" s="375"/>
      <c r="AB317" s="375"/>
      <c r="AC317" s="375"/>
      <c r="AD317" s="375"/>
      <c r="AE317" s="189"/>
      <c r="AF317" s="375"/>
      <c r="AG317" s="375"/>
      <c r="AH317" s="376"/>
      <c r="AI317" s="970" t="s">
        <v>0</v>
      </c>
    </row>
    <row r="318" spans="1:35" ht="24.75" customHeight="1" x14ac:dyDescent="0.25">
      <c r="A318" s="917"/>
      <c r="B318" s="144"/>
      <c r="C318" s="845"/>
      <c r="D318" s="845"/>
      <c r="E318" s="845"/>
      <c r="F318" s="846"/>
      <c r="G318" s="377">
        <v>7</v>
      </c>
      <c r="H318" s="82" t="s">
        <v>423</v>
      </c>
      <c r="I318" s="81"/>
      <c r="J318" s="81"/>
      <c r="K318" s="81"/>
      <c r="L318" s="81"/>
      <c r="M318" s="81"/>
      <c r="N318" s="588"/>
      <c r="O318" s="81"/>
      <c r="P318" s="81"/>
      <c r="Q318" s="176"/>
      <c r="R318" s="176"/>
      <c r="S318" s="176"/>
      <c r="T318" s="176"/>
      <c r="U318" s="176"/>
      <c r="V318" s="176"/>
      <c r="W318" s="176"/>
      <c r="X318" s="176"/>
      <c r="Y318" s="176"/>
      <c r="Z318" s="176"/>
      <c r="AA318" s="176"/>
      <c r="AB318" s="176"/>
      <c r="AC318" s="176"/>
      <c r="AD318" s="176"/>
      <c r="AE318" s="177"/>
      <c r="AF318" s="176"/>
      <c r="AG318" s="176"/>
      <c r="AH318" s="176"/>
      <c r="AI318" s="918"/>
    </row>
    <row r="319" spans="1:35" s="539" customFormat="1" ht="93.75" customHeight="1" x14ac:dyDescent="0.25">
      <c r="A319" s="919"/>
      <c r="B319" s="541"/>
      <c r="C319" s="827" t="s">
        <v>390</v>
      </c>
      <c r="D319" s="828" t="s">
        <v>391</v>
      </c>
      <c r="E319" s="829" t="s">
        <v>392</v>
      </c>
      <c r="F319" s="829" t="s">
        <v>393</v>
      </c>
      <c r="G319" s="549"/>
      <c r="H319" s="829">
        <v>35</v>
      </c>
      <c r="I319" s="828" t="s">
        <v>424</v>
      </c>
      <c r="J319" s="829">
        <v>0</v>
      </c>
      <c r="K319" s="710">
        <v>5</v>
      </c>
      <c r="L319" s="620">
        <v>4</v>
      </c>
      <c r="M319" s="1085" t="s">
        <v>90</v>
      </c>
      <c r="N319" s="1084" t="s">
        <v>425</v>
      </c>
      <c r="O319" s="1080" t="s">
        <v>426</v>
      </c>
      <c r="P319" s="829" t="s">
        <v>46</v>
      </c>
      <c r="Q319" s="546"/>
      <c r="R319" s="546"/>
      <c r="S319" s="546"/>
      <c r="T319" s="546"/>
      <c r="U319" s="546"/>
      <c r="V319" s="546"/>
      <c r="W319" s="546"/>
      <c r="X319" s="546"/>
      <c r="Y319" s="546"/>
      <c r="Z319" s="546"/>
      <c r="AA319" s="546"/>
      <c r="AB319" s="546"/>
      <c r="AC319" s="546"/>
      <c r="AD319" s="546"/>
      <c r="AE319" s="559">
        <f>69684000-20000000</f>
        <v>49684000</v>
      </c>
      <c r="AF319" s="547"/>
      <c r="AG319" s="547"/>
      <c r="AH319" s="547"/>
      <c r="AI319" s="900">
        <f>+Q319+R319+S319+T319+U319+V319+W319+X319+Y319+Z319+AA319+AB319+AC319+AD319+AE319+AF319+AG319+AH319</f>
        <v>49684000</v>
      </c>
    </row>
    <row r="320" spans="1:35" s="539" customFormat="1" ht="93.75" customHeight="1" x14ac:dyDescent="0.25">
      <c r="A320" s="919"/>
      <c r="B320" s="541"/>
      <c r="C320" s="827" t="s">
        <v>390</v>
      </c>
      <c r="D320" s="828" t="s">
        <v>391</v>
      </c>
      <c r="E320" s="829" t="s">
        <v>392</v>
      </c>
      <c r="F320" s="829" t="s">
        <v>393</v>
      </c>
      <c r="G320" s="624"/>
      <c r="H320" s="829">
        <v>37</v>
      </c>
      <c r="I320" s="828" t="s">
        <v>427</v>
      </c>
      <c r="J320" s="829">
        <v>0</v>
      </c>
      <c r="K320" s="620">
        <v>1</v>
      </c>
      <c r="L320" s="776">
        <v>0.85</v>
      </c>
      <c r="M320" s="1086"/>
      <c r="N320" s="1083"/>
      <c r="O320" s="1081"/>
      <c r="P320" s="829" t="s">
        <v>46</v>
      </c>
      <c r="Q320" s="546"/>
      <c r="R320" s="546"/>
      <c r="S320" s="546"/>
      <c r="T320" s="546"/>
      <c r="U320" s="546"/>
      <c r="V320" s="546"/>
      <c r="W320" s="546"/>
      <c r="X320" s="546"/>
      <c r="Y320" s="546"/>
      <c r="Z320" s="546"/>
      <c r="AA320" s="546"/>
      <c r="AB320" s="546"/>
      <c r="AC320" s="546"/>
      <c r="AD320" s="546"/>
      <c r="AE320" s="548">
        <f>128282912+20000000</f>
        <v>148282912</v>
      </c>
      <c r="AF320" s="547"/>
      <c r="AG320" s="547"/>
      <c r="AH320" s="547"/>
      <c r="AI320" s="900">
        <f>+Q320+R320+S320+T320+U320+V320+W320+X320+Y320+Z320+AA320+AB320+AC320+AD320+AE320+AF320+AG320+AH320</f>
        <v>148282912</v>
      </c>
    </row>
    <row r="321" spans="1:35" ht="26.25" customHeight="1" x14ac:dyDescent="0.25">
      <c r="A321" s="917"/>
      <c r="B321" s="146"/>
      <c r="C321" s="846"/>
      <c r="D321" s="565"/>
      <c r="E321" s="865"/>
      <c r="F321" s="865"/>
      <c r="G321" s="147"/>
      <c r="H321" s="148"/>
      <c r="I321" s="147"/>
      <c r="J321" s="148"/>
      <c r="K321" s="378"/>
      <c r="L321" s="378"/>
      <c r="M321" s="148"/>
      <c r="N321" s="584"/>
      <c r="O321" s="147"/>
      <c r="P321" s="148"/>
      <c r="Q321" s="150"/>
      <c r="R321" s="150"/>
      <c r="S321" s="150"/>
      <c r="T321" s="150"/>
      <c r="U321" s="150"/>
      <c r="V321" s="150"/>
      <c r="W321" s="150"/>
      <c r="X321" s="150"/>
      <c r="Y321" s="150">
        <f>SUM(Y319:Y320)</f>
        <v>0</v>
      </c>
      <c r="Z321" s="150"/>
      <c r="AA321" s="150"/>
      <c r="AB321" s="150">
        <f>SUM(AB319:AB320)</f>
        <v>0</v>
      </c>
      <c r="AC321" s="150"/>
      <c r="AD321" s="150"/>
      <c r="AE321" s="150">
        <f>SUM(AE319:AE320)</f>
        <v>197966912</v>
      </c>
      <c r="AF321" s="150"/>
      <c r="AG321" s="150"/>
      <c r="AH321" s="150"/>
      <c r="AI321" s="904">
        <f>SUM(AI319:AI320)</f>
        <v>197966912</v>
      </c>
    </row>
    <row r="322" spans="1:35" ht="24" customHeight="1" x14ac:dyDescent="0.25">
      <c r="A322" s="917"/>
      <c r="B322" s="379"/>
      <c r="C322" s="214"/>
      <c r="D322" s="213"/>
      <c r="E322" s="214"/>
      <c r="F322" s="214" t="s">
        <v>428</v>
      </c>
      <c r="G322" s="213"/>
      <c r="H322" s="214"/>
      <c r="I322" s="213"/>
      <c r="J322" s="214"/>
      <c r="K322" s="380"/>
      <c r="L322" s="380"/>
      <c r="M322" s="214"/>
      <c r="N322" s="601"/>
      <c r="O322" s="213"/>
      <c r="P322" s="214"/>
      <c r="Q322" s="381"/>
      <c r="R322" s="381"/>
      <c r="S322" s="381"/>
      <c r="T322" s="381"/>
      <c r="U322" s="381"/>
      <c r="V322" s="381"/>
      <c r="W322" s="381"/>
      <c r="X322" s="381"/>
      <c r="Y322" s="381">
        <f>Y321+Y316+Y309+Y300</f>
        <v>0</v>
      </c>
      <c r="Z322" s="381"/>
      <c r="AA322" s="381"/>
      <c r="AB322" s="381">
        <f>AB321+AB316+AB309+AB300</f>
        <v>0</v>
      </c>
      <c r="AC322" s="381"/>
      <c r="AD322" s="381"/>
      <c r="AE322" s="381">
        <f>AE321+AE316+AE309+AE300</f>
        <v>1546854531</v>
      </c>
      <c r="AF322" s="381">
        <f>AF321+AF316+AF309+AF300</f>
        <v>0</v>
      </c>
      <c r="AG322" s="381">
        <f>AG321+AG316+AG309+AG300</f>
        <v>1000000000</v>
      </c>
      <c r="AH322" s="381">
        <f>AH321+AH316+AH309+AH300</f>
        <v>0</v>
      </c>
      <c r="AI322" s="971">
        <f>AI321+AI316+AI309+AI300</f>
        <v>2546854531</v>
      </c>
    </row>
    <row r="323" spans="1:35" s="24" customFormat="1" ht="29.25" customHeight="1" x14ac:dyDescent="0.25">
      <c r="A323" s="907"/>
      <c r="B323" s="155"/>
      <c r="C323" s="67"/>
      <c r="D323" s="155"/>
      <c r="E323" s="67"/>
      <c r="F323" s="67"/>
      <c r="G323" s="155"/>
      <c r="H323" s="67"/>
      <c r="I323" s="155"/>
      <c r="J323" s="67"/>
      <c r="K323" s="382"/>
      <c r="L323" s="382"/>
      <c r="M323" s="67"/>
      <c r="N323" s="586"/>
      <c r="O323" s="155"/>
      <c r="P323" s="67"/>
      <c r="Q323" s="157"/>
      <c r="R323" s="157"/>
      <c r="S323" s="157"/>
      <c r="T323" s="157"/>
      <c r="U323" s="157"/>
      <c r="V323" s="157"/>
      <c r="W323" s="157"/>
      <c r="X323" s="157"/>
      <c r="Y323" s="157">
        <f>Y322</f>
        <v>0</v>
      </c>
      <c r="Z323" s="157"/>
      <c r="AA323" s="157"/>
      <c r="AB323" s="157">
        <f>AB322</f>
        <v>0</v>
      </c>
      <c r="AC323" s="157"/>
      <c r="AD323" s="157"/>
      <c r="AE323" s="157">
        <f>AE322</f>
        <v>1546854531</v>
      </c>
      <c r="AF323" s="157">
        <f>AF322</f>
        <v>0</v>
      </c>
      <c r="AG323" s="157">
        <f>AG322</f>
        <v>1000000000</v>
      </c>
      <c r="AH323" s="157">
        <f>AH322</f>
        <v>0</v>
      </c>
      <c r="AI323" s="908">
        <f>AI322</f>
        <v>2546854531</v>
      </c>
    </row>
    <row r="324" spans="1:35" s="24" customFormat="1" ht="20.25" x14ac:dyDescent="0.25">
      <c r="A324" s="972"/>
      <c r="B324" s="294"/>
      <c r="C324" s="567"/>
      <c r="D324" s="294"/>
      <c r="E324" s="567"/>
      <c r="F324" s="567"/>
      <c r="G324" s="294"/>
      <c r="H324" s="567"/>
      <c r="I324" s="294"/>
      <c r="J324" s="567"/>
      <c r="K324" s="383"/>
      <c r="L324" s="383"/>
      <c r="M324" s="567"/>
      <c r="N324" s="931"/>
      <c r="O324" s="927"/>
      <c r="P324" s="567"/>
      <c r="Q324" s="280"/>
      <c r="R324" s="297"/>
      <c r="S324" s="280"/>
      <c r="T324" s="280"/>
      <c r="U324" s="280"/>
      <c r="V324" s="280"/>
      <c r="W324" s="280"/>
      <c r="X324" s="280"/>
      <c r="Y324" s="280"/>
      <c r="Z324" s="280"/>
      <c r="AA324" s="280"/>
      <c r="AB324" s="280"/>
      <c r="AC324" s="280"/>
      <c r="AD324" s="280"/>
      <c r="AE324" s="281"/>
      <c r="AF324" s="280"/>
      <c r="AG324" s="280"/>
      <c r="AH324" s="297"/>
      <c r="AI324" s="950"/>
    </row>
    <row r="325" spans="1:35" s="24" customFormat="1" ht="20.25" x14ac:dyDescent="0.25">
      <c r="A325" s="893">
        <v>3</v>
      </c>
      <c r="B325" s="77" t="s">
        <v>429</v>
      </c>
      <c r="C325" s="139"/>
      <c r="D325" s="77"/>
      <c r="E325" s="77"/>
      <c r="F325" s="77"/>
      <c r="G325" s="77"/>
      <c r="H325" s="139"/>
      <c r="I325" s="77"/>
      <c r="J325" s="77"/>
      <c r="K325" s="243"/>
      <c r="L325" s="243"/>
      <c r="M325" s="77"/>
      <c r="N325" s="14"/>
      <c r="O325" s="77"/>
      <c r="P325" s="77"/>
      <c r="Q325" s="166"/>
      <c r="R325" s="166"/>
      <c r="S325" s="166"/>
      <c r="T325" s="166"/>
      <c r="U325" s="166"/>
      <c r="V325" s="166"/>
      <c r="W325" s="166"/>
      <c r="X325" s="166"/>
      <c r="Y325" s="166"/>
      <c r="Z325" s="166"/>
      <c r="AA325" s="166"/>
      <c r="AB325" s="166"/>
      <c r="AC325" s="166"/>
      <c r="AD325" s="166"/>
      <c r="AE325" s="167"/>
      <c r="AF325" s="166"/>
      <c r="AG325" s="166"/>
      <c r="AH325" s="166"/>
      <c r="AI325" s="914"/>
    </row>
    <row r="326" spans="1:35" s="24" customFormat="1" ht="20.25" x14ac:dyDescent="0.25">
      <c r="A326" s="915"/>
      <c r="B326" s="232">
        <v>11</v>
      </c>
      <c r="C326" s="837" t="s">
        <v>430</v>
      </c>
      <c r="D326" s="87"/>
      <c r="E326" s="87"/>
      <c r="F326" s="87"/>
      <c r="G326" s="87"/>
      <c r="H326" s="838"/>
      <c r="I326" s="87"/>
      <c r="J326" s="87"/>
      <c r="K326" s="204"/>
      <c r="L326" s="204"/>
      <c r="M326" s="87"/>
      <c r="N326" s="15"/>
      <c r="O326" s="87"/>
      <c r="P326" s="87"/>
      <c r="Q326" s="169"/>
      <c r="R326" s="169"/>
      <c r="S326" s="169"/>
      <c r="T326" s="169"/>
      <c r="U326" s="169"/>
      <c r="V326" s="169"/>
      <c r="W326" s="169"/>
      <c r="X326" s="169"/>
      <c r="Y326" s="169"/>
      <c r="Z326" s="169"/>
      <c r="AA326" s="169"/>
      <c r="AB326" s="169"/>
      <c r="AC326" s="169"/>
      <c r="AD326" s="169"/>
      <c r="AE326" s="170"/>
      <c r="AF326" s="169"/>
      <c r="AG326" s="169"/>
      <c r="AH326" s="169"/>
      <c r="AI326" s="916"/>
    </row>
    <row r="327" spans="1:35" s="24" customFormat="1" ht="20.25" x14ac:dyDescent="0.25">
      <c r="A327" s="917"/>
      <c r="B327" s="320"/>
      <c r="C327" s="865"/>
      <c r="D327" s="161"/>
      <c r="E327" s="845"/>
      <c r="F327" s="846"/>
      <c r="G327" s="336">
        <v>34</v>
      </c>
      <c r="H327" s="78" t="s">
        <v>431</v>
      </c>
      <c r="I327" s="81"/>
      <c r="J327" s="81"/>
      <c r="K327" s="207"/>
      <c r="L327" s="207"/>
      <c r="M327" s="81"/>
      <c r="N327" s="588"/>
      <c r="O327" s="81"/>
      <c r="P327" s="81"/>
      <c r="Q327" s="176"/>
      <c r="R327" s="176"/>
      <c r="S327" s="176"/>
      <c r="T327" s="176"/>
      <c r="U327" s="176"/>
      <c r="V327" s="176"/>
      <c r="W327" s="176"/>
      <c r="X327" s="176"/>
      <c r="Y327" s="176"/>
      <c r="Z327" s="176"/>
      <c r="AA327" s="176"/>
      <c r="AB327" s="176"/>
      <c r="AC327" s="176"/>
      <c r="AD327" s="176"/>
      <c r="AE327" s="177"/>
      <c r="AF327" s="176"/>
      <c r="AG327" s="176"/>
      <c r="AH327" s="176"/>
      <c r="AI327" s="918"/>
    </row>
    <row r="328" spans="1:35" s="539" customFormat="1" ht="55.5" customHeight="1" x14ac:dyDescent="0.25">
      <c r="A328" s="919"/>
      <c r="B328" s="685"/>
      <c r="C328" s="829">
        <v>23</v>
      </c>
      <c r="D328" s="828" t="s">
        <v>432</v>
      </c>
      <c r="E328" s="711">
        <v>0.92</v>
      </c>
      <c r="F328" s="711">
        <v>0.85</v>
      </c>
      <c r="G328" s="542"/>
      <c r="H328" s="829">
        <v>122</v>
      </c>
      <c r="I328" s="828" t="s">
        <v>433</v>
      </c>
      <c r="J328" s="829">
        <v>0</v>
      </c>
      <c r="K328" s="620">
        <v>1</v>
      </c>
      <c r="L328" s="620">
        <v>1</v>
      </c>
      <c r="M328" s="1085" t="s">
        <v>434</v>
      </c>
      <c r="N328" s="1084" t="s">
        <v>435</v>
      </c>
      <c r="O328" s="1080" t="s">
        <v>436</v>
      </c>
      <c r="P328" s="676" t="s">
        <v>46</v>
      </c>
      <c r="Q328" s="546"/>
      <c r="R328" s="546"/>
      <c r="S328" s="546"/>
      <c r="T328" s="546"/>
      <c r="U328" s="546"/>
      <c r="V328" s="546"/>
      <c r="W328" s="546"/>
      <c r="X328" s="546"/>
      <c r="Y328" s="546"/>
      <c r="Z328" s="546"/>
      <c r="AA328" s="546"/>
      <c r="AB328" s="546"/>
      <c r="AC328" s="546"/>
      <c r="AD328" s="546"/>
      <c r="AE328" s="550">
        <v>41423530</v>
      </c>
      <c r="AF328" s="547"/>
      <c r="AG328" s="547"/>
      <c r="AH328" s="547"/>
      <c r="AI328" s="900">
        <f>+Q328+R328+S328+T328+U328+V328+W328+X328+Y328+Z328+AA328+AB328+AC328+AD328+AE328+AF328+AG328+AH328</f>
        <v>41423530</v>
      </c>
    </row>
    <row r="329" spans="1:35" s="539" customFormat="1" ht="75" customHeight="1" x14ac:dyDescent="0.25">
      <c r="A329" s="919"/>
      <c r="B329" s="685"/>
      <c r="C329" s="829"/>
      <c r="D329" s="828"/>
      <c r="E329" s="711"/>
      <c r="F329" s="711"/>
      <c r="G329" s="549"/>
      <c r="H329" s="829">
        <v>123</v>
      </c>
      <c r="I329" s="828" t="s">
        <v>437</v>
      </c>
      <c r="J329" s="829" t="s">
        <v>36</v>
      </c>
      <c r="K329" s="620">
        <v>4</v>
      </c>
      <c r="L329" s="775">
        <v>2.5</v>
      </c>
      <c r="M329" s="1088"/>
      <c r="N329" s="1082"/>
      <c r="O329" s="1087"/>
      <c r="P329" s="676" t="s">
        <v>46</v>
      </c>
      <c r="Q329" s="655"/>
      <c r="R329" s="655"/>
      <c r="S329" s="655"/>
      <c r="T329" s="655"/>
      <c r="U329" s="655"/>
      <c r="V329" s="655"/>
      <c r="W329" s="655"/>
      <c r="X329" s="655"/>
      <c r="Y329" s="655"/>
      <c r="Z329" s="655"/>
      <c r="AA329" s="655"/>
      <c r="AB329" s="655"/>
      <c r="AC329" s="655"/>
      <c r="AD329" s="712"/>
      <c r="AE329" s="550">
        <f>19000000-100000</f>
        <v>18900000</v>
      </c>
      <c r="AF329" s="712"/>
      <c r="AG329" s="712"/>
      <c r="AH329" s="712"/>
      <c r="AI329" s="900">
        <f>+Q329+R329+S329+T329+U329+V329+W329+X329+Y329+Z329+AA329+AB329+AC329+AD329+AE329+AF329+AG329+AH329</f>
        <v>18900000</v>
      </c>
    </row>
    <row r="330" spans="1:35" s="539" customFormat="1" ht="66.75" customHeight="1" x14ac:dyDescent="0.25">
      <c r="A330" s="919"/>
      <c r="B330" s="685"/>
      <c r="C330" s="829"/>
      <c r="D330" s="828"/>
      <c r="E330" s="711"/>
      <c r="F330" s="711"/>
      <c r="G330" s="549"/>
      <c r="H330" s="829">
        <v>124</v>
      </c>
      <c r="I330" s="828" t="s">
        <v>438</v>
      </c>
      <c r="J330" s="829">
        <v>40</v>
      </c>
      <c r="K330" s="620">
        <v>150</v>
      </c>
      <c r="L330" s="775">
        <v>49.8</v>
      </c>
      <c r="M330" s="1088"/>
      <c r="N330" s="1082"/>
      <c r="O330" s="1087"/>
      <c r="P330" s="676" t="s">
        <v>40</v>
      </c>
      <c r="Q330" s="655"/>
      <c r="R330" s="655"/>
      <c r="S330" s="655"/>
      <c r="T330" s="655"/>
      <c r="U330" s="655"/>
      <c r="V330" s="655"/>
      <c r="W330" s="655"/>
      <c r="X330" s="655"/>
      <c r="Y330" s="655"/>
      <c r="Z330" s="655"/>
      <c r="AA330" s="655"/>
      <c r="AB330" s="655"/>
      <c r="AC330" s="655"/>
      <c r="AD330" s="712"/>
      <c r="AE330" s="550">
        <v>44350000</v>
      </c>
      <c r="AF330" s="712"/>
      <c r="AG330" s="712"/>
      <c r="AH330" s="712"/>
      <c r="AI330" s="900">
        <f>+Q330+R330+S330+T330+U330+V330+W330+X330+Y330+Z330+AA330+AB330+AC330+AD330+AE330+AF330+AG330+AH330</f>
        <v>44350000</v>
      </c>
    </row>
    <row r="331" spans="1:35" s="539" customFormat="1" ht="42.75" x14ac:dyDescent="0.25">
      <c r="A331" s="919"/>
      <c r="B331" s="685"/>
      <c r="C331" s="829"/>
      <c r="D331" s="828"/>
      <c r="E331" s="711"/>
      <c r="F331" s="711"/>
      <c r="G331" s="549"/>
      <c r="H331" s="829">
        <v>126</v>
      </c>
      <c r="I331" s="828" t="s">
        <v>439</v>
      </c>
      <c r="J331" s="829" t="s">
        <v>36</v>
      </c>
      <c r="K331" s="620">
        <v>3326</v>
      </c>
      <c r="L331" s="620">
        <v>939</v>
      </c>
      <c r="M331" s="1088"/>
      <c r="N331" s="1082"/>
      <c r="O331" s="1087"/>
      <c r="P331" s="676" t="s">
        <v>46</v>
      </c>
      <c r="Q331" s="655"/>
      <c r="R331" s="655"/>
      <c r="S331" s="655"/>
      <c r="T331" s="655"/>
      <c r="U331" s="655"/>
      <c r="V331" s="655"/>
      <c r="W331" s="655"/>
      <c r="X331" s="655"/>
      <c r="Y331" s="655"/>
      <c r="Z331" s="655"/>
      <c r="AA331" s="655"/>
      <c r="AB331" s="655"/>
      <c r="AC331" s="655"/>
      <c r="AD331" s="655"/>
      <c r="AE331" s="550">
        <f>19500000+100000</f>
        <v>19600000</v>
      </c>
      <c r="AF331" s="712"/>
      <c r="AG331" s="712"/>
      <c r="AH331" s="712"/>
      <c r="AI331" s="900">
        <f>+Q331+R331+S331+T331+U331+V331+W331+X331+Y331+Z331+AA331+AB331+AC331+AD331+AE331+AF331+AG331+AH331</f>
        <v>19600000</v>
      </c>
    </row>
    <row r="332" spans="1:35" s="539" customFormat="1" ht="65.25" customHeight="1" x14ac:dyDescent="0.25">
      <c r="A332" s="919"/>
      <c r="B332" s="685"/>
      <c r="C332" s="829">
        <v>23</v>
      </c>
      <c r="D332" s="828" t="s">
        <v>432</v>
      </c>
      <c r="E332" s="711">
        <v>0.92</v>
      </c>
      <c r="F332" s="711">
        <v>0.85</v>
      </c>
      <c r="G332" s="624"/>
      <c r="H332" s="829">
        <v>125</v>
      </c>
      <c r="I332" s="828" t="s">
        <v>440</v>
      </c>
      <c r="J332" s="543">
        <v>1200</v>
      </c>
      <c r="K332" s="544">
        <v>760</v>
      </c>
      <c r="L332" s="544">
        <v>655</v>
      </c>
      <c r="M332" s="1086"/>
      <c r="N332" s="1083"/>
      <c r="O332" s="1081"/>
      <c r="P332" s="820" t="s">
        <v>40</v>
      </c>
      <c r="Q332" s="655"/>
      <c r="R332" s="655"/>
      <c r="S332" s="655"/>
      <c r="T332" s="655"/>
      <c r="U332" s="655"/>
      <c r="V332" s="655"/>
      <c r="W332" s="655"/>
      <c r="X332" s="655"/>
      <c r="Y332" s="655"/>
      <c r="Z332" s="655"/>
      <c r="AA332" s="655"/>
      <c r="AB332" s="655"/>
      <c r="AC332" s="655"/>
      <c r="AD332" s="712"/>
      <c r="AE332" s="550">
        <v>44100000</v>
      </c>
      <c r="AF332" s="712"/>
      <c r="AG332" s="712"/>
      <c r="AH332" s="712"/>
      <c r="AI332" s="900">
        <f>+Q332+R332+S332+T332+U332+V332+W332+X332+Y332+Z332+AA332+AB332+AC332+AD332+AE332+AF332+AG332+AH332</f>
        <v>44100000</v>
      </c>
    </row>
    <row r="333" spans="1:35" ht="24.95" customHeight="1" x14ac:dyDescent="0.25">
      <c r="A333" s="917"/>
      <c r="B333" s="326"/>
      <c r="C333" s="851"/>
      <c r="D333" s="832"/>
      <c r="E333" s="851"/>
      <c r="F333" s="851"/>
      <c r="G333" s="208"/>
      <c r="H333" s="209"/>
      <c r="I333" s="208"/>
      <c r="J333" s="209"/>
      <c r="K333" s="386"/>
      <c r="L333" s="386"/>
      <c r="M333" s="209"/>
      <c r="N333" s="593"/>
      <c r="O333" s="208"/>
      <c r="P333" s="209"/>
      <c r="Q333" s="225"/>
      <c r="R333" s="225"/>
      <c r="S333" s="225"/>
      <c r="T333" s="225"/>
      <c r="U333" s="225"/>
      <c r="V333" s="225"/>
      <c r="W333" s="225"/>
      <c r="X333" s="225"/>
      <c r="Y333" s="225">
        <f>SUM(Y328:Y332)</f>
        <v>0</v>
      </c>
      <c r="Z333" s="225"/>
      <c r="AA333" s="225"/>
      <c r="AB333" s="225">
        <f>SUM(AB328:AB332)</f>
        <v>0</v>
      </c>
      <c r="AC333" s="225"/>
      <c r="AD333" s="225"/>
      <c r="AE333" s="225">
        <f>SUM(AE328:AE332)</f>
        <v>168373530</v>
      </c>
      <c r="AF333" s="225"/>
      <c r="AG333" s="225"/>
      <c r="AH333" s="225"/>
      <c r="AI333" s="925">
        <f>SUM(AI328:AI332)</f>
        <v>168373530</v>
      </c>
    </row>
    <row r="334" spans="1:35" ht="24.95" customHeight="1" x14ac:dyDescent="0.25">
      <c r="A334" s="938"/>
      <c r="B334" s="379"/>
      <c r="C334" s="214"/>
      <c r="D334" s="213"/>
      <c r="E334" s="214"/>
      <c r="F334" s="214"/>
      <c r="G334" s="213"/>
      <c r="H334" s="214"/>
      <c r="I334" s="213"/>
      <c r="J334" s="214"/>
      <c r="K334" s="380"/>
      <c r="L334" s="380"/>
      <c r="M334" s="214"/>
      <c r="N334" s="601"/>
      <c r="O334" s="213"/>
      <c r="P334" s="214"/>
      <c r="Q334" s="381"/>
      <c r="R334" s="381"/>
      <c r="S334" s="381"/>
      <c r="T334" s="381"/>
      <c r="U334" s="381"/>
      <c r="V334" s="381"/>
      <c r="W334" s="381"/>
      <c r="X334" s="381"/>
      <c r="Y334" s="381">
        <f>Y333</f>
        <v>0</v>
      </c>
      <c r="Z334" s="381"/>
      <c r="AA334" s="381"/>
      <c r="AB334" s="381">
        <f>AB333</f>
        <v>0</v>
      </c>
      <c r="AC334" s="381"/>
      <c r="AD334" s="381"/>
      <c r="AE334" s="381">
        <f t="shared" ref="AE334:AH335" si="18">AE333</f>
        <v>168373530</v>
      </c>
      <c r="AF334" s="381">
        <f t="shared" si="18"/>
        <v>0</v>
      </c>
      <c r="AG334" s="381">
        <f t="shared" si="18"/>
        <v>0</v>
      </c>
      <c r="AH334" s="381">
        <f t="shared" si="18"/>
        <v>0</v>
      </c>
      <c r="AI334" s="971">
        <f t="shared" ref="AI334:AI335" si="19">AI333</f>
        <v>168373530</v>
      </c>
    </row>
    <row r="335" spans="1:35" ht="24.95" customHeight="1" x14ac:dyDescent="0.25">
      <c r="A335" s="973"/>
      <c r="B335" s="291"/>
      <c r="C335" s="292"/>
      <c r="D335" s="291"/>
      <c r="E335" s="292"/>
      <c r="F335" s="292"/>
      <c r="G335" s="291"/>
      <c r="H335" s="292"/>
      <c r="I335" s="291"/>
      <c r="J335" s="292"/>
      <c r="K335" s="387"/>
      <c r="L335" s="387"/>
      <c r="M335" s="292"/>
      <c r="N335" s="602"/>
      <c r="O335" s="291"/>
      <c r="P335" s="292"/>
      <c r="Q335" s="388"/>
      <c r="R335" s="388"/>
      <c r="S335" s="388"/>
      <c r="T335" s="388"/>
      <c r="U335" s="388"/>
      <c r="V335" s="388"/>
      <c r="W335" s="388"/>
      <c r="X335" s="388"/>
      <c r="Y335" s="388">
        <f>Y334</f>
        <v>0</v>
      </c>
      <c r="Z335" s="388"/>
      <c r="AA335" s="388"/>
      <c r="AB335" s="388">
        <f>AB334</f>
        <v>0</v>
      </c>
      <c r="AC335" s="388"/>
      <c r="AD335" s="388"/>
      <c r="AE335" s="388">
        <f t="shared" si="18"/>
        <v>168373530</v>
      </c>
      <c r="AF335" s="388">
        <f t="shared" si="18"/>
        <v>0</v>
      </c>
      <c r="AG335" s="388">
        <f t="shared" si="18"/>
        <v>0</v>
      </c>
      <c r="AH335" s="388">
        <f t="shared" si="18"/>
        <v>0</v>
      </c>
      <c r="AI335" s="974">
        <f t="shared" si="19"/>
        <v>168373530</v>
      </c>
    </row>
    <row r="336" spans="1:35" ht="24.95" customHeight="1" x14ac:dyDescent="0.25">
      <c r="A336" s="909"/>
      <c r="B336" s="158"/>
      <c r="C336" s="159"/>
      <c r="D336" s="158"/>
      <c r="E336" s="159"/>
      <c r="F336" s="159"/>
      <c r="G336" s="158"/>
      <c r="H336" s="159"/>
      <c r="I336" s="158"/>
      <c r="J336" s="160"/>
      <c r="K336" s="241"/>
      <c r="L336" s="241"/>
      <c r="M336" s="160"/>
      <c r="N336" s="587"/>
      <c r="O336" s="158"/>
      <c r="P336" s="159"/>
      <c r="Q336" s="11"/>
      <c r="R336" s="11"/>
      <c r="S336" s="11"/>
      <c r="T336" s="11"/>
      <c r="U336" s="11"/>
      <c r="V336" s="11"/>
      <c r="W336" s="11"/>
      <c r="X336" s="11"/>
      <c r="Y336" s="11">
        <f>+Y335+Y323+Y291</f>
        <v>0</v>
      </c>
      <c r="Z336" s="11"/>
      <c r="AA336" s="11"/>
      <c r="AB336" s="11">
        <f>+AB335+AB323+AB291</f>
        <v>0</v>
      </c>
      <c r="AC336" s="11"/>
      <c r="AD336" s="11"/>
      <c r="AE336" s="11">
        <f>+AE335+AE323+AE291</f>
        <v>3764794686</v>
      </c>
      <c r="AF336" s="11">
        <f>+AF335+AF323+AF291</f>
        <v>0</v>
      </c>
      <c r="AG336" s="11">
        <f>+AG335+AG323+AG291</f>
        <v>1000000000</v>
      </c>
      <c r="AH336" s="11">
        <f>+AH335+AH323+AH291</f>
        <v>0</v>
      </c>
      <c r="AI336" s="910">
        <f>+AI335+AI323+AI291</f>
        <v>4764794686</v>
      </c>
    </row>
    <row r="337" spans="1:35" ht="29.25" customHeight="1" x14ac:dyDescent="0.25">
      <c r="A337" s="911"/>
      <c r="B337" s="161"/>
      <c r="C337" s="845"/>
      <c r="D337" s="161"/>
      <c r="E337" s="845"/>
      <c r="F337" s="845"/>
      <c r="G337" s="161"/>
      <c r="H337" s="845"/>
      <c r="I337" s="161"/>
      <c r="J337" s="162"/>
      <c r="K337" s="188"/>
      <c r="L337" s="188"/>
      <c r="M337" s="162"/>
      <c r="N337" s="21"/>
      <c r="O337" s="161"/>
      <c r="P337" s="845"/>
      <c r="Q337" s="12"/>
      <c r="R337" s="163"/>
      <c r="S337" s="12"/>
      <c r="T337" s="12"/>
      <c r="U337" s="12"/>
      <c r="V337" s="12"/>
      <c r="W337" s="12"/>
      <c r="X337" s="12"/>
      <c r="Y337" s="12"/>
      <c r="Z337" s="12"/>
      <c r="AA337" s="12"/>
      <c r="AB337" s="12"/>
      <c r="AC337" s="12"/>
      <c r="AD337" s="12"/>
      <c r="AE337" s="64"/>
      <c r="AF337" s="12"/>
      <c r="AG337" s="12" t="s">
        <v>0</v>
      </c>
      <c r="AH337" s="12"/>
      <c r="AI337" s="921"/>
    </row>
    <row r="338" spans="1:35" ht="24.95" customHeight="1" x14ac:dyDescent="0.25">
      <c r="A338" s="891" t="s">
        <v>441</v>
      </c>
      <c r="B338" s="22"/>
      <c r="C338" s="23"/>
      <c r="D338" s="22"/>
      <c r="E338" s="22"/>
      <c r="F338" s="22"/>
      <c r="G338" s="22"/>
      <c r="H338" s="23"/>
      <c r="I338" s="22"/>
      <c r="J338" s="22"/>
      <c r="K338" s="29"/>
      <c r="L338" s="29"/>
      <c r="M338" s="22"/>
      <c r="N338" s="13"/>
      <c r="O338" s="22"/>
      <c r="P338" s="23"/>
      <c r="Q338" s="164"/>
      <c r="R338" s="164"/>
      <c r="S338" s="164"/>
      <c r="T338" s="164"/>
      <c r="U338" s="164"/>
      <c r="V338" s="164"/>
      <c r="W338" s="164"/>
      <c r="X338" s="164"/>
      <c r="Y338" s="164"/>
      <c r="Z338" s="164"/>
      <c r="AA338" s="164"/>
      <c r="AB338" s="164"/>
      <c r="AC338" s="164"/>
      <c r="AD338" s="164"/>
      <c r="AE338" s="165"/>
      <c r="AF338" s="164"/>
      <c r="AG338" s="164"/>
      <c r="AH338" s="164"/>
      <c r="AI338" s="913" t="s">
        <v>0</v>
      </c>
    </row>
    <row r="339" spans="1:35" ht="24.95" customHeight="1" x14ac:dyDescent="0.25">
      <c r="A339" s="893">
        <v>5</v>
      </c>
      <c r="B339" s="77" t="s">
        <v>30</v>
      </c>
      <c r="C339" s="139"/>
      <c r="D339" s="77"/>
      <c r="E339" s="77"/>
      <c r="F339" s="77"/>
      <c r="G339" s="77"/>
      <c r="H339" s="139"/>
      <c r="I339" s="77"/>
      <c r="J339" s="77"/>
      <c r="K339" s="243"/>
      <c r="L339" s="243"/>
      <c r="M339" s="77"/>
      <c r="N339" s="14"/>
      <c r="O339" s="77"/>
      <c r="P339" s="77"/>
      <c r="Q339" s="166"/>
      <c r="R339" s="166"/>
      <c r="S339" s="166"/>
      <c r="T339" s="166"/>
      <c r="U339" s="166"/>
      <c r="V339" s="166"/>
      <c r="W339" s="166"/>
      <c r="X339" s="166"/>
      <c r="Y339" s="166"/>
      <c r="Z339" s="166"/>
      <c r="AA339" s="166"/>
      <c r="AB339" s="166"/>
      <c r="AC339" s="166"/>
      <c r="AD339" s="166"/>
      <c r="AE339" s="167"/>
      <c r="AF339" s="166"/>
      <c r="AG339" s="166"/>
      <c r="AH339" s="166"/>
      <c r="AI339" s="914"/>
    </row>
    <row r="340" spans="1:35" s="24" customFormat="1" ht="24.95" customHeight="1" x14ac:dyDescent="0.25">
      <c r="A340" s="915"/>
      <c r="B340" s="232">
        <v>26</v>
      </c>
      <c r="C340" s="837" t="s">
        <v>58</v>
      </c>
      <c r="D340" s="87"/>
      <c r="E340" s="87"/>
      <c r="F340" s="87"/>
      <c r="G340" s="87"/>
      <c r="H340" s="838"/>
      <c r="I340" s="87"/>
      <c r="J340" s="87"/>
      <c r="K340" s="204"/>
      <c r="L340" s="204"/>
      <c r="M340" s="87"/>
      <c r="N340" s="15"/>
      <c r="O340" s="87"/>
      <c r="P340" s="87"/>
      <c r="Q340" s="169"/>
      <c r="R340" s="169"/>
      <c r="S340" s="169"/>
      <c r="T340" s="169"/>
      <c r="U340" s="169"/>
      <c r="V340" s="169"/>
      <c r="W340" s="169"/>
      <c r="X340" s="169"/>
      <c r="Y340" s="169"/>
      <c r="Z340" s="169"/>
      <c r="AA340" s="169"/>
      <c r="AB340" s="169"/>
      <c r="AC340" s="169"/>
      <c r="AD340" s="169"/>
      <c r="AE340" s="170"/>
      <c r="AF340" s="169"/>
      <c r="AG340" s="169"/>
      <c r="AH340" s="169"/>
      <c r="AI340" s="916"/>
    </row>
    <row r="341" spans="1:35" s="24" customFormat="1" ht="24.95" customHeight="1" x14ac:dyDescent="0.25">
      <c r="A341" s="917"/>
      <c r="B341" s="172"/>
      <c r="C341" s="845"/>
      <c r="D341" s="161"/>
      <c r="E341" s="845"/>
      <c r="F341" s="846"/>
      <c r="G341" s="336">
        <v>83</v>
      </c>
      <c r="H341" s="81" t="s">
        <v>59</v>
      </c>
      <c r="I341" s="81"/>
      <c r="J341" s="81"/>
      <c r="K341" s="207"/>
      <c r="L341" s="207"/>
      <c r="M341" s="81"/>
      <c r="N341" s="88"/>
      <c r="O341" s="81"/>
      <c r="P341" s="81"/>
      <c r="Q341" s="176"/>
      <c r="R341" s="176"/>
      <c r="S341" s="176"/>
      <c r="T341" s="176"/>
      <c r="U341" s="176"/>
      <c r="V341" s="176"/>
      <c r="W341" s="176"/>
      <c r="X341" s="176"/>
      <c r="Y341" s="176"/>
      <c r="Z341" s="176"/>
      <c r="AA341" s="176"/>
      <c r="AB341" s="176"/>
      <c r="AC341" s="176"/>
      <c r="AD341" s="176"/>
      <c r="AE341" s="177"/>
      <c r="AF341" s="176"/>
      <c r="AG341" s="176"/>
      <c r="AH341" s="176"/>
      <c r="AI341" s="918"/>
    </row>
    <row r="342" spans="1:35" s="539" customFormat="1" ht="94.5" customHeight="1" x14ac:dyDescent="0.25">
      <c r="A342" s="919"/>
      <c r="B342" s="541"/>
      <c r="C342" s="827">
        <v>37</v>
      </c>
      <c r="D342" s="828" t="s">
        <v>442</v>
      </c>
      <c r="E342" s="829" t="s">
        <v>443</v>
      </c>
      <c r="F342" s="829">
        <v>60</v>
      </c>
      <c r="G342" s="542"/>
      <c r="H342" s="829">
        <v>244</v>
      </c>
      <c r="I342" s="828" t="s">
        <v>444</v>
      </c>
      <c r="J342" s="543" t="s">
        <v>36</v>
      </c>
      <c r="K342" s="544">
        <v>12</v>
      </c>
      <c r="L342" s="544">
        <v>8</v>
      </c>
      <c r="M342" s="545" t="s">
        <v>445</v>
      </c>
      <c r="N342" s="619" t="s">
        <v>446</v>
      </c>
      <c r="O342" s="828" t="s">
        <v>447</v>
      </c>
      <c r="P342" s="829" t="s">
        <v>40</v>
      </c>
      <c r="Q342" s="546"/>
      <c r="R342" s="546"/>
      <c r="S342" s="546"/>
      <c r="T342" s="546"/>
      <c r="U342" s="546"/>
      <c r="V342" s="546"/>
      <c r="W342" s="546"/>
      <c r="X342" s="546"/>
      <c r="Y342" s="546"/>
      <c r="Z342" s="546"/>
      <c r="AA342" s="546"/>
      <c r="AB342" s="546"/>
      <c r="AC342" s="546"/>
      <c r="AD342" s="547"/>
      <c r="AE342" s="550">
        <f>400000000+50000000</f>
        <v>450000000</v>
      </c>
      <c r="AF342" s="547"/>
      <c r="AG342" s="547"/>
      <c r="AH342" s="547"/>
      <c r="AI342" s="900">
        <f>+Q342+R342+S342+T342+U342+V342+W342+X342+Y342+Z342+AA342+AB342+AC342+AD342+AE342+AF342+AG342+AH342</f>
        <v>450000000</v>
      </c>
    </row>
    <row r="343" spans="1:35" s="539" customFormat="1" ht="84.75" customHeight="1" x14ac:dyDescent="0.25">
      <c r="A343" s="919"/>
      <c r="B343" s="541"/>
      <c r="C343" s="827">
        <v>37</v>
      </c>
      <c r="D343" s="828" t="s">
        <v>448</v>
      </c>
      <c r="E343" s="829" t="s">
        <v>443</v>
      </c>
      <c r="F343" s="829">
        <v>60</v>
      </c>
      <c r="G343" s="624"/>
      <c r="H343" s="829">
        <v>245</v>
      </c>
      <c r="I343" s="828" t="s">
        <v>449</v>
      </c>
      <c r="J343" s="543" t="s">
        <v>36</v>
      </c>
      <c r="K343" s="544">
        <v>1</v>
      </c>
      <c r="L343" s="759">
        <v>0.64</v>
      </c>
      <c r="M343" s="545" t="s">
        <v>445</v>
      </c>
      <c r="N343" s="619" t="s">
        <v>450</v>
      </c>
      <c r="O343" s="828" t="s">
        <v>451</v>
      </c>
      <c r="P343" s="829" t="s">
        <v>46</v>
      </c>
      <c r="Q343" s="546"/>
      <c r="R343" s="546"/>
      <c r="S343" s="546"/>
      <c r="T343" s="546"/>
      <c r="U343" s="546"/>
      <c r="V343" s="546"/>
      <c r="W343" s="546"/>
      <c r="X343" s="546"/>
      <c r="Y343" s="546"/>
      <c r="Z343" s="546"/>
      <c r="AA343" s="546"/>
      <c r="AB343" s="546"/>
      <c r="AC343" s="546"/>
      <c r="AD343" s="547"/>
      <c r="AE343" s="550">
        <v>40000000</v>
      </c>
      <c r="AF343" s="547"/>
      <c r="AG343" s="547"/>
      <c r="AH343" s="547"/>
      <c r="AI343" s="900">
        <f>+Q343+R343+S343+T343+U343+V343+W343+X343+Y343+Z343+AA343+AB343+AC343+AD343+AE343+AF343+AG343+AH343</f>
        <v>40000000</v>
      </c>
    </row>
    <row r="344" spans="1:35" ht="15" customHeight="1" x14ac:dyDescent="0.25">
      <c r="A344" s="917"/>
      <c r="B344" s="146"/>
      <c r="C344" s="846"/>
      <c r="D344" s="565"/>
      <c r="E344" s="865"/>
      <c r="F344" s="865"/>
      <c r="G344" s="147"/>
      <c r="H344" s="148"/>
      <c r="I344" s="147"/>
      <c r="J344" s="149"/>
      <c r="K344" s="389"/>
      <c r="L344" s="389"/>
      <c r="M344" s="149"/>
      <c r="N344" s="584"/>
      <c r="O344" s="147"/>
      <c r="P344" s="148"/>
      <c r="Q344" s="150"/>
      <c r="R344" s="150"/>
      <c r="S344" s="150"/>
      <c r="T344" s="150"/>
      <c r="U344" s="150"/>
      <c r="V344" s="150"/>
      <c r="W344" s="150"/>
      <c r="X344" s="150"/>
      <c r="Y344" s="150"/>
      <c r="Z344" s="150"/>
      <c r="AA344" s="150"/>
      <c r="AB344" s="150"/>
      <c r="AC344" s="150"/>
      <c r="AD344" s="150"/>
      <c r="AE344" s="54">
        <f>SUM(AE342:AE343)</f>
        <v>490000000</v>
      </c>
      <c r="AF344" s="150"/>
      <c r="AG344" s="150"/>
      <c r="AH344" s="150"/>
      <c r="AI344" s="904">
        <f>SUM(AI342:AI343)</f>
        <v>490000000</v>
      </c>
    </row>
    <row r="345" spans="1:35" ht="15" customHeight="1" x14ac:dyDescent="0.25">
      <c r="A345" s="917"/>
      <c r="B345" s="210"/>
      <c r="C345" s="152"/>
      <c r="D345" s="151"/>
      <c r="E345" s="152"/>
      <c r="F345" s="152"/>
      <c r="G345" s="151"/>
      <c r="H345" s="152"/>
      <c r="I345" s="151"/>
      <c r="J345" s="153"/>
      <c r="K345" s="226"/>
      <c r="L345" s="226"/>
      <c r="M345" s="153"/>
      <c r="N345" s="585"/>
      <c r="O345" s="151"/>
      <c r="P345" s="152"/>
      <c r="Q345" s="154"/>
      <c r="R345" s="154"/>
      <c r="S345" s="154"/>
      <c r="T345" s="154"/>
      <c r="U345" s="154"/>
      <c r="V345" s="154"/>
      <c r="W345" s="154"/>
      <c r="X345" s="154"/>
      <c r="Y345" s="154"/>
      <c r="Z345" s="154"/>
      <c r="AA345" s="154"/>
      <c r="AB345" s="154"/>
      <c r="AC345" s="154"/>
      <c r="AD345" s="154"/>
      <c r="AE345" s="238">
        <f>AE344</f>
        <v>490000000</v>
      </c>
      <c r="AF345" s="154"/>
      <c r="AG345" s="154"/>
      <c r="AH345" s="154"/>
      <c r="AI345" s="906">
        <f>AI344</f>
        <v>490000000</v>
      </c>
    </row>
    <row r="346" spans="1:35" ht="15" customHeight="1" x14ac:dyDescent="0.25">
      <c r="A346" s="917"/>
      <c r="B346" s="161"/>
      <c r="C346" s="845"/>
      <c r="D346" s="161"/>
      <c r="E346" s="845"/>
      <c r="F346" s="845"/>
      <c r="G346" s="161"/>
      <c r="H346" s="845"/>
      <c r="I346" s="161"/>
      <c r="J346" s="162"/>
      <c r="K346" s="390"/>
      <c r="L346" s="390"/>
      <c r="M346" s="162"/>
      <c r="N346" s="21"/>
      <c r="O346" s="161"/>
      <c r="P346" s="845"/>
      <c r="Q346" s="12"/>
      <c r="R346" s="12"/>
      <c r="S346" s="12"/>
      <c r="T346" s="12"/>
      <c r="U346" s="12"/>
      <c r="V346" s="12"/>
      <c r="W346" s="12"/>
      <c r="X346" s="12"/>
      <c r="Y346" s="12"/>
      <c r="Z346" s="12"/>
      <c r="AA346" s="12"/>
      <c r="AB346" s="12"/>
      <c r="AC346" s="12"/>
      <c r="AD346" s="12"/>
      <c r="AE346" s="189"/>
      <c r="AF346" s="12"/>
      <c r="AG346" s="12"/>
      <c r="AH346" s="12"/>
      <c r="AI346" s="921"/>
    </row>
    <row r="347" spans="1:35" ht="15.75" customHeight="1" x14ac:dyDescent="0.25">
      <c r="A347" s="917"/>
      <c r="B347" s="232">
        <v>28</v>
      </c>
      <c r="C347" s="838" t="s">
        <v>31</v>
      </c>
      <c r="D347" s="87"/>
      <c r="E347" s="87"/>
      <c r="F347" s="87"/>
      <c r="G347" s="87"/>
      <c r="H347" s="838"/>
      <c r="I347" s="87"/>
      <c r="J347" s="87"/>
      <c r="K347" s="233"/>
      <c r="L347" s="233"/>
      <c r="M347" s="87"/>
      <c r="N347" s="15"/>
      <c r="O347" s="87"/>
      <c r="P347" s="87"/>
      <c r="Q347" s="169"/>
      <c r="R347" s="169"/>
      <c r="S347" s="169"/>
      <c r="T347" s="169"/>
      <c r="U347" s="169"/>
      <c r="V347" s="169"/>
      <c r="W347" s="169"/>
      <c r="X347" s="169"/>
      <c r="Y347" s="169"/>
      <c r="Z347" s="169"/>
      <c r="AA347" s="169"/>
      <c r="AB347" s="169"/>
      <c r="AC347" s="169"/>
      <c r="AD347" s="169"/>
      <c r="AE347" s="170"/>
      <c r="AF347" s="169"/>
      <c r="AG347" s="169"/>
      <c r="AH347" s="169"/>
      <c r="AI347" s="916"/>
    </row>
    <row r="348" spans="1:35" ht="15" customHeight="1" x14ac:dyDescent="0.25">
      <c r="A348" s="917"/>
      <c r="B348" s="172"/>
      <c r="C348" s="845"/>
      <c r="D348" s="161"/>
      <c r="E348" s="845"/>
      <c r="F348" s="846"/>
      <c r="G348" s="336">
        <v>89</v>
      </c>
      <c r="H348" s="81" t="s">
        <v>32</v>
      </c>
      <c r="I348" s="81"/>
      <c r="J348" s="81"/>
      <c r="K348" s="235"/>
      <c r="L348" s="235"/>
      <c r="M348" s="81"/>
      <c r="N348" s="88"/>
      <c r="O348" s="81"/>
      <c r="P348" s="81"/>
      <c r="Q348" s="176"/>
      <c r="R348" s="176"/>
      <c r="S348" s="176"/>
      <c r="T348" s="176"/>
      <c r="U348" s="176"/>
      <c r="V348" s="176"/>
      <c r="W348" s="176"/>
      <c r="X348" s="176"/>
      <c r="Y348" s="176"/>
      <c r="Z348" s="176"/>
      <c r="AA348" s="176"/>
      <c r="AB348" s="176"/>
      <c r="AC348" s="176"/>
      <c r="AD348" s="176"/>
      <c r="AE348" s="177"/>
      <c r="AF348" s="176"/>
      <c r="AG348" s="176"/>
      <c r="AH348" s="176"/>
      <c r="AI348" s="918"/>
    </row>
    <row r="349" spans="1:35" s="539" customFormat="1" ht="102.75" customHeight="1" x14ac:dyDescent="0.25">
      <c r="A349" s="919"/>
      <c r="B349" s="541"/>
      <c r="C349" s="827">
        <v>37</v>
      </c>
      <c r="D349" s="828" t="s">
        <v>442</v>
      </c>
      <c r="E349" s="829" t="s">
        <v>443</v>
      </c>
      <c r="F349" s="829">
        <v>60</v>
      </c>
      <c r="G349" s="828"/>
      <c r="H349" s="829">
        <v>288</v>
      </c>
      <c r="I349" s="828" t="s">
        <v>452</v>
      </c>
      <c r="J349" s="543">
        <v>1</v>
      </c>
      <c r="K349" s="544">
        <v>1</v>
      </c>
      <c r="L349" s="758">
        <v>0.6</v>
      </c>
      <c r="M349" s="545" t="s">
        <v>445</v>
      </c>
      <c r="N349" s="619" t="s">
        <v>453</v>
      </c>
      <c r="O349" s="828" t="s">
        <v>454</v>
      </c>
      <c r="P349" s="829" t="s">
        <v>46</v>
      </c>
      <c r="Q349" s="546"/>
      <c r="R349" s="546"/>
      <c r="S349" s="546"/>
      <c r="T349" s="546"/>
      <c r="U349" s="546"/>
      <c r="V349" s="546"/>
      <c r="W349" s="546"/>
      <c r="X349" s="546"/>
      <c r="Y349" s="546"/>
      <c r="Z349" s="546"/>
      <c r="AA349" s="546"/>
      <c r="AB349" s="546"/>
      <c r="AC349" s="546"/>
      <c r="AD349" s="546"/>
      <c r="AE349" s="550">
        <f>613092662+850000000</f>
        <v>1463092662</v>
      </c>
      <c r="AF349" s="547"/>
      <c r="AG349" s="547"/>
      <c r="AH349" s="547"/>
      <c r="AI349" s="900">
        <f>+Q349+R349+S349+T349+U349+V349+W349+X349+Y349+Z349+AA349+AB349+AC349+AD349+AE349+AF349+AG349+AH349</f>
        <v>1463092662</v>
      </c>
    </row>
    <row r="350" spans="1:35" ht="24.95" customHeight="1" x14ac:dyDescent="0.25">
      <c r="A350" s="917"/>
      <c r="B350" s="146"/>
      <c r="C350" s="846"/>
      <c r="D350" s="565"/>
      <c r="E350" s="865"/>
      <c r="F350" s="865"/>
      <c r="G350" s="147"/>
      <c r="H350" s="148"/>
      <c r="I350" s="147"/>
      <c r="J350" s="149"/>
      <c r="K350" s="389"/>
      <c r="L350" s="389"/>
      <c r="M350" s="149"/>
      <c r="N350" s="584"/>
      <c r="O350" s="147"/>
      <c r="P350" s="148"/>
      <c r="Q350" s="150"/>
      <c r="R350" s="150"/>
      <c r="S350" s="150"/>
      <c r="T350" s="150"/>
      <c r="U350" s="150"/>
      <c r="V350" s="150"/>
      <c r="W350" s="150"/>
      <c r="X350" s="150"/>
      <c r="Y350" s="150"/>
      <c r="Z350" s="150"/>
      <c r="AA350" s="150"/>
      <c r="AB350" s="150"/>
      <c r="AC350" s="150"/>
      <c r="AD350" s="150"/>
      <c r="AE350" s="54">
        <f>SUM(AE349)</f>
        <v>1463092662</v>
      </c>
      <c r="AF350" s="54"/>
      <c r="AG350" s="54"/>
      <c r="AH350" s="54"/>
      <c r="AI350" s="975">
        <f>SUM(AI349)</f>
        <v>1463092662</v>
      </c>
    </row>
    <row r="351" spans="1:35" ht="24.95" customHeight="1" x14ac:dyDescent="0.25">
      <c r="A351" s="938"/>
      <c r="B351" s="210"/>
      <c r="C351" s="152"/>
      <c r="D351" s="151"/>
      <c r="E351" s="152"/>
      <c r="F351" s="152"/>
      <c r="G351" s="151"/>
      <c r="H351" s="152"/>
      <c r="I351" s="151"/>
      <c r="J351" s="153"/>
      <c r="K351" s="226"/>
      <c r="L351" s="226"/>
      <c r="M351" s="153"/>
      <c r="N351" s="585"/>
      <c r="O351" s="151"/>
      <c r="P351" s="152"/>
      <c r="Q351" s="154"/>
      <c r="R351" s="154"/>
      <c r="S351" s="154"/>
      <c r="T351" s="154"/>
      <c r="U351" s="154"/>
      <c r="V351" s="154"/>
      <c r="W351" s="154"/>
      <c r="X351" s="154"/>
      <c r="Y351" s="154"/>
      <c r="Z351" s="154"/>
      <c r="AA351" s="154"/>
      <c r="AB351" s="154"/>
      <c r="AC351" s="154"/>
      <c r="AD351" s="154"/>
      <c r="AE351" s="238">
        <f>AE350</f>
        <v>1463092662</v>
      </c>
      <c r="AF351" s="238">
        <f>AF350</f>
        <v>0</v>
      </c>
      <c r="AG351" s="238">
        <f>AG350</f>
        <v>0</v>
      </c>
      <c r="AH351" s="238">
        <f>AH350</f>
        <v>0</v>
      </c>
      <c r="AI351" s="976">
        <f>AI350</f>
        <v>1463092662</v>
      </c>
    </row>
    <row r="352" spans="1:35" ht="24.95" customHeight="1" x14ac:dyDescent="0.25">
      <c r="A352" s="907"/>
      <c r="B352" s="155"/>
      <c r="C352" s="67"/>
      <c r="D352" s="155"/>
      <c r="E352" s="67"/>
      <c r="F352" s="67"/>
      <c r="G352" s="155"/>
      <c r="H352" s="67"/>
      <c r="I352" s="155"/>
      <c r="J352" s="156"/>
      <c r="K352" s="227"/>
      <c r="L352" s="227"/>
      <c r="M352" s="156"/>
      <c r="N352" s="586"/>
      <c r="O352" s="155"/>
      <c r="P352" s="67"/>
      <c r="Q352" s="157"/>
      <c r="R352" s="157"/>
      <c r="S352" s="157"/>
      <c r="T352" s="157"/>
      <c r="U352" s="157"/>
      <c r="V352" s="157"/>
      <c r="W352" s="157"/>
      <c r="X352" s="157"/>
      <c r="Y352" s="157"/>
      <c r="Z352" s="157"/>
      <c r="AA352" s="157"/>
      <c r="AB352" s="157"/>
      <c r="AC352" s="157"/>
      <c r="AD352" s="157"/>
      <c r="AE352" s="240">
        <f>AE351+AE345</f>
        <v>1953092662</v>
      </c>
      <c r="AF352" s="240">
        <f>AF351+AF345</f>
        <v>0</v>
      </c>
      <c r="AG352" s="240">
        <f>AG351+AG345</f>
        <v>0</v>
      </c>
      <c r="AH352" s="240">
        <f>AH351+AH345</f>
        <v>0</v>
      </c>
      <c r="AI352" s="977">
        <f>AI351+AI345</f>
        <v>1953092662</v>
      </c>
    </row>
    <row r="353" spans="1:35" ht="24.95" customHeight="1" x14ac:dyDescent="0.25">
      <c r="A353" s="909"/>
      <c r="B353" s="158"/>
      <c r="C353" s="159"/>
      <c r="D353" s="158"/>
      <c r="E353" s="159"/>
      <c r="F353" s="159"/>
      <c r="G353" s="158"/>
      <c r="H353" s="159"/>
      <c r="I353" s="158"/>
      <c r="J353" s="160"/>
      <c r="K353" s="228"/>
      <c r="L353" s="228"/>
      <c r="M353" s="160"/>
      <c r="N353" s="587"/>
      <c r="O353" s="158"/>
      <c r="P353" s="159"/>
      <c r="Q353" s="11"/>
      <c r="R353" s="11"/>
      <c r="S353" s="11"/>
      <c r="T353" s="11"/>
      <c r="U353" s="11"/>
      <c r="V353" s="11"/>
      <c r="W353" s="11"/>
      <c r="X353" s="11"/>
      <c r="Y353" s="11"/>
      <c r="Z353" s="11"/>
      <c r="AA353" s="11"/>
      <c r="AB353" s="11"/>
      <c r="AC353" s="11"/>
      <c r="AD353" s="11"/>
      <c r="AE353" s="242">
        <f>AE352</f>
        <v>1953092662</v>
      </c>
      <c r="AF353" s="242">
        <f>AF352</f>
        <v>0</v>
      </c>
      <c r="AG353" s="242">
        <f>AG352</f>
        <v>0</v>
      </c>
      <c r="AH353" s="242">
        <f>AH352</f>
        <v>0</v>
      </c>
      <c r="AI353" s="978">
        <f>AI352</f>
        <v>1953092662</v>
      </c>
    </row>
    <row r="354" spans="1:35" ht="29.25" customHeight="1" x14ac:dyDescent="0.25">
      <c r="A354" s="911"/>
      <c r="B354" s="161"/>
      <c r="C354" s="845"/>
      <c r="D354" s="161"/>
      <c r="E354" s="845"/>
      <c r="F354" s="845"/>
      <c r="G354" s="161"/>
      <c r="H354" s="845"/>
      <c r="I354" s="161"/>
      <c r="J354" s="162"/>
      <c r="K354" s="390"/>
      <c r="L354" s="390"/>
      <c r="M354" s="162"/>
      <c r="N354" s="21"/>
      <c r="O354" s="161"/>
      <c r="P354" s="845"/>
      <c r="Q354" s="12"/>
      <c r="R354" s="12"/>
      <c r="S354" s="12"/>
      <c r="T354" s="12"/>
      <c r="U354" s="12"/>
      <c r="V354" s="12"/>
      <c r="W354" s="12"/>
      <c r="X354" s="12"/>
      <c r="Y354" s="12"/>
      <c r="Z354" s="12"/>
      <c r="AA354" s="163"/>
      <c r="AB354" s="163"/>
      <c r="AC354" s="12"/>
      <c r="AD354" s="12"/>
      <c r="AE354" s="64"/>
      <c r="AF354" s="12"/>
      <c r="AG354" s="12" t="s">
        <v>0</v>
      </c>
      <c r="AH354" s="12"/>
      <c r="AI354" s="979"/>
    </row>
    <row r="355" spans="1:35" ht="24.95" customHeight="1" x14ac:dyDescent="0.25">
      <c r="A355" s="891" t="s">
        <v>455</v>
      </c>
      <c r="B355" s="22"/>
      <c r="C355" s="23"/>
      <c r="D355" s="22"/>
      <c r="E355" s="22"/>
      <c r="F355" s="22"/>
      <c r="G355" s="22"/>
      <c r="H355" s="23"/>
      <c r="I355" s="22"/>
      <c r="J355" s="22"/>
      <c r="K355" s="36"/>
      <c r="L355" s="36"/>
      <c r="M355" s="22"/>
      <c r="N355" s="13"/>
      <c r="O355" s="22"/>
      <c r="P355" s="23"/>
      <c r="Q355" s="164"/>
      <c r="R355" s="164"/>
      <c r="S355" s="164"/>
      <c r="T355" s="164"/>
      <c r="U355" s="164"/>
      <c r="V355" s="164"/>
      <c r="W355" s="164"/>
      <c r="X355" s="164"/>
      <c r="Y355" s="164"/>
      <c r="Z355" s="164"/>
      <c r="AA355" s="164"/>
      <c r="AB355" s="164"/>
      <c r="AC355" s="164"/>
      <c r="AD355" s="164"/>
      <c r="AE355" s="165"/>
      <c r="AF355" s="164"/>
      <c r="AG355" s="164"/>
      <c r="AH355" s="164"/>
      <c r="AI355" s="913" t="s">
        <v>0</v>
      </c>
    </row>
    <row r="356" spans="1:35" ht="24.95" customHeight="1" x14ac:dyDescent="0.25">
      <c r="A356" s="893">
        <v>3</v>
      </c>
      <c r="B356" s="77" t="s">
        <v>246</v>
      </c>
      <c r="C356" s="139"/>
      <c r="D356" s="77"/>
      <c r="E356" s="77"/>
      <c r="F356" s="77"/>
      <c r="G356" s="77"/>
      <c r="H356" s="139"/>
      <c r="I356" s="77"/>
      <c r="J356" s="77"/>
      <c r="K356" s="231"/>
      <c r="L356" s="231"/>
      <c r="M356" s="77"/>
      <c r="N356" s="14"/>
      <c r="O356" s="77"/>
      <c r="P356" s="77"/>
      <c r="Q356" s="166"/>
      <c r="R356" s="166"/>
      <c r="S356" s="166"/>
      <c r="T356" s="166"/>
      <c r="U356" s="166"/>
      <c r="V356" s="166"/>
      <c r="W356" s="166"/>
      <c r="X356" s="166"/>
      <c r="Y356" s="166"/>
      <c r="Z356" s="166"/>
      <c r="AA356" s="166"/>
      <c r="AB356" s="166"/>
      <c r="AC356" s="166"/>
      <c r="AD356" s="166"/>
      <c r="AE356" s="167"/>
      <c r="AF356" s="166"/>
      <c r="AG356" s="166"/>
      <c r="AH356" s="166"/>
      <c r="AI356" s="914"/>
    </row>
    <row r="357" spans="1:35" ht="24.95" customHeight="1" x14ac:dyDescent="0.25">
      <c r="A357" s="915"/>
      <c r="B357" s="232">
        <v>5</v>
      </c>
      <c r="C357" s="837" t="s">
        <v>456</v>
      </c>
      <c r="D357" s="87"/>
      <c r="E357" s="87"/>
      <c r="F357" s="87"/>
      <c r="G357" s="87"/>
      <c r="H357" s="838"/>
      <c r="I357" s="87"/>
      <c r="J357" s="87"/>
      <c r="K357" s="233"/>
      <c r="L357" s="233"/>
      <c r="M357" s="87"/>
      <c r="N357" s="15"/>
      <c r="O357" s="87"/>
      <c r="P357" s="87"/>
      <c r="Q357" s="169"/>
      <c r="R357" s="169"/>
      <c r="S357" s="169"/>
      <c r="T357" s="169"/>
      <c r="U357" s="169"/>
      <c r="V357" s="169"/>
      <c r="W357" s="169"/>
      <c r="X357" s="169"/>
      <c r="Y357" s="169"/>
      <c r="Z357" s="169"/>
      <c r="AA357" s="169"/>
      <c r="AB357" s="169"/>
      <c r="AC357" s="169"/>
      <c r="AD357" s="169"/>
      <c r="AE357" s="170"/>
      <c r="AF357" s="169"/>
      <c r="AG357" s="169"/>
      <c r="AH357" s="169"/>
      <c r="AI357" s="916"/>
    </row>
    <row r="358" spans="1:35" ht="24.95" customHeight="1" x14ac:dyDescent="0.25">
      <c r="A358" s="917"/>
      <c r="B358" s="172"/>
      <c r="C358" s="845"/>
      <c r="D358" s="161"/>
      <c r="E358" s="845"/>
      <c r="F358" s="846"/>
      <c r="G358" s="336">
        <v>16</v>
      </c>
      <c r="H358" s="81" t="s">
        <v>457</v>
      </c>
      <c r="I358" s="81"/>
      <c r="J358" s="81"/>
      <c r="K358" s="235"/>
      <c r="L358" s="235"/>
      <c r="M358" s="81"/>
      <c r="N358" s="88"/>
      <c r="O358" s="81"/>
      <c r="P358" s="81"/>
      <c r="Q358" s="176"/>
      <c r="R358" s="176"/>
      <c r="S358" s="176"/>
      <c r="T358" s="176"/>
      <c r="U358" s="176"/>
      <c r="V358" s="176"/>
      <c r="W358" s="176"/>
      <c r="X358" s="176"/>
      <c r="Y358" s="176"/>
      <c r="Z358" s="176"/>
      <c r="AA358" s="176"/>
      <c r="AB358" s="176"/>
      <c r="AC358" s="176"/>
      <c r="AD358" s="176"/>
      <c r="AE358" s="177"/>
      <c r="AF358" s="176"/>
      <c r="AG358" s="176"/>
      <c r="AH358" s="176"/>
      <c r="AI358" s="918"/>
    </row>
    <row r="359" spans="1:35" s="539" customFormat="1" ht="75" customHeight="1" x14ac:dyDescent="0.25">
      <c r="A359" s="919"/>
      <c r="B359" s="541"/>
      <c r="C359" s="827">
        <v>15</v>
      </c>
      <c r="D359" s="828" t="s">
        <v>458</v>
      </c>
      <c r="E359" s="713">
        <v>0.73229999999999995</v>
      </c>
      <c r="F359" s="713">
        <v>0.78</v>
      </c>
      <c r="G359" s="542"/>
      <c r="H359" s="829">
        <v>65</v>
      </c>
      <c r="I359" s="828" t="s">
        <v>459</v>
      </c>
      <c r="J359" s="651">
        <v>1</v>
      </c>
      <c r="K359" s="620">
        <v>1</v>
      </c>
      <c r="L359" s="775">
        <v>0.8</v>
      </c>
      <c r="M359" s="1126" t="s">
        <v>460</v>
      </c>
      <c r="N359" s="1084" t="s">
        <v>461</v>
      </c>
      <c r="O359" s="1080" t="s">
        <v>462</v>
      </c>
      <c r="P359" s="829" t="s">
        <v>46</v>
      </c>
      <c r="Q359" s="546"/>
      <c r="R359" s="546"/>
      <c r="S359" s="546"/>
      <c r="T359" s="546"/>
      <c r="U359" s="546"/>
      <c r="V359" s="546"/>
      <c r="W359" s="629">
        <f>2166498979+43958033</f>
        <v>2210457012</v>
      </c>
      <c r="X359" s="546"/>
      <c r="Y359" s="546"/>
      <c r="Z359" s="546"/>
      <c r="AA359" s="546"/>
      <c r="AB359" s="546"/>
      <c r="AC359" s="546"/>
      <c r="AD359" s="613"/>
      <c r="AE359" s="558">
        <f>1142155795+241355304+2321723335+522238646</f>
        <v>4227473080</v>
      </c>
      <c r="AF359" s="613"/>
      <c r="AG359" s="613"/>
      <c r="AH359" s="613"/>
      <c r="AI359" s="900">
        <f>+Q359+R359+S359+T359+U359+V359+W359+X359+Y359+Z359+AA359+AB359+AC359+AD359+AE359+AF359+AG359+AH359</f>
        <v>6437930092</v>
      </c>
    </row>
    <row r="360" spans="1:35" s="539" customFormat="1" ht="66.75" customHeight="1" x14ac:dyDescent="0.25">
      <c r="A360" s="919"/>
      <c r="B360" s="541"/>
      <c r="C360" s="827">
        <v>19</v>
      </c>
      <c r="D360" s="828" t="s">
        <v>463</v>
      </c>
      <c r="E360" s="713" t="s">
        <v>464</v>
      </c>
      <c r="F360" s="713" t="s">
        <v>465</v>
      </c>
      <c r="G360" s="549"/>
      <c r="H360" s="829">
        <v>66</v>
      </c>
      <c r="I360" s="828" t="s">
        <v>466</v>
      </c>
      <c r="J360" s="651">
        <v>1</v>
      </c>
      <c r="K360" s="620">
        <v>1</v>
      </c>
      <c r="L360" s="775">
        <v>0.8</v>
      </c>
      <c r="M360" s="1127"/>
      <c r="N360" s="1082"/>
      <c r="O360" s="1087"/>
      <c r="P360" s="829" t="s">
        <v>46</v>
      </c>
      <c r="Q360" s="546"/>
      <c r="R360" s="546"/>
      <c r="S360" s="546"/>
      <c r="T360" s="546"/>
      <c r="U360" s="546"/>
      <c r="V360" s="546"/>
      <c r="W360" s="629">
        <v>0</v>
      </c>
      <c r="X360" s="546"/>
      <c r="Y360" s="546"/>
      <c r="Z360" s="546"/>
      <c r="AA360" s="546"/>
      <c r="AB360" s="714"/>
      <c r="AC360" s="715">
        <f>9000000000+150000000+1577857420.24+2317639250+481791807+909383464.77</f>
        <v>14436671942.01</v>
      </c>
      <c r="AD360" s="547"/>
      <c r="AE360" s="559">
        <v>285198000</v>
      </c>
      <c r="AF360" s="547"/>
      <c r="AG360" s="547"/>
      <c r="AH360" s="547"/>
      <c r="AI360" s="900">
        <f>+Q360+R360+S360+T360+U360+V360+W360+X360+Y360+Z360+AA360+AB360+AC360+AD360+AE360+AF360+AG360+AH360</f>
        <v>14721869942.01</v>
      </c>
    </row>
    <row r="361" spans="1:35" s="539" customFormat="1" ht="69" customHeight="1" x14ac:dyDescent="0.25">
      <c r="A361" s="919"/>
      <c r="B361" s="541"/>
      <c r="C361" s="827">
        <v>14</v>
      </c>
      <c r="D361" s="569" t="s">
        <v>467</v>
      </c>
      <c r="E361" s="713">
        <v>6.2E-2</v>
      </c>
      <c r="F361" s="713">
        <v>0.03</v>
      </c>
      <c r="G361" s="549"/>
      <c r="H361" s="829">
        <v>67</v>
      </c>
      <c r="I361" s="828" t="s">
        <v>468</v>
      </c>
      <c r="J361" s="651">
        <v>1</v>
      </c>
      <c r="K361" s="620">
        <v>1</v>
      </c>
      <c r="L361" s="775">
        <v>0.8</v>
      </c>
      <c r="M361" s="1128"/>
      <c r="N361" s="1083"/>
      <c r="O361" s="1081"/>
      <c r="P361" s="829" t="s">
        <v>46</v>
      </c>
      <c r="Q361" s="546"/>
      <c r="R361" s="546"/>
      <c r="S361" s="546"/>
      <c r="T361" s="546"/>
      <c r="U361" s="546"/>
      <c r="V361" s="546"/>
      <c r="W361" s="629">
        <f>200000000+241355304</f>
        <v>441355304</v>
      </c>
      <c r="X361" s="546"/>
      <c r="Y361" s="546"/>
      <c r="Z361" s="546"/>
      <c r="AA361" s="546"/>
      <c r="AB361" s="546"/>
      <c r="AC361" s="546"/>
      <c r="AD361" s="547"/>
      <c r="AE361" s="559">
        <f>860000000-241355304+240000000</f>
        <v>858644696</v>
      </c>
      <c r="AF361" s="547"/>
      <c r="AG361" s="547"/>
      <c r="AH361" s="547"/>
      <c r="AI361" s="900">
        <f>+Q361+R361+S361+T361+U361+V361+W361+X361+Y361+Z361+AA361+AB361+AC361+AD361+AE361+AF361+AG361+AH361</f>
        <v>1300000000</v>
      </c>
    </row>
    <row r="362" spans="1:35" ht="18" customHeight="1" x14ac:dyDescent="0.25">
      <c r="A362" s="917"/>
      <c r="B362" s="144"/>
      <c r="C362" s="846"/>
      <c r="D362" s="565"/>
      <c r="E362" s="391"/>
      <c r="F362" s="391"/>
      <c r="G362" s="147"/>
      <c r="H362" s="148"/>
      <c r="I362" s="147"/>
      <c r="J362" s="307"/>
      <c r="K362" s="247"/>
      <c r="L362" s="247"/>
      <c r="M362" s="307"/>
      <c r="N362" s="584"/>
      <c r="O362" s="147"/>
      <c r="P362" s="148"/>
      <c r="Q362" s="392"/>
      <c r="R362" s="392"/>
      <c r="S362" s="150"/>
      <c r="T362" s="150"/>
      <c r="U362" s="150"/>
      <c r="V362" s="150"/>
      <c r="W362" s="150">
        <f>SUM(W359:W361)</f>
        <v>2651812316</v>
      </c>
      <c r="X362" s="150"/>
      <c r="Y362" s="150"/>
      <c r="Z362" s="150"/>
      <c r="AA362" s="150">
        <f>SUM(AA359:AA361)</f>
        <v>0</v>
      </c>
      <c r="AB362" s="150">
        <f>SUM(AB359:AB361)</f>
        <v>0</v>
      </c>
      <c r="AC362" s="54">
        <f>SUM(AC359:AC361)</f>
        <v>14436671942.01</v>
      </c>
      <c r="AD362" s="54">
        <f>SUM(AD359:AD361)</f>
        <v>0</v>
      </c>
      <c r="AE362" s="54">
        <f>SUM(AE359:AE361)</f>
        <v>5371315776</v>
      </c>
      <c r="AF362" s="150"/>
      <c r="AG362" s="150"/>
      <c r="AH362" s="393"/>
      <c r="AI362" s="904">
        <f>SUM(AI359:AI361)</f>
        <v>22459800034.010002</v>
      </c>
    </row>
    <row r="363" spans="1:35" ht="12.75" customHeight="1" x14ac:dyDescent="0.25">
      <c r="A363" s="917"/>
      <c r="B363" s="144"/>
      <c r="C363" s="845"/>
      <c r="D363" s="161"/>
      <c r="E363" s="394"/>
      <c r="F363" s="394"/>
      <c r="G363" s="161"/>
      <c r="H363" s="845"/>
      <c r="I363" s="161"/>
      <c r="J363" s="309"/>
      <c r="K363" s="260"/>
      <c r="L363" s="573"/>
      <c r="M363" s="395"/>
      <c r="N363" s="57"/>
      <c r="O363" s="216"/>
      <c r="P363" s="845"/>
      <c r="Q363" s="12"/>
      <c r="R363" s="163"/>
      <c r="S363" s="12"/>
      <c r="T363" s="12"/>
      <c r="U363" s="12"/>
      <c r="V363" s="12"/>
      <c r="W363" s="12"/>
      <c r="X363" s="12"/>
      <c r="Y363" s="12"/>
      <c r="Z363" s="12"/>
      <c r="AA363" s="163"/>
      <c r="AB363" s="163"/>
      <c r="AC363" s="12"/>
      <c r="AD363" s="932"/>
      <c r="AE363" s="980"/>
      <c r="AF363" s="12"/>
      <c r="AG363" s="12"/>
      <c r="AH363" s="12"/>
      <c r="AI363" s="921"/>
    </row>
    <row r="364" spans="1:35" ht="15" x14ac:dyDescent="0.25">
      <c r="A364" s="917"/>
      <c r="B364" s="144"/>
      <c r="C364" s="846"/>
      <c r="D364" s="565"/>
      <c r="E364" s="391"/>
      <c r="F364" s="391"/>
      <c r="G364" s="336">
        <v>17</v>
      </c>
      <c r="H364" s="81" t="s">
        <v>469</v>
      </c>
      <c r="I364" s="81"/>
      <c r="J364" s="81"/>
      <c r="K364" s="235"/>
      <c r="L364" s="235"/>
      <c r="M364" s="81"/>
      <c r="N364" s="88"/>
      <c r="O364" s="81"/>
      <c r="P364" s="81"/>
      <c r="Q364" s="396"/>
      <c r="R364" s="396"/>
      <c r="S364" s="176"/>
      <c r="T364" s="176"/>
      <c r="U364" s="176"/>
      <c r="V364" s="176"/>
      <c r="W364" s="176"/>
      <c r="X364" s="176"/>
      <c r="Y364" s="176"/>
      <c r="Z364" s="176"/>
      <c r="AA364" s="396"/>
      <c r="AB364" s="396"/>
      <c r="AC364" s="396"/>
      <c r="AD364" s="396"/>
      <c r="AE364" s="177"/>
      <c r="AF364" s="176"/>
      <c r="AG364" s="176"/>
      <c r="AH364" s="176"/>
      <c r="AI364" s="918"/>
    </row>
    <row r="365" spans="1:35" s="539" customFormat="1" ht="87" customHeight="1" x14ac:dyDescent="0.25">
      <c r="A365" s="919"/>
      <c r="B365" s="541"/>
      <c r="C365" s="827">
        <v>14</v>
      </c>
      <c r="D365" s="569" t="s">
        <v>467</v>
      </c>
      <c r="E365" s="713">
        <v>6.2E-2</v>
      </c>
      <c r="F365" s="713">
        <v>0.03</v>
      </c>
      <c r="G365" s="542"/>
      <c r="H365" s="829">
        <v>68</v>
      </c>
      <c r="I365" s="828" t="s">
        <v>470</v>
      </c>
      <c r="J365" s="651">
        <v>4357</v>
      </c>
      <c r="K365" s="544">
        <v>4500</v>
      </c>
      <c r="L365" s="544">
        <v>3249</v>
      </c>
      <c r="M365" s="1129" t="s">
        <v>460</v>
      </c>
      <c r="N365" s="1084" t="s">
        <v>471</v>
      </c>
      <c r="O365" s="1080" t="s">
        <v>472</v>
      </c>
      <c r="P365" s="829" t="s">
        <v>46</v>
      </c>
      <c r="Q365" s="546"/>
      <c r="R365" s="546"/>
      <c r="S365" s="546"/>
      <c r="T365" s="546"/>
      <c r="U365" s="546"/>
      <c r="V365" s="546"/>
      <c r="W365" s="546"/>
      <c r="X365" s="546"/>
      <c r="Y365" s="546"/>
      <c r="Z365" s="546"/>
      <c r="AA365" s="538"/>
      <c r="AB365" s="538"/>
      <c r="AC365" s="546"/>
      <c r="AD365" s="547"/>
      <c r="AE365" s="550">
        <f>5000000+20000000</f>
        <v>25000000</v>
      </c>
      <c r="AF365" s="547"/>
      <c r="AG365" s="547"/>
      <c r="AH365" s="547"/>
      <c r="AI365" s="900">
        <f t="shared" ref="AI365:AI370" si="20">+Q365+R365+S365+T365+U365+V365+W365+X365+Y365+Z365+AA365+AB365+AC365+AD365+AE365+AF365+AG365+AH365</f>
        <v>25000000</v>
      </c>
    </row>
    <row r="366" spans="1:35" s="539" customFormat="1" ht="88.5" customHeight="1" x14ac:dyDescent="0.25">
      <c r="A366" s="919"/>
      <c r="B366" s="541"/>
      <c r="C366" s="827">
        <v>15</v>
      </c>
      <c r="D366" s="828" t="s">
        <v>458</v>
      </c>
      <c r="E366" s="713">
        <v>0.73229999999999995</v>
      </c>
      <c r="F366" s="713">
        <v>0.78</v>
      </c>
      <c r="G366" s="549"/>
      <c r="H366" s="829">
        <v>69</v>
      </c>
      <c r="I366" s="828" t="s">
        <v>473</v>
      </c>
      <c r="J366" s="713" t="s">
        <v>36</v>
      </c>
      <c r="K366" s="544">
        <v>1</v>
      </c>
      <c r="L366" s="544">
        <v>0.75</v>
      </c>
      <c r="M366" s="1130"/>
      <c r="N366" s="1082"/>
      <c r="O366" s="1087"/>
      <c r="P366" s="829" t="s">
        <v>46</v>
      </c>
      <c r="Q366" s="546"/>
      <c r="R366" s="546"/>
      <c r="S366" s="546"/>
      <c r="T366" s="546"/>
      <c r="U366" s="546"/>
      <c r="V366" s="546"/>
      <c r="W366" s="546"/>
      <c r="X366" s="546"/>
      <c r="Y366" s="546"/>
      <c r="Z366" s="546"/>
      <c r="AA366" s="538"/>
      <c r="AB366" s="538"/>
      <c r="AC366" s="546"/>
      <c r="AD366" s="547"/>
      <c r="AE366" s="550">
        <v>5000000</v>
      </c>
      <c r="AF366" s="547"/>
      <c r="AG366" s="547"/>
      <c r="AH366" s="547"/>
      <c r="AI366" s="900">
        <f t="shared" si="20"/>
        <v>5000000</v>
      </c>
    </row>
    <row r="367" spans="1:35" s="539" customFormat="1" ht="102" customHeight="1" x14ac:dyDescent="0.25">
      <c r="A367" s="919"/>
      <c r="B367" s="541"/>
      <c r="C367" s="827">
        <v>19</v>
      </c>
      <c r="D367" s="828" t="s">
        <v>463</v>
      </c>
      <c r="E367" s="713" t="s">
        <v>474</v>
      </c>
      <c r="F367" s="713" t="s">
        <v>475</v>
      </c>
      <c r="G367" s="549"/>
      <c r="H367" s="829">
        <v>70</v>
      </c>
      <c r="I367" s="828" t="s">
        <v>476</v>
      </c>
      <c r="J367" s="651">
        <v>322</v>
      </c>
      <c r="K367" s="544">
        <v>490</v>
      </c>
      <c r="L367" s="544">
        <v>619</v>
      </c>
      <c r="M367" s="1130"/>
      <c r="N367" s="1082"/>
      <c r="O367" s="1087"/>
      <c r="P367" s="829" t="s">
        <v>40</v>
      </c>
      <c r="Q367" s="546"/>
      <c r="R367" s="546"/>
      <c r="S367" s="546"/>
      <c r="T367" s="546"/>
      <c r="U367" s="546"/>
      <c r="V367" s="546"/>
      <c r="W367" s="546"/>
      <c r="X367" s="546"/>
      <c r="Y367" s="546"/>
      <c r="Z367" s="546"/>
      <c r="AA367" s="546"/>
      <c r="AB367" s="546"/>
      <c r="AC367" s="546"/>
      <c r="AD367" s="547"/>
      <c r="AE367" s="550">
        <v>10000000</v>
      </c>
      <c r="AF367" s="547"/>
      <c r="AG367" s="547"/>
      <c r="AH367" s="547"/>
      <c r="AI367" s="900">
        <f t="shared" si="20"/>
        <v>10000000</v>
      </c>
    </row>
    <row r="368" spans="1:35" s="539" customFormat="1" ht="78" customHeight="1" x14ac:dyDescent="0.25">
      <c r="A368" s="919"/>
      <c r="B368" s="541"/>
      <c r="C368" s="827">
        <v>35</v>
      </c>
      <c r="D368" s="569" t="s">
        <v>477</v>
      </c>
      <c r="E368" s="651">
        <v>23000</v>
      </c>
      <c r="F368" s="651">
        <v>24000</v>
      </c>
      <c r="G368" s="549"/>
      <c r="H368" s="829">
        <v>71</v>
      </c>
      <c r="I368" s="828" t="s">
        <v>478</v>
      </c>
      <c r="J368" s="651">
        <v>1762</v>
      </c>
      <c r="K368" s="544">
        <v>2570</v>
      </c>
      <c r="L368" s="544">
        <v>3278</v>
      </c>
      <c r="M368" s="1130"/>
      <c r="N368" s="1082"/>
      <c r="O368" s="1087"/>
      <c r="P368" s="829" t="s">
        <v>40</v>
      </c>
      <c r="Q368" s="546"/>
      <c r="R368" s="546"/>
      <c r="S368" s="546"/>
      <c r="T368" s="546"/>
      <c r="U368" s="546"/>
      <c r="V368" s="546"/>
      <c r="W368" s="546"/>
      <c r="X368" s="546"/>
      <c r="Y368" s="546"/>
      <c r="Z368" s="546"/>
      <c r="AA368" s="546"/>
      <c r="AB368" s="546"/>
      <c r="AC368" s="546"/>
      <c r="AD368" s="547"/>
      <c r="AE368" s="550"/>
      <c r="AF368" s="547"/>
      <c r="AG368" s="547"/>
      <c r="AH368" s="547"/>
      <c r="AI368" s="900">
        <f t="shared" si="20"/>
        <v>0</v>
      </c>
    </row>
    <row r="369" spans="1:35" s="539" customFormat="1" ht="104.25" customHeight="1" x14ac:dyDescent="0.25">
      <c r="A369" s="919"/>
      <c r="B369" s="541"/>
      <c r="C369" s="827"/>
      <c r="D369" s="569"/>
      <c r="E369" s="717"/>
      <c r="F369" s="717"/>
      <c r="G369" s="549"/>
      <c r="H369" s="829">
        <v>72</v>
      </c>
      <c r="I369" s="828" t="s">
        <v>479</v>
      </c>
      <c r="J369" s="651">
        <v>455</v>
      </c>
      <c r="K369" s="544">
        <v>455</v>
      </c>
      <c r="L369" s="544">
        <v>222</v>
      </c>
      <c r="M369" s="1130"/>
      <c r="N369" s="1082"/>
      <c r="O369" s="1087"/>
      <c r="P369" s="829" t="s">
        <v>46</v>
      </c>
      <c r="Q369" s="546"/>
      <c r="R369" s="546"/>
      <c r="S369" s="546"/>
      <c r="T369" s="546"/>
      <c r="U369" s="546"/>
      <c r="V369" s="546"/>
      <c r="W369" s="546"/>
      <c r="X369" s="546"/>
      <c r="Y369" s="546"/>
      <c r="Z369" s="546"/>
      <c r="AA369" s="546">
        <v>49291242</v>
      </c>
      <c r="AB369" s="546"/>
      <c r="AC369" s="546"/>
      <c r="AD369" s="547"/>
      <c r="AE369" s="550">
        <v>5000000</v>
      </c>
      <c r="AF369" s="547"/>
      <c r="AG369" s="547"/>
      <c r="AH369" s="547"/>
      <c r="AI369" s="900">
        <f t="shared" si="20"/>
        <v>54291242</v>
      </c>
    </row>
    <row r="370" spans="1:35" s="539" customFormat="1" ht="75.75" customHeight="1" x14ac:dyDescent="0.25">
      <c r="A370" s="919"/>
      <c r="B370" s="541"/>
      <c r="C370" s="827"/>
      <c r="D370" s="569"/>
      <c r="E370" s="717"/>
      <c r="F370" s="713" t="s">
        <v>0</v>
      </c>
      <c r="G370" s="624"/>
      <c r="H370" s="829">
        <v>73</v>
      </c>
      <c r="I370" s="828" t="s">
        <v>480</v>
      </c>
      <c r="J370" s="651" t="s">
        <v>36</v>
      </c>
      <c r="K370" s="544">
        <v>1</v>
      </c>
      <c r="L370" s="758">
        <v>0.8</v>
      </c>
      <c r="M370" s="1131"/>
      <c r="N370" s="1083"/>
      <c r="O370" s="1081"/>
      <c r="P370" s="829" t="s">
        <v>46</v>
      </c>
      <c r="Q370" s="546"/>
      <c r="R370" s="546"/>
      <c r="S370" s="546"/>
      <c r="T370" s="546"/>
      <c r="U370" s="546"/>
      <c r="V370" s="546"/>
      <c r="W370" s="546"/>
      <c r="X370" s="546"/>
      <c r="Y370" s="546"/>
      <c r="Z370" s="546"/>
      <c r="AA370" s="546">
        <f>1508000000</f>
        <v>1508000000</v>
      </c>
      <c r="AB370" s="546"/>
      <c r="AC370" s="546"/>
      <c r="AD370" s="547"/>
      <c r="AE370" s="550"/>
      <c r="AF370" s="547"/>
      <c r="AG370" s="547"/>
      <c r="AH370" s="547"/>
      <c r="AI370" s="900">
        <f t="shared" si="20"/>
        <v>1508000000</v>
      </c>
    </row>
    <row r="371" spans="1:35" ht="15" x14ac:dyDescent="0.25">
      <c r="A371" s="917"/>
      <c r="B371" s="144"/>
      <c r="C371" s="846"/>
      <c r="D371" s="565"/>
      <c r="E371" s="391"/>
      <c r="F371" s="391"/>
      <c r="G371" s="147"/>
      <c r="H371" s="148"/>
      <c r="I371" s="147"/>
      <c r="J371" s="307"/>
      <c r="K371" s="247"/>
      <c r="L371" s="247"/>
      <c r="M371" s="307"/>
      <c r="N371" s="584"/>
      <c r="O371" s="147"/>
      <c r="P371" s="148"/>
      <c r="Q371" s="150">
        <f t="shared" ref="Q371:AI371" si="21">SUM(Q365:Q370)</f>
        <v>0</v>
      </c>
      <c r="R371" s="150">
        <f t="shared" si="21"/>
        <v>0</v>
      </c>
      <c r="S371" s="150">
        <f t="shared" si="21"/>
        <v>0</v>
      </c>
      <c r="T371" s="150">
        <f t="shared" si="21"/>
        <v>0</v>
      </c>
      <c r="U371" s="150">
        <f t="shared" si="21"/>
        <v>0</v>
      </c>
      <c r="V371" s="150">
        <f t="shared" si="21"/>
        <v>0</v>
      </c>
      <c r="W371" s="150">
        <f t="shared" si="21"/>
        <v>0</v>
      </c>
      <c r="X371" s="150">
        <f t="shared" si="21"/>
        <v>0</v>
      </c>
      <c r="Y371" s="150">
        <f t="shared" si="21"/>
        <v>0</v>
      </c>
      <c r="Z371" s="150">
        <f t="shared" si="21"/>
        <v>0</v>
      </c>
      <c r="AA371" s="150">
        <f t="shared" si="21"/>
        <v>1557291242</v>
      </c>
      <c r="AB371" s="150">
        <f t="shared" si="21"/>
        <v>0</v>
      </c>
      <c r="AC371" s="150">
        <f t="shared" si="21"/>
        <v>0</v>
      </c>
      <c r="AD371" s="150">
        <f t="shared" si="21"/>
        <v>0</v>
      </c>
      <c r="AE371" s="150">
        <f t="shared" si="21"/>
        <v>45000000</v>
      </c>
      <c r="AF371" s="150">
        <f t="shared" si="21"/>
        <v>0</v>
      </c>
      <c r="AG371" s="150">
        <f t="shared" si="21"/>
        <v>0</v>
      </c>
      <c r="AH371" s="150">
        <f t="shared" si="21"/>
        <v>0</v>
      </c>
      <c r="AI371" s="904">
        <f t="shared" si="21"/>
        <v>1602291242</v>
      </c>
    </row>
    <row r="372" spans="1:35" ht="15" x14ac:dyDescent="0.25">
      <c r="A372" s="917"/>
      <c r="B372" s="144"/>
      <c r="C372" s="845"/>
      <c r="D372" s="161"/>
      <c r="E372" s="394"/>
      <c r="F372" s="394"/>
      <c r="G372" s="161"/>
      <c r="H372" s="845"/>
      <c r="I372" s="161"/>
      <c r="J372" s="309"/>
      <c r="K372" s="260"/>
      <c r="L372" s="260"/>
      <c r="M372" s="309"/>
      <c r="N372" s="21"/>
      <c r="O372" s="161"/>
      <c r="P372" s="845"/>
      <c r="Q372" s="12"/>
      <c r="R372" s="163"/>
      <c r="S372" s="12"/>
      <c r="T372" s="12"/>
      <c r="U372" s="12"/>
      <c r="V372" s="12"/>
      <c r="W372" s="12"/>
      <c r="X372" s="12"/>
      <c r="Y372" s="12"/>
      <c r="Z372" s="12"/>
      <c r="AA372" s="163"/>
      <c r="AB372" s="163" t="s">
        <v>0</v>
      </c>
      <c r="AC372" s="12"/>
      <c r="AD372" s="932"/>
      <c r="AE372" s="980"/>
      <c r="AF372" s="12"/>
      <c r="AG372" s="12"/>
      <c r="AH372" s="12"/>
      <c r="AI372" s="921"/>
    </row>
    <row r="373" spans="1:35" ht="15" x14ac:dyDescent="0.25">
      <c r="A373" s="917"/>
      <c r="B373" s="144"/>
      <c r="C373" s="846"/>
      <c r="D373" s="565"/>
      <c r="E373" s="391"/>
      <c r="F373" s="391"/>
      <c r="G373" s="251">
        <v>18</v>
      </c>
      <c r="H373" s="85" t="s">
        <v>481</v>
      </c>
      <c r="I373" s="81"/>
      <c r="J373" s="81"/>
      <c r="K373" s="235"/>
      <c r="L373" s="235"/>
      <c r="M373" s="81"/>
      <c r="N373" s="88"/>
      <c r="O373" s="81"/>
      <c r="P373" s="81"/>
      <c r="Q373" s="176"/>
      <c r="R373" s="176"/>
      <c r="S373" s="176"/>
      <c r="T373" s="176"/>
      <c r="U373" s="176"/>
      <c r="V373" s="176"/>
      <c r="W373" s="176"/>
      <c r="X373" s="176"/>
      <c r="Y373" s="176"/>
      <c r="Z373" s="176"/>
      <c r="AA373" s="176"/>
      <c r="AB373" s="176"/>
      <c r="AC373" s="176"/>
      <c r="AD373" s="176"/>
      <c r="AE373" s="177"/>
      <c r="AF373" s="176"/>
      <c r="AG373" s="176"/>
      <c r="AH373" s="176"/>
      <c r="AI373" s="981"/>
    </row>
    <row r="374" spans="1:35" s="539" customFormat="1" ht="115.5" customHeight="1" x14ac:dyDescent="0.25">
      <c r="A374" s="919"/>
      <c r="B374" s="541"/>
      <c r="C374" s="827" t="s">
        <v>482</v>
      </c>
      <c r="D374" s="828" t="s">
        <v>483</v>
      </c>
      <c r="E374" s="713" t="s">
        <v>484</v>
      </c>
      <c r="F374" s="713" t="s">
        <v>485</v>
      </c>
      <c r="G374" s="542"/>
      <c r="H374" s="829">
        <v>74</v>
      </c>
      <c r="I374" s="828" t="s">
        <v>486</v>
      </c>
      <c r="J374" s="651">
        <v>2232</v>
      </c>
      <c r="K374" s="620">
        <v>2232</v>
      </c>
      <c r="L374" s="620">
        <v>2232</v>
      </c>
      <c r="M374" s="716" t="s">
        <v>460</v>
      </c>
      <c r="N374" s="619" t="s">
        <v>487</v>
      </c>
      <c r="O374" s="828" t="s">
        <v>488</v>
      </c>
      <c r="P374" s="829" t="s">
        <v>46</v>
      </c>
      <c r="Q374" s="546"/>
      <c r="R374" s="546"/>
      <c r="S374" s="546"/>
      <c r="T374" s="546"/>
      <c r="U374" s="546"/>
      <c r="V374" s="546"/>
      <c r="W374" s="546"/>
      <c r="X374" s="546"/>
      <c r="Y374" s="546"/>
      <c r="Z374" s="546"/>
      <c r="AA374" s="629">
        <f>120411000000+80000000+662459176.29</f>
        <v>121153459176.28999</v>
      </c>
      <c r="AB374" s="748">
        <f>22161000000+917000000+2749098635</f>
        <v>25827098635</v>
      </c>
      <c r="AC374" s="546"/>
      <c r="AD374" s="546"/>
      <c r="AE374" s="550">
        <f>0+4000000000+620683724</f>
        <v>4620683724</v>
      </c>
      <c r="AF374" s="547"/>
      <c r="AG374" s="547"/>
      <c r="AH374" s="547"/>
      <c r="AI374" s="900">
        <f>+Q374+R374+S374+T374+U374+V374+W374+X374+Y374+Z374+AA374+AB374+AC374+AD374+AE374+AF374+AG374+AH374</f>
        <v>151601241535.28998</v>
      </c>
    </row>
    <row r="375" spans="1:35" ht="15" x14ac:dyDescent="0.25">
      <c r="A375" s="917"/>
      <c r="B375" s="146"/>
      <c r="C375" s="846"/>
      <c r="D375" s="565"/>
      <c r="E375" s="391"/>
      <c r="F375" s="391"/>
      <c r="G375" s="147"/>
      <c r="H375" s="148"/>
      <c r="I375" s="147"/>
      <c r="J375" s="307"/>
      <c r="K375" s="340"/>
      <c r="L375" s="340"/>
      <c r="M375" s="307"/>
      <c r="N375" s="584"/>
      <c r="O375" s="148"/>
      <c r="P375" s="148"/>
      <c r="Q375" s="150">
        <f t="shared" ref="Q375:AI375" si="22">SUM(Q374:Q374)</f>
        <v>0</v>
      </c>
      <c r="R375" s="150">
        <f t="shared" si="22"/>
        <v>0</v>
      </c>
      <c r="S375" s="150">
        <f t="shared" si="22"/>
        <v>0</v>
      </c>
      <c r="T375" s="150">
        <f t="shared" si="22"/>
        <v>0</v>
      </c>
      <c r="U375" s="150">
        <f t="shared" si="22"/>
        <v>0</v>
      </c>
      <c r="V375" s="150">
        <f t="shared" si="22"/>
        <v>0</v>
      </c>
      <c r="W375" s="150">
        <f t="shared" si="22"/>
        <v>0</v>
      </c>
      <c r="X375" s="150">
        <f t="shared" si="22"/>
        <v>0</v>
      </c>
      <c r="Y375" s="150">
        <f t="shared" si="22"/>
        <v>0</v>
      </c>
      <c r="Z375" s="150">
        <f t="shared" si="22"/>
        <v>0</v>
      </c>
      <c r="AA375" s="150">
        <f t="shared" si="22"/>
        <v>121153459176.28999</v>
      </c>
      <c r="AB375" s="150">
        <f t="shared" si="22"/>
        <v>25827098635</v>
      </c>
      <c r="AC375" s="150">
        <f t="shared" si="22"/>
        <v>0</v>
      </c>
      <c r="AD375" s="150">
        <f t="shared" si="22"/>
        <v>0</v>
      </c>
      <c r="AE375" s="150">
        <f t="shared" si="22"/>
        <v>4620683724</v>
      </c>
      <c r="AF375" s="150">
        <f t="shared" si="22"/>
        <v>0</v>
      </c>
      <c r="AG375" s="150">
        <f t="shared" si="22"/>
        <v>0</v>
      </c>
      <c r="AH375" s="150">
        <f t="shared" si="22"/>
        <v>0</v>
      </c>
      <c r="AI375" s="904">
        <f t="shared" si="22"/>
        <v>151601241535.28998</v>
      </c>
    </row>
    <row r="376" spans="1:35" ht="15" x14ac:dyDescent="0.25">
      <c r="A376" s="917"/>
      <c r="B376" s="210"/>
      <c r="C376" s="152"/>
      <c r="D376" s="151"/>
      <c r="E376" s="397"/>
      <c r="F376" s="397"/>
      <c r="G376" s="151"/>
      <c r="H376" s="152"/>
      <c r="I376" s="151"/>
      <c r="J376" s="327"/>
      <c r="K376" s="342"/>
      <c r="L376" s="342"/>
      <c r="M376" s="327"/>
      <c r="N376" s="585"/>
      <c r="O376" s="151"/>
      <c r="P376" s="152"/>
      <c r="Q376" s="154">
        <f t="shared" ref="Q376:AI376" si="23">Q375+Q371+Q362</f>
        <v>0</v>
      </c>
      <c r="R376" s="154">
        <f t="shared" si="23"/>
        <v>0</v>
      </c>
      <c r="S376" s="154">
        <f t="shared" si="23"/>
        <v>0</v>
      </c>
      <c r="T376" s="154">
        <f t="shared" si="23"/>
        <v>0</v>
      </c>
      <c r="U376" s="154">
        <f t="shared" si="23"/>
        <v>0</v>
      </c>
      <c r="V376" s="154">
        <f t="shared" si="23"/>
        <v>0</v>
      </c>
      <c r="W376" s="154">
        <f t="shared" si="23"/>
        <v>2651812316</v>
      </c>
      <c r="X376" s="154">
        <f t="shared" si="23"/>
        <v>0</v>
      </c>
      <c r="Y376" s="154">
        <f t="shared" si="23"/>
        <v>0</v>
      </c>
      <c r="Z376" s="154">
        <f t="shared" si="23"/>
        <v>0</v>
      </c>
      <c r="AA376" s="154">
        <f t="shared" si="23"/>
        <v>122710750418.28999</v>
      </c>
      <c r="AB376" s="154">
        <f t="shared" si="23"/>
        <v>25827098635</v>
      </c>
      <c r="AC376" s="154">
        <f t="shared" si="23"/>
        <v>14436671942.01</v>
      </c>
      <c r="AD376" s="154">
        <f t="shared" si="23"/>
        <v>0</v>
      </c>
      <c r="AE376" s="154">
        <f t="shared" si="23"/>
        <v>10036999500</v>
      </c>
      <c r="AF376" s="154">
        <f t="shared" si="23"/>
        <v>0</v>
      </c>
      <c r="AG376" s="154">
        <f t="shared" si="23"/>
        <v>0</v>
      </c>
      <c r="AH376" s="154">
        <f t="shared" si="23"/>
        <v>0</v>
      </c>
      <c r="AI376" s="906">
        <f t="shared" si="23"/>
        <v>175663332811.29999</v>
      </c>
    </row>
    <row r="377" spans="1:35" ht="15" x14ac:dyDescent="0.25">
      <c r="A377" s="917"/>
      <c r="B377" s="161"/>
      <c r="C377" s="845"/>
      <c r="D377" s="161"/>
      <c r="E377" s="394"/>
      <c r="F377" s="394"/>
      <c r="G377" s="161"/>
      <c r="H377" s="845"/>
      <c r="I377" s="161"/>
      <c r="J377" s="309"/>
      <c r="K377" s="346"/>
      <c r="L377" s="574"/>
      <c r="M377" s="395"/>
      <c r="N377" s="57"/>
      <c r="O377" s="216"/>
      <c r="P377" s="845"/>
      <c r="Q377" s="12"/>
      <c r="R377" s="12"/>
      <c r="S377" s="12"/>
      <c r="T377" s="12"/>
      <c r="U377" s="12"/>
      <c r="V377" s="932"/>
      <c r="W377" s="932"/>
      <c r="X377" s="12"/>
      <c r="Y377" s="12"/>
      <c r="Z377" s="12"/>
      <c r="AA377" s="163"/>
      <c r="AB377" s="163"/>
      <c r="AC377" s="12"/>
      <c r="AD377" s="932"/>
      <c r="AE377" s="946"/>
      <c r="AF377" s="12"/>
      <c r="AG377" s="12"/>
      <c r="AH377" s="12"/>
      <c r="AI377" s="921"/>
    </row>
    <row r="378" spans="1:35" x14ac:dyDescent="0.25">
      <c r="A378" s="917"/>
      <c r="B378" s="232">
        <v>6</v>
      </c>
      <c r="C378" s="837" t="s">
        <v>489</v>
      </c>
      <c r="D378" s="87"/>
      <c r="E378" s="87"/>
      <c r="F378" s="87"/>
      <c r="G378" s="87"/>
      <c r="H378" s="838"/>
      <c r="I378" s="87"/>
      <c r="J378" s="87"/>
      <c r="K378" s="343"/>
      <c r="L378" s="343"/>
      <c r="M378" s="87"/>
      <c r="N378" s="15"/>
      <c r="O378" s="87"/>
      <c r="P378" s="87"/>
      <c r="Q378" s="169"/>
      <c r="R378" s="169"/>
      <c r="S378" s="169"/>
      <c r="T378" s="169"/>
      <c r="U378" s="169"/>
      <c r="V378" s="169"/>
      <c r="W378" s="169"/>
      <c r="X378" s="169"/>
      <c r="Y378" s="169"/>
      <c r="Z378" s="169"/>
      <c r="AA378" s="169"/>
      <c r="AB378" s="169"/>
      <c r="AC378" s="169"/>
      <c r="AD378" s="169"/>
      <c r="AE378" s="170"/>
      <c r="AF378" s="169"/>
      <c r="AG378" s="169"/>
      <c r="AH378" s="169"/>
      <c r="AI378" s="916"/>
    </row>
    <row r="379" spans="1:35" ht="15" x14ac:dyDescent="0.25">
      <c r="A379" s="917"/>
      <c r="B379" s="172"/>
      <c r="C379" s="566"/>
      <c r="D379" s="216"/>
      <c r="E379" s="566"/>
      <c r="F379" s="856"/>
      <c r="G379" s="398">
        <v>19</v>
      </c>
      <c r="H379" s="81" t="s">
        <v>490</v>
      </c>
      <c r="I379" s="81"/>
      <c r="J379" s="81"/>
      <c r="K379" s="339"/>
      <c r="L379" s="339"/>
      <c r="M379" s="81"/>
      <c r="N379" s="88"/>
      <c r="O379" s="81"/>
      <c r="P379" s="81"/>
      <c r="Q379" s="176"/>
      <c r="R379" s="176"/>
      <c r="S379" s="176"/>
      <c r="T379" s="176"/>
      <c r="U379" s="176"/>
      <c r="V379" s="176"/>
      <c r="W379" s="176"/>
      <c r="X379" s="176"/>
      <c r="Y379" s="176"/>
      <c r="Z379" s="176"/>
      <c r="AA379" s="176"/>
      <c r="AB379" s="176"/>
      <c r="AC379" s="176"/>
      <c r="AD379" s="176"/>
      <c r="AE379" s="177"/>
      <c r="AF379" s="176"/>
      <c r="AG379" s="176"/>
      <c r="AH379" s="176"/>
      <c r="AI379" s="918"/>
    </row>
    <row r="380" spans="1:35" s="539" customFormat="1" ht="58.5" customHeight="1" x14ac:dyDescent="0.25">
      <c r="A380" s="919"/>
      <c r="B380" s="685"/>
      <c r="C380" s="820"/>
      <c r="D380" s="718"/>
      <c r="E380" s="824"/>
      <c r="F380" s="820"/>
      <c r="G380" s="542"/>
      <c r="H380" s="829">
        <v>75</v>
      </c>
      <c r="I380" s="828" t="s">
        <v>491</v>
      </c>
      <c r="J380" s="651">
        <v>18</v>
      </c>
      <c r="K380" s="686">
        <v>36</v>
      </c>
      <c r="L380" s="686">
        <v>19</v>
      </c>
      <c r="M380" s="1137" t="s">
        <v>460</v>
      </c>
      <c r="N380" s="1084" t="s">
        <v>492</v>
      </c>
      <c r="O380" s="1080" t="s">
        <v>493</v>
      </c>
      <c r="P380" s="829" t="s">
        <v>40</v>
      </c>
      <c r="Q380" s="546"/>
      <c r="R380" s="546"/>
      <c r="S380" s="546"/>
      <c r="T380" s="546"/>
      <c r="U380" s="546"/>
      <c r="V380" s="546"/>
      <c r="W380" s="538"/>
      <c r="X380" s="546"/>
      <c r="Y380" s="546"/>
      <c r="Z380" s="546"/>
      <c r="AA380" s="546"/>
      <c r="AB380" s="546"/>
      <c r="AC380" s="546"/>
      <c r="AD380" s="719"/>
      <c r="AE380" s="550"/>
      <c r="AF380" s="547"/>
      <c r="AG380" s="547"/>
      <c r="AH380" s="547"/>
      <c r="AI380" s="900">
        <f t="shared" ref="AI380:AI387" si="24">+Q380+R380+S380+T380+U380+V380+W380+X380+Y380+Z380+AA380+AB380+AC380+AD380+AE380+AF380+AG380+AH380</f>
        <v>0</v>
      </c>
    </row>
    <row r="381" spans="1:35" s="539" customFormat="1" ht="58.5" customHeight="1" x14ac:dyDescent="0.25">
      <c r="A381" s="919"/>
      <c r="B381" s="685"/>
      <c r="C381" s="823"/>
      <c r="D381" s="720"/>
      <c r="E381" s="721"/>
      <c r="F381" s="840"/>
      <c r="G381" s="549"/>
      <c r="H381" s="829">
        <v>76</v>
      </c>
      <c r="I381" s="828" t="s">
        <v>494</v>
      </c>
      <c r="J381" s="651">
        <v>0</v>
      </c>
      <c r="K381" s="686">
        <v>1200</v>
      </c>
      <c r="L381" s="686">
        <v>959</v>
      </c>
      <c r="M381" s="1138"/>
      <c r="N381" s="1082"/>
      <c r="O381" s="1087"/>
      <c r="P381" s="829" t="s">
        <v>40</v>
      </c>
      <c r="Q381" s="546"/>
      <c r="R381" s="546"/>
      <c r="S381" s="546"/>
      <c r="T381" s="546"/>
      <c r="U381" s="546"/>
      <c r="V381" s="546"/>
      <c r="W381" s="546"/>
      <c r="X381" s="546"/>
      <c r="Y381" s="546"/>
      <c r="Z381" s="546"/>
      <c r="AA381" s="546"/>
      <c r="AB381" s="546"/>
      <c r="AC381" s="546"/>
      <c r="AD381" s="546"/>
      <c r="AE381" s="550">
        <f>10000000+18355000</f>
        <v>28355000</v>
      </c>
      <c r="AF381" s="547"/>
      <c r="AG381" s="547"/>
      <c r="AH381" s="547"/>
      <c r="AI381" s="900">
        <f t="shared" si="24"/>
        <v>28355000</v>
      </c>
    </row>
    <row r="382" spans="1:35" s="539" customFormat="1" ht="58.5" customHeight="1" x14ac:dyDescent="0.25">
      <c r="A382" s="919"/>
      <c r="B382" s="685"/>
      <c r="C382" s="823">
        <v>16</v>
      </c>
      <c r="D382" s="720" t="s">
        <v>495</v>
      </c>
      <c r="E382" s="825">
        <v>45</v>
      </c>
      <c r="F382" s="823">
        <v>90</v>
      </c>
      <c r="G382" s="549"/>
      <c r="H382" s="829">
        <v>77</v>
      </c>
      <c r="I382" s="828" t="s">
        <v>496</v>
      </c>
      <c r="J382" s="651">
        <v>20</v>
      </c>
      <c r="K382" s="686">
        <v>80</v>
      </c>
      <c r="L382" s="686">
        <v>94</v>
      </c>
      <c r="M382" s="1138"/>
      <c r="N382" s="1082"/>
      <c r="O382" s="1087"/>
      <c r="P382" s="829" t="s">
        <v>40</v>
      </c>
      <c r="Q382" s="546"/>
      <c r="R382" s="546"/>
      <c r="S382" s="546"/>
      <c r="T382" s="546"/>
      <c r="U382" s="546"/>
      <c r="V382" s="546"/>
      <c r="W382" s="546"/>
      <c r="X382" s="546"/>
      <c r="Y382" s="546"/>
      <c r="Z382" s="546"/>
      <c r="AA382" s="546"/>
      <c r="AB382" s="546"/>
      <c r="AC382" s="546"/>
      <c r="AD382" s="546"/>
      <c r="AE382" s="550"/>
      <c r="AF382" s="547"/>
      <c r="AG382" s="547"/>
      <c r="AH382" s="547"/>
      <c r="AI382" s="900">
        <f t="shared" si="24"/>
        <v>0</v>
      </c>
    </row>
    <row r="383" spans="1:35" s="539" customFormat="1" ht="58.5" customHeight="1" x14ac:dyDescent="0.25">
      <c r="A383" s="919"/>
      <c r="B383" s="685"/>
      <c r="C383" s="823"/>
      <c r="D383" s="720"/>
      <c r="E383" s="721"/>
      <c r="F383" s="840"/>
      <c r="G383" s="549"/>
      <c r="H383" s="829">
        <v>78</v>
      </c>
      <c r="I383" s="828" t="s">
        <v>497</v>
      </c>
      <c r="J383" s="651">
        <v>7</v>
      </c>
      <c r="K383" s="686">
        <v>15</v>
      </c>
      <c r="L383" s="686">
        <v>15</v>
      </c>
      <c r="M383" s="1138"/>
      <c r="N383" s="1082"/>
      <c r="O383" s="1087"/>
      <c r="P383" s="829" t="s">
        <v>40</v>
      </c>
      <c r="Q383" s="546"/>
      <c r="R383" s="546"/>
      <c r="S383" s="546"/>
      <c r="T383" s="546"/>
      <c r="U383" s="546"/>
      <c r="V383" s="546"/>
      <c r="W383" s="546"/>
      <c r="X383" s="546"/>
      <c r="Y383" s="546"/>
      <c r="Z383" s="546"/>
      <c r="AA383" s="546"/>
      <c r="AB383" s="546"/>
      <c r="AC383" s="546"/>
      <c r="AD383" s="546"/>
      <c r="AE383" s="550">
        <v>40000000</v>
      </c>
      <c r="AF383" s="547"/>
      <c r="AG383" s="547"/>
      <c r="AH383" s="547"/>
      <c r="AI383" s="900">
        <f t="shared" si="24"/>
        <v>40000000</v>
      </c>
    </row>
    <row r="384" spans="1:35" s="539" customFormat="1" ht="58.5" customHeight="1" x14ac:dyDescent="0.25">
      <c r="A384" s="919"/>
      <c r="B384" s="685"/>
      <c r="C384" s="823">
        <v>17</v>
      </c>
      <c r="D384" s="720" t="s">
        <v>498</v>
      </c>
      <c r="E384" s="721">
        <v>0.63270000000000004</v>
      </c>
      <c r="F384" s="840">
        <v>0.5</v>
      </c>
      <c r="G384" s="549"/>
      <c r="H384" s="829">
        <v>79</v>
      </c>
      <c r="I384" s="828" t="s">
        <v>499</v>
      </c>
      <c r="J384" s="651">
        <v>96</v>
      </c>
      <c r="K384" s="686">
        <v>230</v>
      </c>
      <c r="L384" s="686">
        <v>246</v>
      </c>
      <c r="M384" s="1138"/>
      <c r="N384" s="1082"/>
      <c r="O384" s="1087"/>
      <c r="P384" s="829" t="s">
        <v>40</v>
      </c>
      <c r="Q384" s="546"/>
      <c r="R384" s="546"/>
      <c r="S384" s="546"/>
      <c r="T384" s="546"/>
      <c r="U384" s="546"/>
      <c r="V384" s="546"/>
      <c r="W384" s="546"/>
      <c r="X384" s="546"/>
      <c r="Y384" s="546"/>
      <c r="Z384" s="546"/>
      <c r="AA384" s="546"/>
      <c r="AB384" s="546"/>
      <c r="AC384" s="546"/>
      <c r="AD384" s="546"/>
      <c r="AE384" s="550"/>
      <c r="AF384" s="547"/>
      <c r="AG384" s="547"/>
      <c r="AH384" s="547"/>
      <c r="AI384" s="900">
        <f t="shared" si="24"/>
        <v>0</v>
      </c>
    </row>
    <row r="385" spans="1:35" s="539" customFormat="1" ht="58.5" customHeight="1" x14ac:dyDescent="0.25">
      <c r="A385" s="919"/>
      <c r="B385" s="685"/>
      <c r="C385" s="823"/>
      <c r="D385" s="720"/>
      <c r="E385" s="721"/>
      <c r="F385" s="840"/>
      <c r="G385" s="549"/>
      <c r="H385" s="829">
        <v>80</v>
      </c>
      <c r="I385" s="828" t="s">
        <v>500</v>
      </c>
      <c r="J385" s="651">
        <v>2906</v>
      </c>
      <c r="K385" s="686">
        <v>4700</v>
      </c>
      <c r="L385" s="686">
        <v>6985</v>
      </c>
      <c r="M385" s="1138"/>
      <c r="N385" s="1082"/>
      <c r="O385" s="1087"/>
      <c r="P385" s="829" t="s">
        <v>40</v>
      </c>
      <c r="Q385" s="546"/>
      <c r="R385" s="546"/>
      <c r="S385" s="546"/>
      <c r="T385" s="546"/>
      <c r="U385" s="546"/>
      <c r="V385" s="546"/>
      <c r="W385" s="546"/>
      <c r="X385" s="546"/>
      <c r="Y385" s="546"/>
      <c r="Z385" s="546"/>
      <c r="AA385" s="546"/>
      <c r="AB385" s="546"/>
      <c r="AC385" s="546"/>
      <c r="AD385" s="546"/>
      <c r="AE385" s="550"/>
      <c r="AF385" s="547"/>
      <c r="AG385" s="547"/>
      <c r="AH385" s="547"/>
      <c r="AI385" s="900">
        <f t="shared" si="24"/>
        <v>0</v>
      </c>
    </row>
    <row r="386" spans="1:35" s="539" customFormat="1" ht="58.5" customHeight="1" x14ac:dyDescent="0.25">
      <c r="A386" s="919"/>
      <c r="B386" s="685"/>
      <c r="C386" s="823"/>
      <c r="D386" s="822" t="s">
        <v>0</v>
      </c>
      <c r="E386" s="721"/>
      <c r="F386" s="840"/>
      <c r="G386" s="549"/>
      <c r="H386" s="829">
        <v>81</v>
      </c>
      <c r="I386" s="828" t="s">
        <v>501</v>
      </c>
      <c r="J386" s="543">
        <v>13</v>
      </c>
      <c r="K386" s="686">
        <v>41</v>
      </c>
      <c r="L386" s="686">
        <v>19</v>
      </c>
      <c r="M386" s="1138"/>
      <c r="N386" s="1082"/>
      <c r="O386" s="1087"/>
      <c r="P386" s="829" t="s">
        <v>40</v>
      </c>
      <c r="Q386" s="546"/>
      <c r="R386" s="546"/>
      <c r="S386" s="546"/>
      <c r="T386" s="546"/>
      <c r="U386" s="546"/>
      <c r="V386" s="546"/>
      <c r="W386" s="546"/>
      <c r="X386" s="546"/>
      <c r="Y386" s="546"/>
      <c r="Z386" s="546"/>
      <c r="AA386" s="546"/>
      <c r="AB386" s="546"/>
      <c r="AC386" s="546"/>
      <c r="AD386" s="546"/>
      <c r="AE386" s="550"/>
      <c r="AF386" s="547"/>
      <c r="AG386" s="547"/>
      <c r="AH386" s="547"/>
      <c r="AI386" s="900">
        <f t="shared" si="24"/>
        <v>0</v>
      </c>
    </row>
    <row r="387" spans="1:35" s="539" customFormat="1" ht="58.5" customHeight="1" x14ac:dyDescent="0.25">
      <c r="A387" s="919"/>
      <c r="B387" s="685"/>
      <c r="C387" s="823"/>
      <c r="D387" s="822" t="s">
        <v>0</v>
      </c>
      <c r="E387" s="721"/>
      <c r="F387" s="840"/>
      <c r="G387" s="624"/>
      <c r="H387" s="829">
        <v>82</v>
      </c>
      <c r="I387" s="828" t="s">
        <v>502</v>
      </c>
      <c r="J387" s="543">
        <v>14</v>
      </c>
      <c r="K387" s="686">
        <v>40</v>
      </c>
      <c r="L387" s="686">
        <v>18</v>
      </c>
      <c r="M387" s="1139"/>
      <c r="N387" s="1083"/>
      <c r="O387" s="1081"/>
      <c r="P387" s="829" t="s">
        <v>40</v>
      </c>
      <c r="Q387" s="546"/>
      <c r="R387" s="546"/>
      <c r="S387" s="546"/>
      <c r="T387" s="546"/>
      <c r="U387" s="546"/>
      <c r="V387" s="546"/>
      <c r="W387" s="546"/>
      <c r="X387" s="546"/>
      <c r="Y387" s="546"/>
      <c r="Z387" s="546"/>
      <c r="AA387" s="546"/>
      <c r="AB387" s="546"/>
      <c r="AC387" s="546"/>
      <c r="AD387" s="546"/>
      <c r="AE387" s="550"/>
      <c r="AF387" s="547"/>
      <c r="AG387" s="547"/>
      <c r="AH387" s="547"/>
      <c r="AI387" s="900">
        <f t="shared" si="24"/>
        <v>0</v>
      </c>
    </row>
    <row r="388" spans="1:35" ht="21.75" customHeight="1" x14ac:dyDescent="0.25">
      <c r="A388" s="917"/>
      <c r="B388" s="325"/>
      <c r="C388" s="852"/>
      <c r="D388" s="849"/>
      <c r="E388" s="400"/>
      <c r="F388" s="848"/>
      <c r="G388" s="8"/>
      <c r="H388" s="148"/>
      <c r="I388" s="147"/>
      <c r="J388" s="149"/>
      <c r="K388" s="314"/>
      <c r="L388" s="314"/>
      <c r="M388" s="149"/>
      <c r="N388" s="584"/>
      <c r="O388" s="147"/>
      <c r="P388" s="148"/>
      <c r="Q388" s="150"/>
      <c r="R388" s="150"/>
      <c r="S388" s="150"/>
      <c r="T388" s="150"/>
      <c r="U388" s="150"/>
      <c r="V388" s="150"/>
      <c r="W388" s="150"/>
      <c r="X388" s="150"/>
      <c r="Y388" s="150"/>
      <c r="Z388" s="150"/>
      <c r="AA388" s="150"/>
      <c r="AB388" s="150"/>
      <c r="AC388" s="150"/>
      <c r="AD388" s="150"/>
      <c r="AE388" s="54">
        <f>SUM(AE380:AE387)</f>
        <v>68355000</v>
      </c>
      <c r="AF388" s="150"/>
      <c r="AG388" s="150"/>
      <c r="AH388" s="150"/>
      <c r="AI388" s="904">
        <f>SUM(AI380:AI387)</f>
        <v>68355000</v>
      </c>
    </row>
    <row r="389" spans="1:35" ht="15" x14ac:dyDescent="0.25">
      <c r="A389" s="917"/>
      <c r="B389" s="144"/>
      <c r="C389" s="567"/>
      <c r="D389" s="161"/>
      <c r="E389" s="394"/>
      <c r="F389" s="394"/>
      <c r="G389" s="161"/>
      <c r="H389" s="845"/>
      <c r="I389" s="161"/>
      <c r="J389" s="162"/>
      <c r="K389" s="401"/>
      <c r="L389" s="575"/>
      <c r="M389" s="270"/>
      <c r="N389" s="57"/>
      <c r="O389" s="216"/>
      <c r="P389" s="845"/>
      <c r="Q389" s="12"/>
      <c r="R389" s="12"/>
      <c r="S389" s="12"/>
      <c r="T389" s="12"/>
      <c r="U389" s="12"/>
      <c r="V389" s="12"/>
      <c r="W389" s="12"/>
      <c r="X389" s="12"/>
      <c r="Y389" s="12"/>
      <c r="Z389" s="12"/>
      <c r="AA389" s="12"/>
      <c r="AB389" s="12"/>
      <c r="AC389" s="12"/>
      <c r="AD389" s="12"/>
      <c r="AE389" s="189"/>
      <c r="AF389" s="12"/>
      <c r="AG389" s="12"/>
      <c r="AH389" s="12"/>
      <c r="AI389" s="921"/>
    </row>
    <row r="390" spans="1:35" ht="25.5" customHeight="1" x14ac:dyDescent="0.25">
      <c r="A390" s="917"/>
      <c r="B390" s="144"/>
      <c r="C390" s="856"/>
      <c r="D390" s="832"/>
      <c r="E390" s="847"/>
      <c r="F390" s="847"/>
      <c r="G390" s="402">
        <v>20</v>
      </c>
      <c r="H390" s="85" t="s">
        <v>503</v>
      </c>
      <c r="I390" s="81"/>
      <c r="J390" s="81"/>
      <c r="K390" s="339"/>
      <c r="L390" s="339"/>
      <c r="M390" s="81"/>
      <c r="N390" s="88"/>
      <c r="O390" s="81"/>
      <c r="P390" s="81"/>
      <c r="Q390" s="176"/>
      <c r="R390" s="176"/>
      <c r="S390" s="176"/>
      <c r="T390" s="176"/>
      <c r="U390" s="176"/>
      <c r="V390" s="176"/>
      <c r="W390" s="176"/>
      <c r="X390" s="176"/>
      <c r="Y390" s="176"/>
      <c r="Z390" s="176"/>
      <c r="AA390" s="176"/>
      <c r="AB390" s="176"/>
      <c r="AC390" s="176"/>
      <c r="AD390" s="176"/>
      <c r="AE390" s="177"/>
      <c r="AF390" s="176"/>
      <c r="AG390" s="176"/>
      <c r="AH390" s="176"/>
      <c r="AI390" s="918"/>
    </row>
    <row r="391" spans="1:35" s="539" customFormat="1" ht="54" customHeight="1" x14ac:dyDescent="0.25">
      <c r="A391" s="919"/>
      <c r="B391" s="685"/>
      <c r="C391" s="722"/>
      <c r="D391" s="723"/>
      <c r="E391" s="723"/>
      <c r="F391" s="723"/>
      <c r="G391" s="697"/>
      <c r="H391" s="829">
        <v>83</v>
      </c>
      <c r="I391" s="828" t="s">
        <v>504</v>
      </c>
      <c r="J391" s="651">
        <v>0</v>
      </c>
      <c r="K391" s="686">
        <v>54</v>
      </c>
      <c r="L391" s="686">
        <v>54</v>
      </c>
      <c r="M391" s="1134" t="s">
        <v>460</v>
      </c>
      <c r="N391" s="1084" t="s">
        <v>505</v>
      </c>
      <c r="O391" s="1080" t="s">
        <v>506</v>
      </c>
      <c r="P391" s="829" t="s">
        <v>40</v>
      </c>
      <c r="Q391" s="546"/>
      <c r="R391" s="546"/>
      <c r="S391" s="546"/>
      <c r="T391" s="546"/>
      <c r="U391" s="546"/>
      <c r="V391" s="546"/>
      <c r="W391" s="546"/>
      <c r="X391" s="546"/>
      <c r="Y391" s="546"/>
      <c r="Z391" s="546"/>
      <c r="AA391" s="546"/>
      <c r="AB391" s="546"/>
      <c r="AC391" s="546"/>
      <c r="AD391" s="546"/>
      <c r="AE391" s="550">
        <f>19800000+103775000+100000000</f>
        <v>223575000</v>
      </c>
      <c r="AF391" s="547"/>
      <c r="AG391" s="547"/>
      <c r="AH391" s="547"/>
      <c r="AI391" s="900">
        <f t="shared" ref="AI391:AI400" si="25">+Q391+R391+S391+T391+U391+V391+W391+X391+Y391+Z391+AA391+AB391+AC391+AD391+AE391+AF391+AG391+AH391</f>
        <v>223575000</v>
      </c>
    </row>
    <row r="392" spans="1:35" s="539" customFormat="1" ht="78" customHeight="1" x14ac:dyDescent="0.25">
      <c r="A392" s="919"/>
      <c r="B392" s="685"/>
      <c r="C392" s="722"/>
      <c r="D392" s="723"/>
      <c r="E392" s="723"/>
      <c r="F392" s="723"/>
      <c r="G392" s="623"/>
      <c r="H392" s="829">
        <v>84</v>
      </c>
      <c r="I392" s="828" t="s">
        <v>507</v>
      </c>
      <c r="J392" s="651">
        <v>0</v>
      </c>
      <c r="K392" s="686">
        <v>30</v>
      </c>
      <c r="L392" s="686">
        <v>44</v>
      </c>
      <c r="M392" s="1135"/>
      <c r="N392" s="1082"/>
      <c r="O392" s="1087"/>
      <c r="P392" s="829" t="s">
        <v>40</v>
      </c>
      <c r="Q392" s="546"/>
      <c r="R392" s="546"/>
      <c r="S392" s="546"/>
      <c r="T392" s="546"/>
      <c r="U392" s="546"/>
      <c r="V392" s="546"/>
      <c r="W392" s="546"/>
      <c r="X392" s="546"/>
      <c r="Y392" s="546"/>
      <c r="Z392" s="546"/>
      <c r="AA392" s="546"/>
      <c r="AB392" s="546"/>
      <c r="AC392" s="546"/>
      <c r="AD392" s="546"/>
      <c r="AE392" s="550"/>
      <c r="AF392" s="547"/>
      <c r="AG392" s="547"/>
      <c r="AH392" s="547"/>
      <c r="AI392" s="900">
        <f t="shared" si="25"/>
        <v>0</v>
      </c>
    </row>
    <row r="393" spans="1:35" s="539" customFormat="1" ht="28.5" x14ac:dyDescent="0.25">
      <c r="A393" s="919"/>
      <c r="B393" s="685"/>
      <c r="C393" s="722"/>
      <c r="D393" s="723"/>
      <c r="E393" s="723"/>
      <c r="F393" s="723"/>
      <c r="G393" s="623"/>
      <c r="H393" s="829">
        <v>85</v>
      </c>
      <c r="I393" s="828" t="s">
        <v>508</v>
      </c>
      <c r="J393" s="651">
        <v>0</v>
      </c>
      <c r="K393" s="686">
        <v>30</v>
      </c>
      <c r="L393" s="686">
        <v>54</v>
      </c>
      <c r="M393" s="1135"/>
      <c r="N393" s="1082"/>
      <c r="O393" s="1087"/>
      <c r="P393" s="829" t="s">
        <v>40</v>
      </c>
      <c r="Q393" s="546"/>
      <c r="R393" s="546"/>
      <c r="S393" s="546"/>
      <c r="T393" s="546"/>
      <c r="U393" s="546"/>
      <c r="V393" s="546"/>
      <c r="W393" s="546"/>
      <c r="X393" s="546"/>
      <c r="Y393" s="546"/>
      <c r="Z393" s="546"/>
      <c r="AA393" s="546"/>
      <c r="AB393" s="546"/>
      <c r="AC393" s="546"/>
      <c r="AD393" s="546"/>
      <c r="AE393" s="550"/>
      <c r="AF393" s="547"/>
      <c r="AG393" s="547"/>
      <c r="AH393" s="547"/>
      <c r="AI393" s="900">
        <f t="shared" si="25"/>
        <v>0</v>
      </c>
    </row>
    <row r="394" spans="1:35" s="539" customFormat="1" ht="117.75" customHeight="1" x14ac:dyDescent="0.25">
      <c r="A394" s="919"/>
      <c r="B394" s="685"/>
      <c r="C394" s="823">
        <v>14</v>
      </c>
      <c r="D394" s="549" t="s">
        <v>467</v>
      </c>
      <c r="E394" s="840">
        <v>6.2E-2</v>
      </c>
      <c r="F394" s="840">
        <v>0.03</v>
      </c>
      <c r="G394" s="623"/>
      <c r="H394" s="829">
        <v>87</v>
      </c>
      <c r="I394" s="828" t="s">
        <v>509</v>
      </c>
      <c r="J394" s="651">
        <v>0</v>
      </c>
      <c r="K394" s="686">
        <v>30</v>
      </c>
      <c r="L394" s="686">
        <v>14</v>
      </c>
      <c r="M394" s="1135"/>
      <c r="N394" s="1082"/>
      <c r="O394" s="1087"/>
      <c r="P394" s="829" t="s">
        <v>46</v>
      </c>
      <c r="Q394" s="546"/>
      <c r="R394" s="546"/>
      <c r="S394" s="546"/>
      <c r="T394" s="546"/>
      <c r="U394" s="546"/>
      <c r="V394" s="546"/>
      <c r="W394" s="546"/>
      <c r="X394" s="546"/>
      <c r="Y394" s="546"/>
      <c r="Z394" s="546"/>
      <c r="AA394" s="546">
        <v>80000000</v>
      </c>
      <c r="AB394" s="546"/>
      <c r="AC394" s="546"/>
      <c r="AD394" s="547"/>
      <c r="AE394" s="550">
        <v>19875000</v>
      </c>
      <c r="AF394" s="547"/>
      <c r="AG394" s="547"/>
      <c r="AH394" s="547"/>
      <c r="AI394" s="900">
        <f t="shared" si="25"/>
        <v>99875000</v>
      </c>
    </row>
    <row r="395" spans="1:35" s="539" customFormat="1" ht="63" customHeight="1" x14ac:dyDescent="0.25">
      <c r="A395" s="919"/>
      <c r="B395" s="685"/>
      <c r="C395" s="823">
        <v>15</v>
      </c>
      <c r="D395" s="822" t="s">
        <v>458</v>
      </c>
      <c r="E395" s="840">
        <v>0.73229999999999995</v>
      </c>
      <c r="F395" s="840">
        <v>0.78</v>
      </c>
      <c r="G395" s="623"/>
      <c r="H395" s="829">
        <v>88</v>
      </c>
      <c r="I395" s="828" t="s">
        <v>510</v>
      </c>
      <c r="J395" s="651">
        <v>21</v>
      </c>
      <c r="K395" s="686">
        <v>36</v>
      </c>
      <c r="L395" s="686">
        <v>54</v>
      </c>
      <c r="M395" s="1135"/>
      <c r="N395" s="1082"/>
      <c r="O395" s="1087"/>
      <c r="P395" s="829" t="s">
        <v>40</v>
      </c>
      <c r="Q395" s="546"/>
      <c r="R395" s="546"/>
      <c r="S395" s="546"/>
      <c r="T395" s="546"/>
      <c r="U395" s="546"/>
      <c r="V395" s="546"/>
      <c r="W395" s="546"/>
      <c r="X395" s="546"/>
      <c r="Y395" s="546"/>
      <c r="Z395" s="546"/>
      <c r="AA395" s="546"/>
      <c r="AB395" s="546"/>
      <c r="AC395" s="546"/>
      <c r="AD395" s="546"/>
      <c r="AE395" s="550">
        <f>34351000+30000000</f>
        <v>64351000</v>
      </c>
      <c r="AF395" s="547"/>
      <c r="AG395" s="547"/>
      <c r="AH395" s="547"/>
      <c r="AI395" s="900">
        <f t="shared" si="25"/>
        <v>64351000</v>
      </c>
    </row>
    <row r="396" spans="1:35" s="539" customFormat="1" ht="46.5" customHeight="1" x14ac:dyDescent="0.25">
      <c r="A396" s="919"/>
      <c r="B396" s="685"/>
      <c r="C396" s="823">
        <v>19</v>
      </c>
      <c r="D396" s="822" t="s">
        <v>463</v>
      </c>
      <c r="E396" s="840" t="s">
        <v>511</v>
      </c>
      <c r="F396" s="840" t="s">
        <v>512</v>
      </c>
      <c r="G396" s="623"/>
      <c r="H396" s="829">
        <v>86</v>
      </c>
      <c r="I396" s="828" t="s">
        <v>513</v>
      </c>
      <c r="J396" s="651">
        <v>0</v>
      </c>
      <c r="K396" s="686">
        <v>1</v>
      </c>
      <c r="L396" s="686">
        <v>1</v>
      </c>
      <c r="M396" s="1135"/>
      <c r="N396" s="1082"/>
      <c r="O396" s="1087"/>
      <c r="P396" s="829" t="s">
        <v>40</v>
      </c>
      <c r="Q396" s="546"/>
      <c r="R396" s="546"/>
      <c r="S396" s="546"/>
      <c r="T396" s="546"/>
      <c r="U396" s="546"/>
      <c r="V396" s="546"/>
      <c r="W396" s="724"/>
      <c r="X396" s="546"/>
      <c r="Y396" s="546"/>
      <c r="Z396" s="546"/>
      <c r="AA396" s="546"/>
      <c r="AB396" s="546"/>
      <c r="AC396" s="546"/>
      <c r="AD396" s="546"/>
      <c r="AE396" s="550"/>
      <c r="AF396" s="547"/>
      <c r="AG396" s="547"/>
      <c r="AH396" s="547"/>
      <c r="AI396" s="900">
        <f t="shared" si="25"/>
        <v>0</v>
      </c>
    </row>
    <row r="397" spans="1:35" s="539" customFormat="1" ht="61.5" customHeight="1" x14ac:dyDescent="0.25">
      <c r="A397" s="919"/>
      <c r="B397" s="685"/>
      <c r="C397" s="823"/>
      <c r="D397" s="549"/>
      <c r="E397" s="725"/>
      <c r="F397" s="725"/>
      <c r="G397" s="623"/>
      <c r="H397" s="829">
        <v>89</v>
      </c>
      <c r="I397" s="828" t="s">
        <v>514</v>
      </c>
      <c r="J397" s="651" t="s">
        <v>36</v>
      </c>
      <c r="K397" s="686">
        <v>20000</v>
      </c>
      <c r="L397" s="686">
        <v>18831</v>
      </c>
      <c r="M397" s="1135"/>
      <c r="N397" s="1082"/>
      <c r="O397" s="1087"/>
      <c r="P397" s="829" t="s">
        <v>40</v>
      </c>
      <c r="Q397" s="546"/>
      <c r="R397" s="546"/>
      <c r="S397" s="546"/>
      <c r="T397" s="546"/>
      <c r="U397" s="546"/>
      <c r="V397" s="546"/>
      <c r="W397" s="546"/>
      <c r="X397" s="546"/>
      <c r="Y397" s="546"/>
      <c r="Z397" s="546"/>
      <c r="AA397" s="546"/>
      <c r="AB397" s="546"/>
      <c r="AC397" s="546"/>
      <c r="AD397" s="546"/>
      <c r="AE397" s="550"/>
      <c r="AF397" s="547"/>
      <c r="AG397" s="547"/>
      <c r="AH397" s="547"/>
      <c r="AI397" s="900">
        <f t="shared" si="25"/>
        <v>0</v>
      </c>
    </row>
    <row r="398" spans="1:35" s="539" customFormat="1" ht="63" customHeight="1" x14ac:dyDescent="0.25">
      <c r="A398" s="919"/>
      <c r="B398" s="685"/>
      <c r="C398" s="823"/>
      <c r="D398" s="549"/>
      <c r="E398" s="725"/>
      <c r="F398" s="725"/>
      <c r="G398" s="623"/>
      <c r="H398" s="829">
        <v>90</v>
      </c>
      <c r="I398" s="828" t="s">
        <v>515</v>
      </c>
      <c r="J398" s="651">
        <v>100</v>
      </c>
      <c r="K398" s="686">
        <v>130</v>
      </c>
      <c r="L398" s="686">
        <v>110</v>
      </c>
      <c r="M398" s="1135"/>
      <c r="N398" s="1082"/>
      <c r="O398" s="1087"/>
      <c r="P398" s="829" t="s">
        <v>40</v>
      </c>
      <c r="Q398" s="546"/>
      <c r="R398" s="546"/>
      <c r="S398" s="546"/>
      <c r="T398" s="546"/>
      <c r="U398" s="546"/>
      <c r="V398" s="546"/>
      <c r="W398" s="546"/>
      <c r="X398" s="546"/>
      <c r="Y398" s="546"/>
      <c r="Z398" s="546"/>
      <c r="AA398" s="546">
        <f>0+17146218</f>
        <v>17146218</v>
      </c>
      <c r="AB398" s="546"/>
      <c r="AC398" s="546"/>
      <c r="AD398" s="546"/>
      <c r="AE398" s="550">
        <v>29875000</v>
      </c>
      <c r="AF398" s="547"/>
      <c r="AG398" s="547"/>
      <c r="AH398" s="547"/>
      <c r="AI398" s="900">
        <f t="shared" si="25"/>
        <v>47021218</v>
      </c>
    </row>
    <row r="399" spans="1:35" s="539" customFormat="1" ht="74.25" customHeight="1" x14ac:dyDescent="0.25">
      <c r="A399" s="919"/>
      <c r="B399" s="685"/>
      <c r="C399" s="823"/>
      <c r="D399" s="549"/>
      <c r="E399" s="725"/>
      <c r="F399" s="725"/>
      <c r="G399" s="623"/>
      <c r="H399" s="829">
        <v>91</v>
      </c>
      <c r="I399" s="828" t="s">
        <v>516</v>
      </c>
      <c r="J399" s="651">
        <v>0</v>
      </c>
      <c r="K399" s="686">
        <v>54</v>
      </c>
      <c r="L399" s="686">
        <v>44</v>
      </c>
      <c r="M399" s="1135"/>
      <c r="N399" s="1082"/>
      <c r="O399" s="1087"/>
      <c r="P399" s="829" t="s">
        <v>46</v>
      </c>
      <c r="Q399" s="546"/>
      <c r="R399" s="546"/>
      <c r="S399" s="546"/>
      <c r="T399" s="546"/>
      <c r="U399" s="546"/>
      <c r="V399" s="546"/>
      <c r="W399" s="546"/>
      <c r="X399" s="546"/>
      <c r="Y399" s="546"/>
      <c r="Z399" s="546"/>
      <c r="AA399" s="546">
        <f>60000000+31988604.86+17146218-17146218</f>
        <v>91988604.859999999</v>
      </c>
      <c r="AB399" s="546"/>
      <c r="AC399" s="546"/>
      <c r="AD399" s="546"/>
      <c r="AE399" s="550">
        <v>9885764</v>
      </c>
      <c r="AF399" s="547"/>
      <c r="AG399" s="547"/>
      <c r="AH399" s="547"/>
      <c r="AI399" s="900">
        <f t="shared" si="25"/>
        <v>101874368.86</v>
      </c>
    </row>
    <row r="400" spans="1:35" s="539" customFormat="1" ht="91.5" customHeight="1" x14ac:dyDescent="0.25">
      <c r="A400" s="919"/>
      <c r="B400" s="685"/>
      <c r="C400" s="823"/>
      <c r="D400" s="822"/>
      <c r="E400" s="840"/>
      <c r="F400" s="840"/>
      <c r="G400" s="698"/>
      <c r="H400" s="829">
        <v>92</v>
      </c>
      <c r="I400" s="828" t="s">
        <v>517</v>
      </c>
      <c r="J400" s="651">
        <v>0</v>
      </c>
      <c r="K400" s="684">
        <v>1</v>
      </c>
      <c r="L400" s="782">
        <v>0.75</v>
      </c>
      <c r="M400" s="1136"/>
      <c r="N400" s="1083"/>
      <c r="O400" s="1081"/>
      <c r="P400" s="829" t="s">
        <v>40</v>
      </c>
      <c r="Q400" s="546"/>
      <c r="R400" s="546"/>
      <c r="S400" s="546"/>
      <c r="T400" s="546"/>
      <c r="U400" s="546"/>
      <c r="V400" s="546"/>
      <c r="W400" s="546"/>
      <c r="X400" s="546"/>
      <c r="Y400" s="546"/>
      <c r="Z400" s="546"/>
      <c r="AA400" s="546"/>
      <c r="AB400" s="546"/>
      <c r="AC400" s="546"/>
      <c r="AD400" s="546"/>
      <c r="AE400" s="550">
        <f>30000000-30000000</f>
        <v>0</v>
      </c>
      <c r="AF400" s="547"/>
      <c r="AG400" s="547"/>
      <c r="AH400" s="547"/>
      <c r="AI400" s="900">
        <f t="shared" si="25"/>
        <v>0</v>
      </c>
    </row>
    <row r="401" spans="1:35" ht="15" x14ac:dyDescent="0.25">
      <c r="A401" s="917"/>
      <c r="B401" s="325"/>
      <c r="C401" s="853"/>
      <c r="D401" s="849"/>
      <c r="E401" s="848"/>
      <c r="F401" s="848"/>
      <c r="G401" s="8"/>
      <c r="H401" s="148"/>
      <c r="I401" s="147"/>
      <c r="J401" s="307"/>
      <c r="K401" s="314"/>
      <c r="L401" s="314"/>
      <c r="M401" s="314"/>
      <c r="N401" s="584"/>
      <c r="O401" s="147"/>
      <c r="P401" s="148"/>
      <c r="Q401" s="150"/>
      <c r="R401" s="150"/>
      <c r="S401" s="150"/>
      <c r="T401" s="150"/>
      <c r="U401" s="150"/>
      <c r="V401" s="150"/>
      <c r="W401" s="150"/>
      <c r="X401" s="150"/>
      <c r="Y401" s="150"/>
      <c r="Z401" s="150"/>
      <c r="AA401" s="150">
        <f>SUM(AA391:AA400)</f>
        <v>189134822.86000001</v>
      </c>
      <c r="AB401" s="150">
        <f>SUM(AB391:AB400)</f>
        <v>0</v>
      </c>
      <c r="AC401" s="150">
        <f>SUM(AC391:AC400)</f>
        <v>0</v>
      </c>
      <c r="AD401" s="150">
        <f>SUM(AD391:AD400)</f>
        <v>0</v>
      </c>
      <c r="AE401" s="54">
        <f>SUM(AE391:AE400)</f>
        <v>347561764</v>
      </c>
      <c r="AF401" s="150"/>
      <c r="AG401" s="150"/>
      <c r="AH401" s="150"/>
      <c r="AI401" s="904">
        <f>SUM(AI391:AI400)</f>
        <v>536696586.86000001</v>
      </c>
    </row>
    <row r="402" spans="1:35" ht="15" x14ac:dyDescent="0.25">
      <c r="A402" s="917"/>
      <c r="B402" s="144"/>
      <c r="C402" s="845"/>
      <c r="D402" s="161"/>
      <c r="E402" s="394"/>
      <c r="F402" s="394"/>
      <c r="G402" s="161"/>
      <c r="H402" s="845"/>
      <c r="I402" s="161"/>
      <c r="J402" s="162"/>
      <c r="K402" s="315"/>
      <c r="L402" s="570"/>
      <c r="M402" s="270"/>
      <c r="N402" s="57"/>
      <c r="O402" s="216"/>
      <c r="P402" s="845"/>
      <c r="Q402" s="12"/>
      <c r="R402" s="163"/>
      <c r="S402" s="12"/>
      <c r="T402" s="12"/>
      <c r="U402" s="12"/>
      <c r="V402" s="12"/>
      <c r="W402" s="12"/>
      <c r="X402" s="12"/>
      <c r="Y402" s="12"/>
      <c r="Z402" s="12"/>
      <c r="AA402" s="12"/>
      <c r="AB402" s="12"/>
      <c r="AC402" s="12"/>
      <c r="AD402" s="932"/>
      <c r="AE402" s="980"/>
      <c r="AF402" s="12"/>
      <c r="AG402" s="12"/>
      <c r="AH402" s="12"/>
      <c r="AI402" s="921"/>
    </row>
    <row r="403" spans="1:35" ht="15" x14ac:dyDescent="0.25">
      <c r="A403" s="917"/>
      <c r="B403" s="144"/>
      <c r="C403" s="856"/>
      <c r="D403" s="832"/>
      <c r="E403" s="847"/>
      <c r="F403" s="847"/>
      <c r="G403" s="251">
        <v>21</v>
      </c>
      <c r="H403" s="85" t="s">
        <v>518</v>
      </c>
      <c r="I403" s="81"/>
      <c r="J403" s="81"/>
      <c r="K403" s="312"/>
      <c r="L403" s="312"/>
      <c r="M403" s="81"/>
      <c r="N403" s="88"/>
      <c r="O403" s="81"/>
      <c r="P403" s="81"/>
      <c r="Q403" s="176"/>
      <c r="R403" s="176"/>
      <c r="S403" s="176"/>
      <c r="T403" s="176"/>
      <c r="U403" s="176"/>
      <c r="V403" s="176"/>
      <c r="W403" s="176"/>
      <c r="X403" s="176"/>
      <c r="Y403" s="176"/>
      <c r="Z403" s="176"/>
      <c r="AA403" s="176"/>
      <c r="AB403" s="176"/>
      <c r="AC403" s="176"/>
      <c r="AD403" s="176"/>
      <c r="AE403" s="177"/>
      <c r="AF403" s="176"/>
      <c r="AG403" s="176"/>
      <c r="AH403" s="176"/>
      <c r="AI403" s="918"/>
    </row>
    <row r="404" spans="1:35" s="539" customFormat="1" ht="66" customHeight="1" x14ac:dyDescent="0.25">
      <c r="A404" s="919"/>
      <c r="B404" s="685"/>
      <c r="C404" s="820">
        <v>14</v>
      </c>
      <c r="D404" s="542" t="s">
        <v>467</v>
      </c>
      <c r="E404" s="839">
        <v>6.2E-2</v>
      </c>
      <c r="F404" s="839">
        <v>0.03</v>
      </c>
      <c r="G404" s="697"/>
      <c r="H404" s="829">
        <v>93</v>
      </c>
      <c r="I404" s="828" t="s">
        <v>519</v>
      </c>
      <c r="J404" s="651" t="s">
        <v>36</v>
      </c>
      <c r="K404" s="686">
        <v>36</v>
      </c>
      <c r="L404" s="686">
        <v>36</v>
      </c>
      <c r="M404" s="1134" t="s">
        <v>460</v>
      </c>
      <c r="N404" s="1084" t="s">
        <v>520</v>
      </c>
      <c r="O404" s="1080" t="s">
        <v>521</v>
      </c>
      <c r="P404" s="829" t="s">
        <v>40</v>
      </c>
      <c r="Q404" s="546"/>
      <c r="R404" s="546"/>
      <c r="S404" s="546"/>
      <c r="T404" s="546"/>
      <c r="U404" s="546"/>
      <c r="V404" s="546"/>
      <c r="W404" s="546"/>
      <c r="X404" s="546"/>
      <c r="Y404" s="546"/>
      <c r="Z404" s="719"/>
      <c r="AA404" s="719"/>
      <c r="AB404" s="719"/>
      <c r="AC404" s="546"/>
      <c r="AD404" s="546"/>
      <c r="AE404" s="550">
        <f>11861000+16494000</f>
        <v>28355000</v>
      </c>
      <c r="AF404" s="547"/>
      <c r="AG404" s="547"/>
      <c r="AH404" s="547"/>
      <c r="AI404" s="900">
        <f>+Q404+R404+S404+T404+U404+V404+W404+X404+Y404+Z404+AA404+AB404+AC404+AD404+AE404+AF404+AG404+AH404</f>
        <v>28355000</v>
      </c>
    </row>
    <row r="405" spans="1:35" s="539" customFormat="1" ht="56.25" customHeight="1" x14ac:dyDescent="0.25">
      <c r="A405" s="919"/>
      <c r="B405" s="685"/>
      <c r="C405" s="823">
        <v>15</v>
      </c>
      <c r="D405" s="822" t="s">
        <v>458</v>
      </c>
      <c r="E405" s="840">
        <v>0.73229999999999995</v>
      </c>
      <c r="F405" s="840">
        <v>0.78</v>
      </c>
      <c r="G405" s="623"/>
      <c r="H405" s="829">
        <v>94</v>
      </c>
      <c r="I405" s="828" t="s">
        <v>522</v>
      </c>
      <c r="J405" s="651">
        <v>70</v>
      </c>
      <c r="K405" s="686">
        <v>65</v>
      </c>
      <c r="L405" s="686">
        <v>0</v>
      </c>
      <c r="M405" s="1135"/>
      <c r="N405" s="1082"/>
      <c r="O405" s="1087"/>
      <c r="P405" s="829" t="s">
        <v>40</v>
      </c>
      <c r="Q405" s="546"/>
      <c r="R405" s="546"/>
      <c r="S405" s="546"/>
      <c r="T405" s="546"/>
      <c r="U405" s="546"/>
      <c r="V405" s="546"/>
      <c r="W405" s="546"/>
      <c r="X405" s="546"/>
      <c r="Y405" s="546"/>
      <c r="Z405" s="546"/>
      <c r="AA405" s="546">
        <v>60000000</v>
      </c>
      <c r="AB405" s="661"/>
      <c r="AC405" s="546"/>
      <c r="AD405" s="546"/>
      <c r="AE405" s="550">
        <v>10000000</v>
      </c>
      <c r="AF405" s="547"/>
      <c r="AG405" s="547"/>
      <c r="AH405" s="547"/>
      <c r="AI405" s="900">
        <f>+Q405+R405+S405+T405+U405+V405+W405+X405+Y405+Z405+AA405+AB405+AC405+AD405+AE405+AF405+AG405+AH405</f>
        <v>70000000</v>
      </c>
    </row>
    <row r="406" spans="1:35" s="539" customFormat="1" ht="51.75" customHeight="1" x14ac:dyDescent="0.25">
      <c r="A406" s="919"/>
      <c r="B406" s="685"/>
      <c r="C406" s="823">
        <v>19</v>
      </c>
      <c r="D406" s="822" t="s">
        <v>463</v>
      </c>
      <c r="E406" s="840" t="s">
        <v>523</v>
      </c>
      <c r="F406" s="840" t="s">
        <v>524</v>
      </c>
      <c r="G406" s="623"/>
      <c r="H406" s="829">
        <v>95</v>
      </c>
      <c r="I406" s="828" t="s">
        <v>525</v>
      </c>
      <c r="J406" s="651">
        <v>0</v>
      </c>
      <c r="K406" s="686">
        <v>500</v>
      </c>
      <c r="L406" s="686">
        <v>554</v>
      </c>
      <c r="M406" s="1135"/>
      <c r="N406" s="1082"/>
      <c r="O406" s="1087"/>
      <c r="P406" s="829" t="s">
        <v>46</v>
      </c>
      <c r="Q406" s="546"/>
      <c r="R406" s="546"/>
      <c r="S406" s="546"/>
      <c r="T406" s="546"/>
      <c r="U406" s="546"/>
      <c r="V406" s="546"/>
      <c r="W406" s="546"/>
      <c r="X406" s="546"/>
      <c r="Y406" s="546"/>
      <c r="Z406" s="546"/>
      <c r="AA406" s="661"/>
      <c r="AB406" s="661"/>
      <c r="AC406" s="546"/>
      <c r="AD406" s="547"/>
      <c r="AE406" s="550"/>
      <c r="AF406" s="547"/>
      <c r="AG406" s="547"/>
      <c r="AH406" s="547"/>
      <c r="AI406" s="900">
        <f>+Q406+R406+S406+T406+U406+V406+W406+X406+Y406+Z406+AA406+AB406+AC406+AD406+AE406+AF406+AG406+AH406</f>
        <v>0</v>
      </c>
    </row>
    <row r="407" spans="1:35" s="539" customFormat="1" ht="53.25" customHeight="1" x14ac:dyDescent="0.25">
      <c r="A407" s="919"/>
      <c r="B407" s="685"/>
      <c r="C407" s="821"/>
      <c r="D407" s="624"/>
      <c r="E407" s="624"/>
      <c r="F407" s="726"/>
      <c r="G407" s="698"/>
      <c r="H407" s="829">
        <v>96</v>
      </c>
      <c r="I407" s="828" t="s">
        <v>526</v>
      </c>
      <c r="J407" s="651">
        <v>0</v>
      </c>
      <c r="K407" s="686">
        <v>2</v>
      </c>
      <c r="L407" s="686">
        <v>0</v>
      </c>
      <c r="M407" s="1136"/>
      <c r="N407" s="1083"/>
      <c r="O407" s="1081"/>
      <c r="P407" s="829" t="s">
        <v>40</v>
      </c>
      <c r="Q407" s="546"/>
      <c r="R407" s="546"/>
      <c r="S407" s="546"/>
      <c r="T407" s="546"/>
      <c r="U407" s="546"/>
      <c r="V407" s="546"/>
      <c r="W407" s="546"/>
      <c r="X407" s="546"/>
      <c r="Y407" s="546"/>
      <c r="Z407" s="546"/>
      <c r="AA407" s="661"/>
      <c r="AB407" s="661"/>
      <c r="AC407" s="546"/>
      <c r="AD407" s="547"/>
      <c r="AE407" s="550">
        <v>10774992</v>
      </c>
      <c r="AF407" s="547"/>
      <c r="AG407" s="547"/>
      <c r="AH407" s="547"/>
      <c r="AI407" s="900">
        <f>+Q407+R407+S407+T407+U407+V407+W407+X407+Y407+Z407+AA407+AB407+AC407+AD407+AE407+AF407+AG407+AH407</f>
        <v>10774992</v>
      </c>
    </row>
    <row r="408" spans="1:35" ht="15" x14ac:dyDescent="0.25">
      <c r="A408" s="917"/>
      <c r="B408" s="144"/>
      <c r="C408" s="846"/>
      <c r="D408" s="565"/>
      <c r="E408" s="865"/>
      <c r="F408" s="384"/>
      <c r="G408" s="147"/>
      <c r="H408" s="148"/>
      <c r="I408" s="147"/>
      <c r="J408" s="307"/>
      <c r="K408" s="314"/>
      <c r="L408" s="314"/>
      <c r="M408" s="314"/>
      <c r="N408" s="584"/>
      <c r="O408" s="147"/>
      <c r="P408" s="148"/>
      <c r="Q408" s="150"/>
      <c r="R408" s="150"/>
      <c r="S408" s="150"/>
      <c r="T408" s="150"/>
      <c r="U408" s="150"/>
      <c r="V408" s="150"/>
      <c r="W408" s="150"/>
      <c r="X408" s="150"/>
      <c r="Y408" s="150"/>
      <c r="Z408" s="150"/>
      <c r="AA408" s="150">
        <f>SUM(AA404:AA407)</f>
        <v>60000000</v>
      </c>
      <c r="AB408" s="150"/>
      <c r="AC408" s="150"/>
      <c r="AD408" s="150"/>
      <c r="AE408" s="54">
        <f>SUM(AE404:AE407)</f>
        <v>49129992</v>
      </c>
      <c r="AF408" s="150"/>
      <c r="AG408" s="150"/>
      <c r="AH408" s="150"/>
      <c r="AI408" s="904">
        <f>SUM(AI404:AI407)</f>
        <v>109129992</v>
      </c>
    </row>
    <row r="409" spans="1:35" ht="15" x14ac:dyDescent="0.25">
      <c r="A409" s="917"/>
      <c r="B409" s="144"/>
      <c r="C409" s="845"/>
      <c r="D409" s="161"/>
      <c r="E409" s="394"/>
      <c r="F409" s="394"/>
      <c r="G409" s="161"/>
      <c r="H409" s="845"/>
      <c r="I409" s="161"/>
      <c r="J409" s="162"/>
      <c r="K409" s="315"/>
      <c r="L409" s="570"/>
      <c r="M409" s="270"/>
      <c r="N409" s="57"/>
      <c r="O409" s="216"/>
      <c r="P409" s="845"/>
      <c r="Q409" s="12"/>
      <c r="R409" s="163"/>
      <c r="S409" s="12"/>
      <c r="T409" s="12"/>
      <c r="U409" s="12"/>
      <c r="V409" s="12"/>
      <c r="W409" s="12"/>
      <c r="X409" s="12"/>
      <c r="Y409" s="12"/>
      <c r="Z409" s="12"/>
      <c r="AA409" s="12"/>
      <c r="AB409" s="12"/>
      <c r="AC409" s="12"/>
      <c r="AD409" s="932"/>
      <c r="AE409" s="980"/>
      <c r="AF409" s="12"/>
      <c r="AG409" s="12"/>
      <c r="AH409" s="12"/>
      <c r="AI409" s="921"/>
    </row>
    <row r="410" spans="1:35" ht="15" x14ac:dyDescent="0.25">
      <c r="A410" s="917"/>
      <c r="B410" s="144"/>
      <c r="C410" s="846"/>
      <c r="D410" s="565"/>
      <c r="E410" s="391"/>
      <c r="F410" s="391"/>
      <c r="G410" s="175">
        <v>22</v>
      </c>
      <c r="H410" s="81" t="s">
        <v>527</v>
      </c>
      <c r="I410" s="81"/>
      <c r="J410" s="81"/>
      <c r="K410" s="312"/>
      <c r="L410" s="312"/>
      <c r="M410" s="81"/>
      <c r="N410" s="88"/>
      <c r="O410" s="81"/>
      <c r="P410" s="81"/>
      <c r="Q410" s="176"/>
      <c r="R410" s="176"/>
      <c r="S410" s="176"/>
      <c r="T410" s="176"/>
      <c r="U410" s="176"/>
      <c r="V410" s="176"/>
      <c r="W410" s="176"/>
      <c r="X410" s="176"/>
      <c r="Y410" s="176"/>
      <c r="Z410" s="176"/>
      <c r="AA410" s="176"/>
      <c r="AB410" s="176"/>
      <c r="AC410" s="176"/>
      <c r="AD410" s="176"/>
      <c r="AE410" s="177"/>
      <c r="AF410" s="176"/>
      <c r="AG410" s="176"/>
      <c r="AH410" s="176"/>
      <c r="AI410" s="918"/>
    </row>
    <row r="411" spans="1:35" s="539" customFormat="1" ht="125.25" customHeight="1" x14ac:dyDescent="0.25">
      <c r="A411" s="919"/>
      <c r="B411" s="541"/>
      <c r="C411" s="827" t="s">
        <v>482</v>
      </c>
      <c r="D411" s="828" t="s">
        <v>483</v>
      </c>
      <c r="E411" s="713" t="s">
        <v>528</v>
      </c>
      <c r="F411" s="713" t="s">
        <v>529</v>
      </c>
      <c r="G411" s="828"/>
      <c r="H411" s="829">
        <v>97</v>
      </c>
      <c r="I411" s="828" t="s">
        <v>530</v>
      </c>
      <c r="J411" s="651" t="s">
        <v>36</v>
      </c>
      <c r="K411" s="684">
        <v>52</v>
      </c>
      <c r="L411" s="684">
        <v>52</v>
      </c>
      <c r="M411" s="727" t="s">
        <v>460</v>
      </c>
      <c r="N411" s="619" t="s">
        <v>531</v>
      </c>
      <c r="O411" s="828" t="s">
        <v>532</v>
      </c>
      <c r="P411" s="829" t="s">
        <v>40</v>
      </c>
      <c r="Q411" s="546"/>
      <c r="R411" s="546"/>
      <c r="S411" s="546"/>
      <c r="T411" s="546"/>
      <c r="U411" s="546"/>
      <c r="V411" s="546"/>
      <c r="W411" s="546"/>
      <c r="X411" s="546"/>
      <c r="Y411" s="546"/>
      <c r="Z411" s="719"/>
      <c r="AA411" s="728"/>
      <c r="AB411" s="719"/>
      <c r="AC411" s="719"/>
      <c r="AD411" s="546"/>
      <c r="AE411" s="550">
        <f>10000000+20000000</f>
        <v>30000000</v>
      </c>
      <c r="AF411" s="547"/>
      <c r="AG411" s="547"/>
      <c r="AH411" s="547"/>
      <c r="AI411" s="900">
        <f>+Q411+R411+S411+T411+U411+V411+W411+X411+Y411+Z411+AA411+AB411+AC411+AD411+AE411+AF411+AG411+AH411</f>
        <v>30000000</v>
      </c>
    </row>
    <row r="412" spans="1:35" ht="15" x14ac:dyDescent="0.25">
      <c r="A412" s="917"/>
      <c r="B412" s="146"/>
      <c r="C412" s="846"/>
      <c r="D412" s="565"/>
      <c r="E412" s="391"/>
      <c r="F412" s="391"/>
      <c r="G412" s="147"/>
      <c r="H412" s="148"/>
      <c r="I412" s="147"/>
      <c r="J412" s="307"/>
      <c r="K412" s="314"/>
      <c r="L412" s="314"/>
      <c r="M412" s="314"/>
      <c r="N412" s="584"/>
      <c r="O412" s="147"/>
      <c r="P412" s="148"/>
      <c r="Q412" s="150">
        <f t="shared" ref="Q412:AI412" si="26">SUM(Q411)</f>
        <v>0</v>
      </c>
      <c r="R412" s="150">
        <f t="shared" si="26"/>
        <v>0</v>
      </c>
      <c r="S412" s="150">
        <f t="shared" si="26"/>
        <v>0</v>
      </c>
      <c r="T412" s="150">
        <f t="shared" si="26"/>
        <v>0</v>
      </c>
      <c r="U412" s="150">
        <f t="shared" si="26"/>
        <v>0</v>
      </c>
      <c r="V412" s="150">
        <f t="shared" si="26"/>
        <v>0</v>
      </c>
      <c r="W412" s="150">
        <f t="shared" si="26"/>
        <v>0</v>
      </c>
      <c r="X412" s="150">
        <f t="shared" si="26"/>
        <v>0</v>
      </c>
      <c r="Y412" s="150">
        <f t="shared" si="26"/>
        <v>0</v>
      </c>
      <c r="Z412" s="150">
        <f t="shared" si="26"/>
        <v>0</v>
      </c>
      <c r="AA412" s="150">
        <f t="shared" si="26"/>
        <v>0</v>
      </c>
      <c r="AB412" s="150">
        <f t="shared" si="26"/>
        <v>0</v>
      </c>
      <c r="AC412" s="150">
        <f t="shared" si="26"/>
        <v>0</v>
      </c>
      <c r="AD412" s="150">
        <f t="shared" si="26"/>
        <v>0</v>
      </c>
      <c r="AE412" s="150">
        <f t="shared" si="26"/>
        <v>30000000</v>
      </c>
      <c r="AF412" s="150">
        <f t="shared" si="26"/>
        <v>0</v>
      </c>
      <c r="AG412" s="150">
        <f t="shared" si="26"/>
        <v>0</v>
      </c>
      <c r="AH412" s="150">
        <f t="shared" si="26"/>
        <v>0</v>
      </c>
      <c r="AI412" s="904">
        <f t="shared" si="26"/>
        <v>30000000</v>
      </c>
    </row>
    <row r="413" spans="1:35" ht="15" x14ac:dyDescent="0.25">
      <c r="A413" s="917"/>
      <c r="B413" s="210"/>
      <c r="C413" s="152"/>
      <c r="D413" s="151"/>
      <c r="E413" s="397"/>
      <c r="F413" s="397"/>
      <c r="G413" s="151"/>
      <c r="H413" s="152"/>
      <c r="I413" s="151"/>
      <c r="J413" s="327"/>
      <c r="K413" s="327"/>
      <c r="L413" s="327"/>
      <c r="M413" s="327"/>
      <c r="N413" s="585"/>
      <c r="O413" s="151"/>
      <c r="P413" s="152"/>
      <c r="Q413" s="154">
        <f t="shared" ref="Q413:AI413" si="27">Q412+Q408+Q401+Q388</f>
        <v>0</v>
      </c>
      <c r="R413" s="154">
        <f t="shared" si="27"/>
        <v>0</v>
      </c>
      <c r="S413" s="154">
        <f t="shared" si="27"/>
        <v>0</v>
      </c>
      <c r="T413" s="154">
        <f t="shared" si="27"/>
        <v>0</v>
      </c>
      <c r="U413" s="154">
        <f t="shared" si="27"/>
        <v>0</v>
      </c>
      <c r="V413" s="154">
        <f t="shared" si="27"/>
        <v>0</v>
      </c>
      <c r="W413" s="154">
        <f t="shared" si="27"/>
        <v>0</v>
      </c>
      <c r="X413" s="154">
        <f t="shared" si="27"/>
        <v>0</v>
      </c>
      <c r="Y413" s="154">
        <f t="shared" si="27"/>
        <v>0</v>
      </c>
      <c r="Z413" s="154">
        <f t="shared" si="27"/>
        <v>0</v>
      </c>
      <c r="AA413" s="154">
        <f t="shared" si="27"/>
        <v>249134822.86000001</v>
      </c>
      <c r="AB413" s="154">
        <f t="shared" si="27"/>
        <v>0</v>
      </c>
      <c r="AC413" s="154">
        <f t="shared" si="27"/>
        <v>0</v>
      </c>
      <c r="AD413" s="154">
        <f t="shared" si="27"/>
        <v>0</v>
      </c>
      <c r="AE413" s="154">
        <f t="shared" si="27"/>
        <v>495046756</v>
      </c>
      <c r="AF413" s="154">
        <f t="shared" si="27"/>
        <v>0</v>
      </c>
      <c r="AG413" s="154">
        <f t="shared" si="27"/>
        <v>0</v>
      </c>
      <c r="AH413" s="154">
        <f t="shared" si="27"/>
        <v>0</v>
      </c>
      <c r="AI413" s="906">
        <f t="shared" si="27"/>
        <v>744181578.86000001</v>
      </c>
    </row>
    <row r="414" spans="1:35" ht="15" x14ac:dyDescent="0.25">
      <c r="A414" s="917"/>
      <c r="B414" s="294"/>
      <c r="C414" s="567"/>
      <c r="D414" s="294"/>
      <c r="E414" s="404"/>
      <c r="F414" s="404"/>
      <c r="G414" s="294"/>
      <c r="H414" s="567"/>
      <c r="I414" s="294"/>
      <c r="J414" s="405"/>
      <c r="K414" s="405"/>
      <c r="L414" s="576"/>
      <c r="M414" s="576"/>
      <c r="N414" s="931"/>
      <c r="O414" s="927"/>
      <c r="P414" s="567"/>
      <c r="Q414" s="280"/>
      <c r="R414" s="280"/>
      <c r="S414" s="280"/>
      <c r="T414" s="280"/>
      <c r="U414" s="280"/>
      <c r="V414" s="932"/>
      <c r="W414" s="932"/>
      <c r="X414" s="280"/>
      <c r="Y414" s="280"/>
      <c r="Z414" s="280"/>
      <c r="AA414" s="297"/>
      <c r="AB414" s="297"/>
      <c r="AC414" s="280"/>
      <c r="AD414" s="932"/>
      <c r="AE414" s="946"/>
      <c r="AF414" s="280"/>
      <c r="AG414" s="280"/>
      <c r="AH414" s="280"/>
      <c r="AI414" s="950"/>
    </row>
    <row r="415" spans="1:35" x14ac:dyDescent="0.25">
      <c r="A415" s="917"/>
      <c r="B415" s="232">
        <v>7</v>
      </c>
      <c r="C415" s="837" t="s">
        <v>533</v>
      </c>
      <c r="D415" s="87"/>
      <c r="E415" s="87"/>
      <c r="F415" s="87"/>
      <c r="G415" s="87"/>
      <c r="H415" s="838"/>
      <c r="I415" s="87"/>
      <c r="J415" s="87"/>
      <c r="K415" s="319"/>
      <c r="L415" s="319"/>
      <c r="M415" s="87"/>
      <c r="N415" s="15"/>
      <c r="O415" s="87"/>
      <c r="P415" s="87"/>
      <c r="Q415" s="169"/>
      <c r="R415" s="169"/>
      <c r="S415" s="169"/>
      <c r="T415" s="169"/>
      <c r="U415" s="169"/>
      <c r="V415" s="169"/>
      <c r="W415" s="169"/>
      <c r="X415" s="169"/>
      <c r="Y415" s="169"/>
      <c r="Z415" s="169"/>
      <c r="AA415" s="169"/>
      <c r="AB415" s="169"/>
      <c r="AC415" s="169"/>
      <c r="AD415" s="169"/>
      <c r="AE415" s="170"/>
      <c r="AF415" s="169"/>
      <c r="AG415" s="169"/>
      <c r="AH415" s="169"/>
      <c r="AI415" s="916"/>
    </row>
    <row r="416" spans="1:35" ht="15" x14ac:dyDescent="0.25">
      <c r="A416" s="917"/>
      <c r="B416" s="172"/>
      <c r="C416" s="845"/>
      <c r="D416" s="161"/>
      <c r="E416" s="845"/>
      <c r="F416" s="846"/>
      <c r="G416" s="336">
        <v>23</v>
      </c>
      <c r="H416" s="81" t="s">
        <v>534</v>
      </c>
      <c r="I416" s="81"/>
      <c r="J416" s="81"/>
      <c r="K416" s="312"/>
      <c r="L416" s="312"/>
      <c r="M416" s="81"/>
      <c r="N416" s="88"/>
      <c r="O416" s="81"/>
      <c r="P416" s="81"/>
      <c r="Q416" s="176"/>
      <c r="R416" s="176"/>
      <c r="S416" s="176"/>
      <c r="T416" s="176"/>
      <c r="U416" s="176"/>
      <c r="V416" s="176"/>
      <c r="W416" s="176"/>
      <c r="X416" s="176"/>
      <c r="Y416" s="176"/>
      <c r="Z416" s="176"/>
      <c r="AA416" s="176"/>
      <c r="AB416" s="176"/>
      <c r="AC416" s="176"/>
      <c r="AD416" s="176"/>
      <c r="AE416" s="177"/>
      <c r="AF416" s="176"/>
      <c r="AG416" s="176"/>
      <c r="AH416" s="176"/>
      <c r="AI416" s="918"/>
    </row>
    <row r="417" spans="1:35" s="539" customFormat="1" ht="61.5" customHeight="1" x14ac:dyDescent="0.25">
      <c r="A417" s="899"/>
      <c r="B417" s="729"/>
      <c r="C417" s="824"/>
      <c r="D417" s="542"/>
      <c r="E417" s="713"/>
      <c r="F417" s="713"/>
      <c r="G417" s="542"/>
      <c r="H417" s="829">
        <v>98</v>
      </c>
      <c r="I417" s="828" t="s">
        <v>535</v>
      </c>
      <c r="J417" s="651">
        <v>60</v>
      </c>
      <c r="K417" s="684">
        <v>55</v>
      </c>
      <c r="L417" s="684">
        <v>160</v>
      </c>
      <c r="M417" s="1137" t="s">
        <v>460</v>
      </c>
      <c r="N417" s="1084" t="s">
        <v>536</v>
      </c>
      <c r="O417" s="1080" t="s">
        <v>537</v>
      </c>
      <c r="P417" s="829" t="s">
        <v>46</v>
      </c>
      <c r="Q417" s="546"/>
      <c r="R417" s="546"/>
      <c r="S417" s="546"/>
      <c r="T417" s="546"/>
      <c r="U417" s="546"/>
      <c r="V417" s="546"/>
      <c r="W417" s="546"/>
      <c r="X417" s="546"/>
      <c r="Y417" s="546"/>
      <c r="Z417" s="547"/>
      <c r="AA417" s="640"/>
      <c r="AB417" s="640"/>
      <c r="AC417" s="546"/>
      <c r="AD417" s="546"/>
      <c r="AE417" s="550">
        <v>0</v>
      </c>
      <c r="AF417" s="547"/>
      <c r="AG417" s="547"/>
      <c r="AH417" s="547"/>
      <c r="AI417" s="900">
        <f>+Q417+R417+S417+T417+U417+V417+W417+X417+Y417+Z417+AA417+AB417+AC417+AD417+AE417+AF417+AG417+AH417</f>
        <v>0</v>
      </c>
    </row>
    <row r="418" spans="1:35" s="539" customFormat="1" ht="79.5" customHeight="1" x14ac:dyDescent="0.25">
      <c r="A418" s="899"/>
      <c r="B418" s="541"/>
      <c r="C418" s="825">
        <v>16</v>
      </c>
      <c r="D418" s="822" t="s">
        <v>538</v>
      </c>
      <c r="E418" s="829">
        <v>45</v>
      </c>
      <c r="F418" s="829">
        <v>90</v>
      </c>
      <c r="G418" s="549"/>
      <c r="H418" s="829">
        <v>99</v>
      </c>
      <c r="I418" s="828" t="s">
        <v>539</v>
      </c>
      <c r="J418" s="651">
        <v>76</v>
      </c>
      <c r="K418" s="686">
        <v>150</v>
      </c>
      <c r="L418" s="686">
        <v>750</v>
      </c>
      <c r="M418" s="1138"/>
      <c r="N418" s="1082"/>
      <c r="O418" s="1087"/>
      <c r="P418" s="829" t="s">
        <v>46</v>
      </c>
      <c r="Q418" s="546"/>
      <c r="R418" s="546"/>
      <c r="S418" s="546"/>
      <c r="T418" s="546"/>
      <c r="U418" s="546"/>
      <c r="V418" s="546"/>
      <c r="W418" s="546"/>
      <c r="X418" s="546"/>
      <c r="Y418" s="546"/>
      <c r="Z418" s="547"/>
      <c r="AA418" s="640"/>
      <c r="AB418" s="640"/>
      <c r="AC418" s="546"/>
      <c r="AD418" s="546"/>
      <c r="AE418" s="550">
        <v>0</v>
      </c>
      <c r="AF418" s="547"/>
      <c r="AG418" s="547"/>
      <c r="AH418" s="547"/>
      <c r="AI418" s="900">
        <f>+Q418+R418+S418+T418+U418+V418+W418+X418+Y418+Z418+AA418+AB418+AC418+AD418+AE418+AF418+AG418+AH418</f>
        <v>0</v>
      </c>
    </row>
    <row r="419" spans="1:35" s="539" customFormat="1" ht="70.5" customHeight="1" x14ac:dyDescent="0.25">
      <c r="A419" s="899"/>
      <c r="B419" s="541"/>
      <c r="C419" s="825">
        <v>17</v>
      </c>
      <c r="D419" s="822" t="s">
        <v>498</v>
      </c>
      <c r="E419" s="713">
        <v>0.63270000000000004</v>
      </c>
      <c r="F419" s="713">
        <v>0.5</v>
      </c>
      <c r="G419" s="549"/>
      <c r="H419" s="829">
        <v>100</v>
      </c>
      <c r="I419" s="828" t="s">
        <v>540</v>
      </c>
      <c r="J419" s="651">
        <v>0</v>
      </c>
      <c r="K419" s="686">
        <v>6</v>
      </c>
      <c r="L419" s="686">
        <v>11</v>
      </c>
      <c r="M419" s="1138"/>
      <c r="N419" s="1082"/>
      <c r="O419" s="1087"/>
      <c r="P419" s="829" t="s">
        <v>46</v>
      </c>
      <c r="Q419" s="546"/>
      <c r="R419" s="546"/>
      <c r="S419" s="546"/>
      <c r="T419" s="546"/>
      <c r="U419" s="546"/>
      <c r="V419" s="546"/>
      <c r="W419" s="546"/>
      <c r="X419" s="546"/>
      <c r="Y419" s="546"/>
      <c r="Z419" s="547"/>
      <c r="AA419" s="640"/>
      <c r="AB419" s="640"/>
      <c r="AC419" s="546"/>
      <c r="AD419" s="546"/>
      <c r="AE419" s="550">
        <v>0</v>
      </c>
      <c r="AF419" s="547"/>
      <c r="AG419" s="547"/>
      <c r="AH419" s="547"/>
      <c r="AI419" s="900">
        <f>+Q419+R419+S419+T419+U419+V419+W419+X419+Y419+Z419+AA419+AB419+AC419+AD419+AE419+AF419+AG419+AH419</f>
        <v>0</v>
      </c>
    </row>
    <row r="420" spans="1:35" s="539" customFormat="1" ht="66" customHeight="1" x14ac:dyDescent="0.25">
      <c r="A420" s="899"/>
      <c r="B420" s="541"/>
      <c r="C420" s="825"/>
      <c r="D420" s="549"/>
      <c r="E420" s="717"/>
      <c r="F420" s="717"/>
      <c r="G420" s="549"/>
      <c r="H420" s="829">
        <v>101</v>
      </c>
      <c r="I420" s="828" t="s">
        <v>541</v>
      </c>
      <c r="J420" s="651">
        <v>0</v>
      </c>
      <c r="K420" s="686">
        <v>54</v>
      </c>
      <c r="L420" s="686">
        <v>0</v>
      </c>
      <c r="M420" s="1138"/>
      <c r="N420" s="1082"/>
      <c r="O420" s="1087"/>
      <c r="P420" s="829" t="s">
        <v>46</v>
      </c>
      <c r="Q420" s="546"/>
      <c r="R420" s="546"/>
      <c r="S420" s="546"/>
      <c r="T420" s="546"/>
      <c r="U420" s="546"/>
      <c r="V420" s="546"/>
      <c r="W420" s="546"/>
      <c r="X420" s="546"/>
      <c r="Y420" s="546"/>
      <c r="Z420" s="547"/>
      <c r="AA420" s="640"/>
      <c r="AB420" s="640"/>
      <c r="AC420" s="546"/>
      <c r="AD420" s="546"/>
      <c r="AE420" s="550">
        <v>0</v>
      </c>
      <c r="AF420" s="547"/>
      <c r="AG420" s="547"/>
      <c r="AH420" s="547"/>
      <c r="AI420" s="900">
        <f>+Q420+R420+S420+T420+U420+V420+W420+X420+Y420+Z420+AA420+AB420+AC420+AD420+AE420+AF420+AG420+AH420</f>
        <v>0</v>
      </c>
    </row>
    <row r="421" spans="1:35" s="539" customFormat="1" ht="66" customHeight="1" x14ac:dyDescent="0.25">
      <c r="A421" s="899"/>
      <c r="B421" s="541"/>
      <c r="C421" s="825"/>
      <c r="D421" s="624"/>
      <c r="E421" s="730"/>
      <c r="F421" s="730"/>
      <c r="G421" s="624"/>
      <c r="H421" s="829">
        <v>102</v>
      </c>
      <c r="I421" s="828" t="s">
        <v>542</v>
      </c>
      <c r="J421" s="651">
        <v>0</v>
      </c>
      <c r="K421" s="686">
        <v>1</v>
      </c>
      <c r="L421" s="686">
        <v>0</v>
      </c>
      <c r="M421" s="1139"/>
      <c r="N421" s="1083"/>
      <c r="O421" s="1081"/>
      <c r="P421" s="829" t="s">
        <v>40</v>
      </c>
      <c r="Q421" s="546"/>
      <c r="R421" s="546"/>
      <c r="S421" s="546"/>
      <c r="T421" s="546"/>
      <c r="U421" s="546"/>
      <c r="V421" s="546"/>
      <c r="W421" s="546"/>
      <c r="X421" s="546"/>
      <c r="Y421" s="546"/>
      <c r="Z421" s="547"/>
      <c r="AA421" s="640"/>
      <c r="AB421" s="640"/>
      <c r="AC421" s="546"/>
      <c r="AD421" s="546"/>
      <c r="AE421" s="550">
        <v>0</v>
      </c>
      <c r="AF421" s="547"/>
      <c r="AG421" s="547"/>
      <c r="AH421" s="547"/>
      <c r="AI421" s="900">
        <f>+Q421+R421+S421+T421+U421+V421+W421+X421+Y421+Z421+AA421+AB421+AC421+AD421+AE421+AF421+AG421+AH421</f>
        <v>0</v>
      </c>
    </row>
    <row r="422" spans="1:35" ht="15" x14ac:dyDescent="0.25">
      <c r="A422" s="897"/>
      <c r="B422" s="144"/>
      <c r="C422" s="858"/>
      <c r="D422" s="565"/>
      <c r="E422" s="391"/>
      <c r="F422" s="391"/>
      <c r="G422" s="147"/>
      <c r="H422" s="148"/>
      <c r="I422" s="147"/>
      <c r="J422" s="307"/>
      <c r="K422" s="314"/>
      <c r="L422" s="314"/>
      <c r="M422" s="314"/>
      <c r="N422" s="584"/>
      <c r="O422" s="147"/>
      <c r="P422" s="148"/>
      <c r="Q422" s="150"/>
      <c r="R422" s="150"/>
      <c r="S422" s="150"/>
      <c r="T422" s="150"/>
      <c r="U422" s="150"/>
      <c r="V422" s="150"/>
      <c r="W422" s="150"/>
      <c r="X422" s="150"/>
      <c r="Y422" s="150"/>
      <c r="Z422" s="150"/>
      <c r="AA422" s="150">
        <f>SUM(AA417:AA421)</f>
        <v>0</v>
      </c>
      <c r="AB422" s="150">
        <f>SUM(AB417:AB421)</f>
        <v>0</v>
      </c>
      <c r="AC422" s="150"/>
      <c r="AD422" s="150"/>
      <c r="AE422" s="54">
        <f>SUM(AE417:AE421)</f>
        <v>0</v>
      </c>
      <c r="AF422" s="150"/>
      <c r="AG422" s="150"/>
      <c r="AH422" s="150"/>
      <c r="AI422" s="904">
        <f>SUM(AI417:AI421)</f>
        <v>0</v>
      </c>
    </row>
    <row r="423" spans="1:35" ht="15" x14ac:dyDescent="0.25">
      <c r="A423" s="897"/>
      <c r="B423" s="144"/>
      <c r="C423" s="845"/>
      <c r="D423" s="161"/>
      <c r="E423" s="394"/>
      <c r="F423" s="394"/>
      <c r="G423" s="161"/>
      <c r="H423" s="845"/>
      <c r="I423" s="161"/>
      <c r="J423" s="162"/>
      <c r="K423" s="315"/>
      <c r="L423" s="570"/>
      <c r="M423" s="270"/>
      <c r="N423" s="57"/>
      <c r="O423" s="216"/>
      <c r="P423" s="845"/>
      <c r="Q423" s="12"/>
      <c r="R423" s="12"/>
      <c r="S423" s="12"/>
      <c r="T423" s="12"/>
      <c r="U423" s="12"/>
      <c r="V423" s="12"/>
      <c r="W423" s="12"/>
      <c r="X423" s="12"/>
      <c r="Y423" s="12"/>
      <c r="Z423" s="12"/>
      <c r="AA423" s="12"/>
      <c r="AB423" s="12"/>
      <c r="AC423" s="12"/>
      <c r="AD423" s="12"/>
      <c r="AE423" s="189"/>
      <c r="AF423" s="12"/>
      <c r="AG423" s="12"/>
      <c r="AH423" s="12"/>
      <c r="AI423" s="921"/>
    </row>
    <row r="424" spans="1:35" ht="15" x14ac:dyDescent="0.25">
      <c r="A424" s="897"/>
      <c r="B424" s="144"/>
      <c r="C424" s="856"/>
      <c r="D424" s="832"/>
      <c r="E424" s="847"/>
      <c r="F424" s="847"/>
      <c r="G424" s="175">
        <v>24</v>
      </c>
      <c r="H424" s="81" t="s">
        <v>543</v>
      </c>
      <c r="I424" s="81"/>
      <c r="J424" s="81"/>
      <c r="K424" s="312"/>
      <c r="L424" s="577"/>
      <c r="M424" s="271"/>
      <c r="N424" s="595"/>
      <c r="O424" s="271"/>
      <c r="P424" s="81"/>
      <c r="Q424" s="176"/>
      <c r="R424" s="176"/>
      <c r="S424" s="176"/>
      <c r="T424" s="176"/>
      <c r="U424" s="176"/>
      <c r="V424" s="176"/>
      <c r="W424" s="176"/>
      <c r="X424" s="176"/>
      <c r="Y424" s="176"/>
      <c r="Z424" s="176"/>
      <c r="AA424" s="176"/>
      <c r="AB424" s="176"/>
      <c r="AC424" s="176"/>
      <c r="AD424" s="176"/>
      <c r="AE424" s="177"/>
      <c r="AF424" s="176"/>
      <c r="AG424" s="176"/>
      <c r="AH424" s="176"/>
      <c r="AI424" s="918"/>
    </row>
    <row r="425" spans="1:35" s="733" customFormat="1" ht="48.75" customHeight="1" x14ac:dyDescent="0.25">
      <c r="A425" s="899"/>
      <c r="B425" s="685"/>
      <c r="C425" s="820"/>
      <c r="D425" s="816"/>
      <c r="E425" s="839"/>
      <c r="F425" s="841"/>
      <c r="G425" s="820"/>
      <c r="H425" s="829">
        <v>103</v>
      </c>
      <c r="I425" s="828" t="s">
        <v>544</v>
      </c>
      <c r="J425" s="651">
        <v>3</v>
      </c>
      <c r="K425" s="731">
        <v>1</v>
      </c>
      <c r="L425" s="686">
        <v>5</v>
      </c>
      <c r="M425" s="1140" t="s">
        <v>460</v>
      </c>
      <c r="N425" s="1114" t="s">
        <v>545</v>
      </c>
      <c r="O425" s="1141" t="s">
        <v>546</v>
      </c>
      <c r="P425" s="827" t="s">
        <v>40</v>
      </c>
      <c r="Q425" s="546"/>
      <c r="R425" s="546"/>
      <c r="S425" s="546"/>
      <c r="T425" s="546"/>
      <c r="U425" s="546"/>
      <c r="V425" s="546"/>
      <c r="W425" s="546"/>
      <c r="X425" s="546"/>
      <c r="Y425" s="546"/>
      <c r="Z425" s="546"/>
      <c r="AA425" s="661"/>
      <c r="AB425" s="661"/>
      <c r="AC425" s="546"/>
      <c r="AD425" s="546"/>
      <c r="AE425" s="550">
        <v>9937000</v>
      </c>
      <c r="AF425" s="547"/>
      <c r="AG425" s="547"/>
      <c r="AH425" s="547"/>
      <c r="AI425" s="900">
        <f>+Q425+R425+S425+T425+U425+V425+W425+X425+Y425+Z425+AA425+AB425+AC425+AD425+AE425+AF425+AG425+AH425</f>
        <v>9937000</v>
      </c>
    </row>
    <row r="426" spans="1:35" s="733" customFormat="1" ht="50.25" customHeight="1" x14ac:dyDescent="0.25">
      <c r="A426" s="899"/>
      <c r="B426" s="685"/>
      <c r="C426" s="823">
        <v>17</v>
      </c>
      <c r="D426" s="822" t="s">
        <v>547</v>
      </c>
      <c r="E426" s="840">
        <v>0.63270000000000004</v>
      </c>
      <c r="F426" s="842">
        <v>0.5</v>
      </c>
      <c r="G426" s="823"/>
      <c r="H426" s="829">
        <v>104</v>
      </c>
      <c r="I426" s="828" t="s">
        <v>548</v>
      </c>
      <c r="J426" s="651">
        <v>4</v>
      </c>
      <c r="K426" s="731">
        <v>50</v>
      </c>
      <c r="L426" s="686">
        <v>54</v>
      </c>
      <c r="M426" s="1140"/>
      <c r="N426" s="1114"/>
      <c r="O426" s="1141"/>
      <c r="P426" s="827" t="s">
        <v>40</v>
      </c>
      <c r="Q426" s="546"/>
      <c r="R426" s="546"/>
      <c r="S426" s="546"/>
      <c r="T426" s="546"/>
      <c r="U426" s="546"/>
      <c r="V426" s="546"/>
      <c r="W426" s="546"/>
      <c r="X426" s="546"/>
      <c r="Y426" s="546"/>
      <c r="Z426" s="546"/>
      <c r="AA426" s="661"/>
      <c r="AB426" s="661"/>
      <c r="AC426" s="546"/>
      <c r="AD426" s="546"/>
      <c r="AE426" s="550">
        <f>9937000+18417000</f>
        <v>28354000</v>
      </c>
      <c r="AF426" s="547"/>
      <c r="AG426" s="547"/>
      <c r="AH426" s="547"/>
      <c r="AI426" s="900">
        <f>+Q426+R426+S426+T426+U426+V426+W426+X426+Y426+Z426+AA426+AB426+AC426+AD426+AE426+AF426+AG426+AH426</f>
        <v>28354000</v>
      </c>
    </row>
    <row r="427" spans="1:35" s="733" customFormat="1" ht="68.25" customHeight="1" x14ac:dyDescent="0.25">
      <c r="A427" s="899"/>
      <c r="B427" s="685"/>
      <c r="C427" s="823">
        <v>18</v>
      </c>
      <c r="D427" s="822" t="s">
        <v>549</v>
      </c>
      <c r="E427" s="823">
        <v>6</v>
      </c>
      <c r="F427" s="734">
        <v>12</v>
      </c>
      <c r="G427" s="823"/>
      <c r="H427" s="829">
        <v>105</v>
      </c>
      <c r="I427" s="828" t="s">
        <v>550</v>
      </c>
      <c r="J427" s="651">
        <v>43</v>
      </c>
      <c r="K427" s="731">
        <v>47</v>
      </c>
      <c r="L427" s="686">
        <v>47</v>
      </c>
      <c r="M427" s="1140"/>
      <c r="N427" s="1114"/>
      <c r="O427" s="1141"/>
      <c r="P427" s="827" t="s">
        <v>46</v>
      </c>
      <c r="Q427" s="546"/>
      <c r="R427" s="546"/>
      <c r="S427" s="546"/>
      <c r="T427" s="546"/>
      <c r="U427" s="546"/>
      <c r="V427" s="546"/>
      <c r="W427" s="546"/>
      <c r="X427" s="546"/>
      <c r="Y427" s="546"/>
      <c r="Z427" s="546"/>
      <c r="AA427" s="661"/>
      <c r="AB427" s="661"/>
      <c r="AC427" s="546"/>
      <c r="AD427" s="546"/>
      <c r="AE427" s="550">
        <f>9937000+611744887</f>
        <v>621681887</v>
      </c>
      <c r="AF427" s="547"/>
      <c r="AG427" s="547"/>
      <c r="AH427" s="547"/>
      <c r="AI427" s="900">
        <f>+Q427+R427+S427+T427+U427+V427+W427+X427+Y427+Z427+AA427+AB427+AC427+AD427+AE427+AF427+AG427+AH427</f>
        <v>621681887</v>
      </c>
    </row>
    <row r="428" spans="1:35" s="733" customFormat="1" ht="60" customHeight="1" x14ac:dyDescent="0.25">
      <c r="A428" s="899"/>
      <c r="B428" s="685"/>
      <c r="C428" s="823">
        <v>20</v>
      </c>
      <c r="D428" s="822" t="s">
        <v>551</v>
      </c>
      <c r="E428" s="840" t="s">
        <v>552</v>
      </c>
      <c r="F428" s="840" t="s">
        <v>553</v>
      </c>
      <c r="G428" s="823"/>
      <c r="H428" s="820">
        <v>106</v>
      </c>
      <c r="I428" s="816" t="s">
        <v>554</v>
      </c>
      <c r="J428" s="654">
        <v>0</v>
      </c>
      <c r="K428" s="735">
        <v>1</v>
      </c>
      <c r="L428" s="783">
        <v>0.75</v>
      </c>
      <c r="M428" s="1140"/>
      <c r="N428" s="1114"/>
      <c r="O428" s="1141"/>
      <c r="P428" s="824" t="s">
        <v>46</v>
      </c>
      <c r="Q428" s="655"/>
      <c r="R428" s="655"/>
      <c r="S428" s="655"/>
      <c r="T428" s="655"/>
      <c r="U428" s="655"/>
      <c r="V428" s="655"/>
      <c r="W428" s="655"/>
      <c r="X428" s="655"/>
      <c r="Y428" s="655"/>
      <c r="Z428" s="655"/>
      <c r="AA428" s="736"/>
      <c r="AB428" s="736"/>
      <c r="AC428" s="655"/>
      <c r="AD428" s="655"/>
      <c r="AE428" s="550">
        <f>15900000+34100000</f>
        <v>50000000</v>
      </c>
      <c r="AF428" s="712"/>
      <c r="AG428" s="712"/>
      <c r="AH428" s="712"/>
      <c r="AI428" s="900">
        <f>+Q428+R428+S428+T428+U428+V428+W428+X428+Y428+Z428+AA428+AB428+AC428+AD428+AE428+AF428+AG428+AH428</f>
        <v>50000000</v>
      </c>
    </row>
    <row r="429" spans="1:35" s="733" customFormat="1" ht="84.75" customHeight="1" x14ac:dyDescent="0.25">
      <c r="A429" s="899"/>
      <c r="B429" s="685"/>
      <c r="C429" s="829">
        <v>20</v>
      </c>
      <c r="D429" s="828" t="s">
        <v>551</v>
      </c>
      <c r="E429" s="713" t="s">
        <v>552</v>
      </c>
      <c r="F429" s="713" t="s">
        <v>555</v>
      </c>
      <c r="G429" s="829"/>
      <c r="H429" s="829">
        <v>107</v>
      </c>
      <c r="I429" s="828" t="s">
        <v>556</v>
      </c>
      <c r="J429" s="651">
        <v>1</v>
      </c>
      <c r="K429" s="731">
        <v>1</v>
      </c>
      <c r="L429" s="783">
        <v>0.75</v>
      </c>
      <c r="M429" s="781" t="s">
        <v>460</v>
      </c>
      <c r="N429" s="737" t="s">
        <v>557</v>
      </c>
      <c r="O429" s="738" t="s">
        <v>558</v>
      </c>
      <c r="P429" s="829" t="s">
        <v>46</v>
      </c>
      <c r="Q429" s="546"/>
      <c r="R429" s="546"/>
      <c r="S429" s="546"/>
      <c r="T429" s="546"/>
      <c r="U429" s="546"/>
      <c r="V429" s="546"/>
      <c r="W429" s="546">
        <v>150000000</v>
      </c>
      <c r="X429" s="546"/>
      <c r="Y429" s="546"/>
      <c r="Z429" s="546"/>
      <c r="AA429" s="661"/>
      <c r="AB429" s="661"/>
      <c r="AC429" s="546"/>
      <c r="AD429" s="547"/>
      <c r="AE429" s="550">
        <f>144717884+1000000000</f>
        <v>1144717884</v>
      </c>
      <c r="AF429" s="546"/>
      <c r="AG429" s="546"/>
      <c r="AH429" s="546"/>
      <c r="AI429" s="900">
        <f>+Q429+R429+S429+T429+U429+V429+W429+X429+Y429+Z429+AA429+AB429+AC429+AD429+AE429+AF429+AG429+AH429</f>
        <v>1294717884</v>
      </c>
    </row>
    <row r="430" spans="1:35" s="535" customFormat="1" ht="15" x14ac:dyDescent="0.25">
      <c r="A430" s="897"/>
      <c r="B430" s="146"/>
      <c r="C430" s="858"/>
      <c r="D430" s="849"/>
      <c r="E430" s="848"/>
      <c r="F430" s="848"/>
      <c r="G430" s="406"/>
      <c r="H430" s="407"/>
      <c r="I430" s="406"/>
      <c r="J430" s="408"/>
      <c r="K430" s="409"/>
      <c r="L430" s="409"/>
      <c r="M430" s="409"/>
      <c r="N430" s="603"/>
      <c r="O430" s="406"/>
      <c r="P430" s="407"/>
      <c r="Q430" s="410">
        <f t="shared" ref="Q430:AI430" si="28">SUM(Q425:Q429)</f>
        <v>0</v>
      </c>
      <c r="R430" s="410">
        <f t="shared" si="28"/>
        <v>0</v>
      </c>
      <c r="S430" s="410">
        <f t="shared" si="28"/>
        <v>0</v>
      </c>
      <c r="T430" s="410">
        <f t="shared" si="28"/>
        <v>0</v>
      </c>
      <c r="U430" s="410">
        <f t="shared" si="28"/>
        <v>0</v>
      </c>
      <c r="V430" s="410">
        <f t="shared" si="28"/>
        <v>0</v>
      </c>
      <c r="W430" s="410">
        <f t="shared" si="28"/>
        <v>150000000</v>
      </c>
      <c r="X430" s="410">
        <f t="shared" si="28"/>
        <v>0</v>
      </c>
      <c r="Y430" s="410">
        <f t="shared" si="28"/>
        <v>0</v>
      </c>
      <c r="Z430" s="410">
        <f t="shared" si="28"/>
        <v>0</v>
      </c>
      <c r="AA430" s="410">
        <f t="shared" si="28"/>
        <v>0</v>
      </c>
      <c r="AB430" s="410">
        <f t="shared" si="28"/>
        <v>0</v>
      </c>
      <c r="AC430" s="410">
        <f t="shared" si="28"/>
        <v>0</v>
      </c>
      <c r="AD430" s="410">
        <f t="shared" si="28"/>
        <v>0</v>
      </c>
      <c r="AE430" s="410">
        <f t="shared" si="28"/>
        <v>1854690771</v>
      </c>
      <c r="AF430" s="410">
        <f t="shared" si="28"/>
        <v>0</v>
      </c>
      <c r="AG430" s="410">
        <f t="shared" si="28"/>
        <v>0</v>
      </c>
      <c r="AH430" s="410">
        <f t="shared" si="28"/>
        <v>0</v>
      </c>
      <c r="AI430" s="982">
        <f t="shared" si="28"/>
        <v>2004690771</v>
      </c>
    </row>
    <row r="431" spans="1:35" s="535" customFormat="1" ht="15" x14ac:dyDescent="0.25">
      <c r="A431" s="917"/>
      <c r="B431" s="411"/>
      <c r="C431" s="152"/>
      <c r="D431" s="151"/>
      <c r="E431" s="397"/>
      <c r="F431" s="397"/>
      <c r="G431" s="151"/>
      <c r="H431" s="152"/>
      <c r="I431" s="151"/>
      <c r="J431" s="327"/>
      <c r="K431" s="318"/>
      <c r="L431" s="318"/>
      <c r="M431" s="318"/>
      <c r="N431" s="585"/>
      <c r="O431" s="151"/>
      <c r="P431" s="152"/>
      <c r="Q431" s="154">
        <f t="shared" ref="Q431:AI431" si="29">Q430+Q422</f>
        <v>0</v>
      </c>
      <c r="R431" s="154">
        <f t="shared" si="29"/>
        <v>0</v>
      </c>
      <c r="S431" s="154">
        <f t="shared" si="29"/>
        <v>0</v>
      </c>
      <c r="T431" s="154">
        <f t="shared" si="29"/>
        <v>0</v>
      </c>
      <c r="U431" s="154">
        <f t="shared" si="29"/>
        <v>0</v>
      </c>
      <c r="V431" s="154">
        <f t="shared" si="29"/>
        <v>0</v>
      </c>
      <c r="W431" s="154">
        <f t="shared" si="29"/>
        <v>150000000</v>
      </c>
      <c r="X431" s="154">
        <f t="shared" si="29"/>
        <v>0</v>
      </c>
      <c r="Y431" s="154">
        <f t="shared" si="29"/>
        <v>0</v>
      </c>
      <c r="Z431" s="154">
        <f t="shared" si="29"/>
        <v>0</v>
      </c>
      <c r="AA431" s="154">
        <f t="shared" si="29"/>
        <v>0</v>
      </c>
      <c r="AB431" s="154">
        <f t="shared" si="29"/>
        <v>0</v>
      </c>
      <c r="AC431" s="154">
        <f t="shared" si="29"/>
        <v>0</v>
      </c>
      <c r="AD431" s="154">
        <f t="shared" si="29"/>
        <v>0</v>
      </c>
      <c r="AE431" s="154">
        <f t="shared" si="29"/>
        <v>1854690771</v>
      </c>
      <c r="AF431" s="154">
        <f t="shared" si="29"/>
        <v>0</v>
      </c>
      <c r="AG431" s="154">
        <f t="shared" si="29"/>
        <v>0</v>
      </c>
      <c r="AH431" s="154">
        <f t="shared" si="29"/>
        <v>0</v>
      </c>
      <c r="AI431" s="906">
        <f t="shared" si="29"/>
        <v>2004690771</v>
      </c>
    </row>
    <row r="432" spans="1:35" s="535" customFormat="1" ht="15" x14ac:dyDescent="0.2">
      <c r="A432" s="917"/>
      <c r="B432" s="161"/>
      <c r="C432" s="845"/>
      <c r="D432" s="161"/>
      <c r="E432" s="394"/>
      <c r="F432" s="394"/>
      <c r="G432" s="161"/>
      <c r="H432" s="845"/>
      <c r="I432" s="161"/>
      <c r="J432" s="309"/>
      <c r="K432" s="309"/>
      <c r="L432" s="395"/>
      <c r="M432" s="395"/>
      <c r="N432" s="57"/>
      <c r="O432" s="216"/>
      <c r="P432" s="845"/>
      <c r="Q432" s="12"/>
      <c r="R432" s="12"/>
      <c r="S432" s="12"/>
      <c r="T432" s="12"/>
      <c r="U432" s="12"/>
      <c r="V432" s="932"/>
      <c r="W432" s="932"/>
      <c r="X432" s="12"/>
      <c r="Y432" s="12"/>
      <c r="Z432" s="12"/>
      <c r="AA432" s="12"/>
      <c r="AB432" s="12"/>
      <c r="AC432" s="12"/>
      <c r="AD432" s="932"/>
      <c r="AE432" s="980"/>
      <c r="AF432" s="12"/>
      <c r="AG432" s="12"/>
      <c r="AH432" s="12"/>
      <c r="AI432" s="983"/>
    </row>
    <row r="433" spans="1:35" s="535" customFormat="1" x14ac:dyDescent="0.25">
      <c r="A433" s="917"/>
      <c r="B433" s="232">
        <v>8</v>
      </c>
      <c r="C433" s="837" t="s">
        <v>559</v>
      </c>
      <c r="D433" s="87"/>
      <c r="E433" s="87"/>
      <c r="F433" s="87"/>
      <c r="G433" s="87"/>
      <c r="H433" s="838"/>
      <c r="I433" s="87"/>
      <c r="J433" s="87"/>
      <c r="K433" s="319"/>
      <c r="L433" s="319"/>
      <c r="M433" s="87"/>
      <c r="N433" s="15"/>
      <c r="O433" s="87"/>
      <c r="P433" s="87"/>
      <c r="Q433" s="169"/>
      <c r="R433" s="169"/>
      <c r="S433" s="169"/>
      <c r="T433" s="169"/>
      <c r="U433" s="169"/>
      <c r="V433" s="169"/>
      <c r="W433" s="169"/>
      <c r="X433" s="169"/>
      <c r="Y433" s="169"/>
      <c r="Z433" s="169"/>
      <c r="AA433" s="169"/>
      <c r="AB433" s="169"/>
      <c r="AC433" s="169"/>
      <c r="AD433" s="169"/>
      <c r="AE433" s="170"/>
      <c r="AF433" s="169"/>
      <c r="AG433" s="169"/>
      <c r="AH433" s="169"/>
      <c r="AI433" s="916"/>
    </row>
    <row r="434" spans="1:35" s="535" customFormat="1" ht="15" x14ac:dyDescent="0.25">
      <c r="A434" s="917"/>
      <c r="B434" s="172"/>
      <c r="C434" s="845"/>
      <c r="D434" s="161"/>
      <c r="E434" s="845"/>
      <c r="F434" s="846"/>
      <c r="G434" s="336">
        <v>25</v>
      </c>
      <c r="H434" s="81" t="s">
        <v>560</v>
      </c>
      <c r="I434" s="81"/>
      <c r="J434" s="81"/>
      <c r="K434" s="312"/>
      <c r="L434" s="312"/>
      <c r="M434" s="81"/>
      <c r="N434" s="88"/>
      <c r="O434" s="81"/>
      <c r="P434" s="81"/>
      <c r="Q434" s="176"/>
      <c r="R434" s="176"/>
      <c r="S434" s="176"/>
      <c r="T434" s="176"/>
      <c r="U434" s="176"/>
      <c r="V434" s="176"/>
      <c r="W434" s="176"/>
      <c r="X434" s="176"/>
      <c r="Y434" s="176"/>
      <c r="Z434" s="176"/>
      <c r="AA434" s="176"/>
      <c r="AB434" s="176"/>
      <c r="AC434" s="176"/>
      <c r="AD434" s="176"/>
      <c r="AE434" s="177"/>
      <c r="AF434" s="176"/>
      <c r="AG434" s="176"/>
      <c r="AH434" s="176"/>
      <c r="AI434" s="918"/>
    </row>
    <row r="435" spans="1:35" s="733" customFormat="1" ht="75.75" customHeight="1" x14ac:dyDescent="0.25">
      <c r="A435" s="919"/>
      <c r="B435" s="541"/>
      <c r="C435" s="1096" t="s">
        <v>482</v>
      </c>
      <c r="D435" s="1080" t="s">
        <v>483</v>
      </c>
      <c r="E435" s="1108" t="s">
        <v>528</v>
      </c>
      <c r="F435" s="1108" t="s">
        <v>529</v>
      </c>
      <c r="G435" s="542"/>
      <c r="H435" s="829">
        <v>108</v>
      </c>
      <c r="I435" s="828" t="s">
        <v>561</v>
      </c>
      <c r="J435" s="651">
        <v>4</v>
      </c>
      <c r="K435" s="684">
        <v>4</v>
      </c>
      <c r="L435" s="684">
        <v>0</v>
      </c>
      <c r="M435" s="1137" t="s">
        <v>460</v>
      </c>
      <c r="N435" s="1084" t="s">
        <v>562</v>
      </c>
      <c r="O435" s="1080" t="s">
        <v>563</v>
      </c>
      <c r="P435" s="829" t="s">
        <v>46</v>
      </c>
      <c r="Q435" s="739"/>
      <c r="R435" s="739"/>
      <c r="S435" s="739"/>
      <c r="T435" s="739"/>
      <c r="U435" s="739"/>
      <c r="V435" s="739"/>
      <c r="W435" s="739"/>
      <c r="X435" s="739"/>
      <c r="Y435" s="739"/>
      <c r="Z435" s="739"/>
      <c r="AA435" s="739"/>
      <c r="AB435" s="739"/>
      <c r="AC435" s="739"/>
      <c r="AD435" s="740"/>
      <c r="AE435" s="550">
        <v>9937000</v>
      </c>
      <c r="AF435" s="740"/>
      <c r="AG435" s="740"/>
      <c r="AH435" s="740"/>
      <c r="AI435" s="900">
        <f>+Q435+R435+S435+T435+U435+V435+W435+X435+Y435+Z435+AA435+AB435+AC435+AD435+AE435+AF435+AG435+AH435</f>
        <v>9937000</v>
      </c>
    </row>
    <row r="436" spans="1:35" s="733" customFormat="1" ht="28.5" x14ac:dyDescent="0.25">
      <c r="A436" s="919"/>
      <c r="B436" s="541"/>
      <c r="C436" s="1090"/>
      <c r="D436" s="1081"/>
      <c r="E436" s="1110"/>
      <c r="F436" s="1110"/>
      <c r="G436" s="624"/>
      <c r="H436" s="829">
        <v>109</v>
      </c>
      <c r="I436" s="828" t="s">
        <v>564</v>
      </c>
      <c r="J436" s="651">
        <v>0</v>
      </c>
      <c r="K436" s="684">
        <v>52</v>
      </c>
      <c r="L436" s="684">
        <v>0</v>
      </c>
      <c r="M436" s="1139"/>
      <c r="N436" s="1083"/>
      <c r="O436" s="1081"/>
      <c r="P436" s="829" t="s">
        <v>46</v>
      </c>
      <c r="Q436" s="739"/>
      <c r="R436" s="739"/>
      <c r="S436" s="739"/>
      <c r="T436" s="739"/>
      <c r="U436" s="739"/>
      <c r="V436" s="739"/>
      <c r="W436" s="739"/>
      <c r="X436" s="739"/>
      <c r="Y436" s="739"/>
      <c r="Z436" s="739"/>
      <c r="AA436" s="739"/>
      <c r="AB436" s="739"/>
      <c r="AC436" s="739"/>
      <c r="AD436" s="740"/>
      <c r="AE436" s="550">
        <v>26768028</v>
      </c>
      <c r="AF436" s="740"/>
      <c r="AG436" s="740"/>
      <c r="AH436" s="740"/>
      <c r="AI436" s="900">
        <f>+Q436+R436+S436+T436+U436+V436+W436+X436+Y436+Z436+AA436+AB436+AC436+AD436+AE436+AF436+AG436+AH436</f>
        <v>26768028</v>
      </c>
    </row>
    <row r="437" spans="1:35" s="535" customFormat="1" ht="15" x14ac:dyDescent="0.25">
      <c r="A437" s="917"/>
      <c r="B437" s="144"/>
      <c r="C437" s="846"/>
      <c r="D437" s="565"/>
      <c r="E437" s="384"/>
      <c r="F437" s="384"/>
      <c r="G437" s="147"/>
      <c r="H437" s="148"/>
      <c r="I437" s="147"/>
      <c r="J437" s="307"/>
      <c r="K437" s="314"/>
      <c r="L437" s="314"/>
      <c r="M437" s="314"/>
      <c r="N437" s="584"/>
      <c r="O437" s="147"/>
      <c r="P437" s="148"/>
      <c r="Q437" s="412"/>
      <c r="R437" s="412"/>
      <c r="S437" s="412"/>
      <c r="T437" s="412"/>
      <c r="U437" s="412"/>
      <c r="V437" s="412"/>
      <c r="W437" s="412"/>
      <c r="X437" s="412"/>
      <c r="Y437" s="412"/>
      <c r="Z437" s="412"/>
      <c r="AA437" s="412">
        <f>SUM(AA435:AA436)</f>
        <v>0</v>
      </c>
      <c r="AB437" s="412"/>
      <c r="AC437" s="412"/>
      <c r="AD437" s="412"/>
      <c r="AE437" s="392">
        <f>SUM(AE435:AE436)</f>
        <v>36705028</v>
      </c>
      <c r="AF437" s="412"/>
      <c r="AG437" s="412"/>
      <c r="AH437" s="412"/>
      <c r="AI437" s="984">
        <f>SUM(AI435:AI436)</f>
        <v>36705028</v>
      </c>
    </row>
    <row r="438" spans="1:35" s="535" customFormat="1" ht="15" x14ac:dyDescent="0.25">
      <c r="A438" s="917"/>
      <c r="B438" s="144"/>
      <c r="C438" s="845"/>
      <c r="D438" s="161"/>
      <c r="E438" s="394"/>
      <c r="F438" s="394"/>
      <c r="G438" s="161"/>
      <c r="H438" s="845"/>
      <c r="I438" s="161"/>
      <c r="J438" s="309"/>
      <c r="K438" s="309"/>
      <c r="L438" s="395"/>
      <c r="M438" s="395"/>
      <c r="N438" s="57"/>
      <c r="O438" s="216"/>
      <c r="P438" s="845"/>
      <c r="Q438" s="12"/>
      <c r="R438" s="12"/>
      <c r="S438" s="12"/>
      <c r="T438" s="12"/>
      <c r="U438" s="12"/>
      <c r="V438" s="932"/>
      <c r="W438" s="932"/>
      <c r="X438" s="12"/>
      <c r="Y438" s="12"/>
      <c r="Z438" s="12"/>
      <c r="AA438" s="12"/>
      <c r="AB438" s="12"/>
      <c r="AC438" s="12"/>
      <c r="AD438" s="932"/>
      <c r="AE438" s="946"/>
      <c r="AF438" s="12"/>
      <c r="AG438" s="12"/>
      <c r="AH438" s="12"/>
      <c r="AI438" s="921"/>
    </row>
    <row r="439" spans="1:35" s="535" customFormat="1" ht="15" x14ac:dyDescent="0.25">
      <c r="A439" s="917"/>
      <c r="B439" s="144"/>
      <c r="C439" s="846"/>
      <c r="D439" s="565"/>
      <c r="E439" s="384"/>
      <c r="F439" s="384"/>
      <c r="G439" s="336">
        <v>26</v>
      </c>
      <c r="H439" s="81" t="s">
        <v>565</v>
      </c>
      <c r="I439" s="81"/>
      <c r="J439" s="81"/>
      <c r="K439" s="312"/>
      <c r="L439" s="312"/>
      <c r="M439" s="81"/>
      <c r="N439" s="88"/>
      <c r="O439" s="81"/>
      <c r="P439" s="81"/>
      <c r="Q439" s="176"/>
      <c r="R439" s="176"/>
      <c r="S439" s="176"/>
      <c r="T439" s="176"/>
      <c r="U439" s="176"/>
      <c r="V439" s="176"/>
      <c r="W439" s="176"/>
      <c r="X439" s="176"/>
      <c r="Y439" s="176"/>
      <c r="Z439" s="176"/>
      <c r="AA439" s="176"/>
      <c r="AB439" s="176"/>
      <c r="AC439" s="176"/>
      <c r="AD439" s="176"/>
      <c r="AE439" s="177"/>
      <c r="AF439" s="176"/>
      <c r="AG439" s="176"/>
      <c r="AH439" s="176"/>
      <c r="AI439" s="918"/>
    </row>
    <row r="440" spans="1:35" s="733" customFormat="1" ht="210.75" customHeight="1" x14ac:dyDescent="0.25">
      <c r="A440" s="919"/>
      <c r="B440" s="541"/>
      <c r="C440" s="827" t="s">
        <v>566</v>
      </c>
      <c r="D440" s="828" t="s">
        <v>567</v>
      </c>
      <c r="E440" s="713" t="s">
        <v>568</v>
      </c>
      <c r="F440" s="713" t="s">
        <v>569</v>
      </c>
      <c r="G440" s="828"/>
      <c r="H440" s="829">
        <v>110</v>
      </c>
      <c r="I440" s="828" t="s">
        <v>570</v>
      </c>
      <c r="J440" s="651">
        <v>180</v>
      </c>
      <c r="K440" s="684">
        <v>200</v>
      </c>
      <c r="L440" s="684">
        <v>268</v>
      </c>
      <c r="M440" s="684" t="s">
        <v>460</v>
      </c>
      <c r="N440" s="619" t="s">
        <v>571</v>
      </c>
      <c r="O440" s="828" t="s">
        <v>572</v>
      </c>
      <c r="P440" s="829" t="s">
        <v>46</v>
      </c>
      <c r="Q440" s="739"/>
      <c r="R440" s="739"/>
      <c r="S440" s="739"/>
      <c r="T440" s="739"/>
      <c r="U440" s="739"/>
      <c r="V440" s="739"/>
      <c r="W440" s="739"/>
      <c r="X440" s="739"/>
      <c r="Y440" s="739"/>
      <c r="Z440" s="739"/>
      <c r="AA440" s="708">
        <f>600000000+56195624</f>
        <v>656195624</v>
      </c>
      <c r="AB440" s="708"/>
      <c r="AC440" s="739"/>
      <c r="AD440" s="739"/>
      <c r="AE440" s="550">
        <f>10000000+40000000</f>
        <v>50000000</v>
      </c>
      <c r="AF440" s="740"/>
      <c r="AG440" s="740"/>
      <c r="AH440" s="740"/>
      <c r="AI440" s="900">
        <f>+Q440+R440+S440+T440+U440+V440+W440+X440+Y440+Z440+AA440+AB440+AC440+AD440+AE440+AF440+AG440+AH440</f>
        <v>706195624</v>
      </c>
    </row>
    <row r="441" spans="1:35" s="535" customFormat="1" ht="15" x14ac:dyDescent="0.25">
      <c r="A441" s="917"/>
      <c r="B441" s="144"/>
      <c r="C441" s="846"/>
      <c r="D441" s="565"/>
      <c r="E441" s="391"/>
      <c r="F441" s="391"/>
      <c r="G441" s="147"/>
      <c r="H441" s="148"/>
      <c r="I441" s="147"/>
      <c r="J441" s="307"/>
      <c r="K441" s="413"/>
      <c r="L441" s="413"/>
      <c r="M441" s="314"/>
      <c r="N441" s="584"/>
      <c r="O441" s="147"/>
      <c r="P441" s="148"/>
      <c r="Q441" s="357"/>
      <c r="R441" s="357"/>
      <c r="S441" s="357"/>
      <c r="T441" s="357"/>
      <c r="U441" s="357"/>
      <c r="V441" s="357"/>
      <c r="W441" s="357"/>
      <c r="X441" s="357"/>
      <c r="Y441" s="357"/>
      <c r="Z441" s="357"/>
      <c r="AA441" s="412">
        <f>SUM(AA440)</f>
        <v>656195624</v>
      </c>
      <c r="AB441" s="357">
        <f>SUM(AB440)</f>
        <v>0</v>
      </c>
      <c r="AC441" s="357"/>
      <c r="AD441" s="357"/>
      <c r="AE441" s="392">
        <f>SUM(AE440)</f>
        <v>50000000</v>
      </c>
      <c r="AF441" s="357"/>
      <c r="AG441" s="357"/>
      <c r="AH441" s="357"/>
      <c r="AI441" s="984">
        <f>SUM(AI440)</f>
        <v>706195624</v>
      </c>
    </row>
    <row r="442" spans="1:35" s="535" customFormat="1" ht="15" x14ac:dyDescent="0.25">
      <c r="A442" s="917"/>
      <c r="B442" s="144"/>
      <c r="C442" s="845"/>
      <c r="D442" s="161"/>
      <c r="E442" s="394"/>
      <c r="F442" s="394"/>
      <c r="G442" s="161"/>
      <c r="H442" s="845"/>
      <c r="I442" s="161"/>
      <c r="J442" s="309"/>
      <c r="K442" s="346"/>
      <c r="L442" s="574"/>
      <c r="M442" s="395"/>
      <c r="N442" s="57"/>
      <c r="O442" s="216"/>
      <c r="P442" s="845"/>
      <c r="Q442" s="12"/>
      <c r="R442" s="163"/>
      <c r="S442" s="12"/>
      <c r="T442" s="12"/>
      <c r="U442" s="12"/>
      <c r="V442" s="932"/>
      <c r="W442" s="932"/>
      <c r="X442" s="12"/>
      <c r="Y442" s="12"/>
      <c r="Z442" s="12"/>
      <c r="AA442" s="163"/>
      <c r="AB442" s="163"/>
      <c r="AC442" s="12"/>
      <c r="AD442" s="932"/>
      <c r="AE442" s="946"/>
      <c r="AF442" s="12"/>
      <c r="AG442" s="12"/>
      <c r="AH442" s="12"/>
      <c r="AI442" s="921"/>
    </row>
    <row r="443" spans="1:35" s="535" customFormat="1" ht="15" x14ac:dyDescent="0.25">
      <c r="A443" s="917"/>
      <c r="B443" s="144"/>
      <c r="C443" s="846"/>
      <c r="D443" s="565"/>
      <c r="E443" s="384"/>
      <c r="F443" s="384"/>
      <c r="G443" s="336">
        <v>27</v>
      </c>
      <c r="H443" s="81" t="s">
        <v>573</v>
      </c>
      <c r="I443" s="81"/>
      <c r="J443" s="81"/>
      <c r="K443" s="339"/>
      <c r="L443" s="339"/>
      <c r="M443" s="81"/>
      <c r="N443" s="88"/>
      <c r="O443" s="81"/>
      <c r="P443" s="81"/>
      <c r="Q443" s="176"/>
      <c r="R443" s="176"/>
      <c r="S443" s="176"/>
      <c r="T443" s="176"/>
      <c r="U443" s="176"/>
      <c r="V443" s="176"/>
      <c r="W443" s="176"/>
      <c r="X443" s="176"/>
      <c r="Y443" s="176"/>
      <c r="Z443" s="176"/>
      <c r="AA443" s="176"/>
      <c r="AB443" s="176"/>
      <c r="AC443" s="176"/>
      <c r="AD443" s="176"/>
      <c r="AE443" s="177"/>
      <c r="AF443" s="176"/>
      <c r="AG443" s="176"/>
      <c r="AH443" s="176"/>
      <c r="AI443" s="918"/>
    </row>
    <row r="444" spans="1:35" s="539" customFormat="1" ht="118.5" customHeight="1" x14ac:dyDescent="0.25">
      <c r="A444" s="919"/>
      <c r="B444" s="541"/>
      <c r="C444" s="827" t="s">
        <v>482</v>
      </c>
      <c r="D444" s="828" t="s">
        <v>483</v>
      </c>
      <c r="E444" s="713" t="s">
        <v>528</v>
      </c>
      <c r="F444" s="713" t="s">
        <v>529</v>
      </c>
      <c r="G444" s="542"/>
      <c r="H444" s="829">
        <v>111</v>
      </c>
      <c r="I444" s="828" t="s">
        <v>574</v>
      </c>
      <c r="J444" s="741">
        <v>1</v>
      </c>
      <c r="K444" s="741">
        <v>1</v>
      </c>
      <c r="L444" s="741">
        <v>0.75</v>
      </c>
      <c r="M444" s="742" t="s">
        <v>460</v>
      </c>
      <c r="N444" s="619" t="s">
        <v>575</v>
      </c>
      <c r="O444" s="743" t="s">
        <v>576</v>
      </c>
      <c r="P444" s="829" t="s">
        <v>46</v>
      </c>
      <c r="Q444" s="739"/>
      <c r="R444" s="739"/>
      <c r="S444" s="739"/>
      <c r="T444" s="739"/>
      <c r="U444" s="739"/>
      <c r="V444" s="739"/>
      <c r="W444" s="739"/>
      <c r="X444" s="739"/>
      <c r="Y444" s="739"/>
      <c r="Z444" s="739"/>
      <c r="AA444" s="708">
        <v>3503000000</v>
      </c>
      <c r="AB444" s="744"/>
      <c r="AC444" s="739"/>
      <c r="AD444" s="739"/>
      <c r="AE444" s="550">
        <v>0</v>
      </c>
      <c r="AF444" s="740"/>
      <c r="AG444" s="740"/>
      <c r="AH444" s="740"/>
      <c r="AI444" s="900">
        <f>+Q444+R444+S444+T444+U444+V444+W444+X444+Y444+Z444+AA444+AB444+AC444+AD444+AE444+AF444+AG444+AH444</f>
        <v>3503000000</v>
      </c>
    </row>
    <row r="445" spans="1:35" ht="15" x14ac:dyDescent="0.25">
      <c r="A445" s="917"/>
      <c r="B445" s="144"/>
      <c r="C445" s="846"/>
      <c r="D445" s="565"/>
      <c r="E445" s="384"/>
      <c r="F445" s="384"/>
      <c r="G445" s="147"/>
      <c r="H445" s="148"/>
      <c r="I445" s="147"/>
      <c r="J445" s="415"/>
      <c r="K445" s="416"/>
      <c r="L445" s="416"/>
      <c r="M445" s="415"/>
      <c r="N445" s="584"/>
      <c r="O445" s="147"/>
      <c r="P445" s="148"/>
      <c r="Q445" s="357"/>
      <c r="R445" s="357"/>
      <c r="S445" s="357"/>
      <c r="T445" s="357"/>
      <c r="U445" s="357"/>
      <c r="V445" s="357"/>
      <c r="W445" s="357"/>
      <c r="X445" s="357"/>
      <c r="Y445" s="357"/>
      <c r="Z445" s="357"/>
      <c r="AA445" s="412">
        <f>SUM(AA444:AA444)</f>
        <v>3503000000</v>
      </c>
      <c r="AB445" s="412">
        <f>SUM(AB444:AB444)</f>
        <v>0</v>
      </c>
      <c r="AC445" s="412"/>
      <c r="AD445" s="412"/>
      <c r="AE445" s="392">
        <f>SUM(AE444:AE444)</f>
        <v>0</v>
      </c>
      <c r="AF445" s="412"/>
      <c r="AG445" s="412"/>
      <c r="AH445" s="412"/>
      <c r="AI445" s="985">
        <f>SUM(AI444:AI444)</f>
        <v>3503000000</v>
      </c>
    </row>
    <row r="446" spans="1:35" ht="15" x14ac:dyDescent="0.25">
      <c r="A446" s="917"/>
      <c r="B446" s="144"/>
      <c r="C446" s="845"/>
      <c r="D446" s="161"/>
      <c r="E446" s="394"/>
      <c r="F446" s="394"/>
      <c r="G446" s="161"/>
      <c r="H446" s="845"/>
      <c r="I446" s="161"/>
      <c r="J446" s="309"/>
      <c r="K446" s="309"/>
      <c r="L446" s="395"/>
      <c r="M446" s="395"/>
      <c r="N446" s="57"/>
      <c r="O446" s="216"/>
      <c r="P446" s="845"/>
      <c r="Q446" s="12"/>
      <c r="R446" s="163"/>
      <c r="S446" s="12"/>
      <c r="T446" s="12"/>
      <c r="U446" s="12"/>
      <c r="V446" s="932"/>
      <c r="W446" s="932"/>
      <c r="X446" s="12"/>
      <c r="Y446" s="12"/>
      <c r="Z446" s="12"/>
      <c r="AA446" s="12"/>
      <c r="AB446" s="12"/>
      <c r="AC446" s="12"/>
      <c r="AD446" s="932"/>
      <c r="AE446" s="946"/>
      <c r="AF446" s="12"/>
      <c r="AG446" s="12"/>
      <c r="AH446" s="12"/>
      <c r="AI446" s="921"/>
    </row>
    <row r="447" spans="1:35" ht="15" x14ac:dyDescent="0.25">
      <c r="A447" s="917"/>
      <c r="B447" s="144"/>
      <c r="C447" s="846"/>
      <c r="D447" s="565"/>
      <c r="E447" s="384"/>
      <c r="F447" s="384"/>
      <c r="G447" s="336">
        <v>28</v>
      </c>
      <c r="H447" s="81" t="s">
        <v>577</v>
      </c>
      <c r="I447" s="81"/>
      <c r="J447" s="81"/>
      <c r="K447" s="312"/>
      <c r="L447" s="312"/>
      <c r="M447" s="81"/>
      <c r="N447" s="88"/>
      <c r="O447" s="81"/>
      <c r="P447" s="81"/>
      <c r="Q447" s="176"/>
      <c r="R447" s="176"/>
      <c r="S447" s="176"/>
      <c r="T447" s="176"/>
      <c r="U447" s="176"/>
      <c r="V447" s="176"/>
      <c r="W447" s="176"/>
      <c r="X447" s="176"/>
      <c r="Y447" s="176"/>
      <c r="Z447" s="176"/>
      <c r="AA447" s="176"/>
      <c r="AB447" s="176"/>
      <c r="AC447" s="176"/>
      <c r="AD447" s="176"/>
      <c r="AE447" s="177"/>
      <c r="AF447" s="176"/>
      <c r="AG447" s="176"/>
      <c r="AH447" s="176"/>
      <c r="AI447" s="918"/>
    </row>
    <row r="448" spans="1:35" s="539" customFormat="1" ht="69" customHeight="1" x14ac:dyDescent="0.25">
      <c r="A448" s="919"/>
      <c r="B448" s="541"/>
      <c r="C448" s="1096" t="s">
        <v>482</v>
      </c>
      <c r="D448" s="1080" t="s">
        <v>483</v>
      </c>
      <c r="E448" s="1108" t="s">
        <v>528</v>
      </c>
      <c r="F448" s="1108" t="s">
        <v>529</v>
      </c>
      <c r="G448" s="542"/>
      <c r="H448" s="829">
        <v>112</v>
      </c>
      <c r="I448" s="828" t="s">
        <v>578</v>
      </c>
      <c r="J448" s="651">
        <v>0</v>
      </c>
      <c r="K448" s="684">
        <v>12</v>
      </c>
      <c r="L448" s="684">
        <v>3</v>
      </c>
      <c r="M448" s="1150">
        <v>1</v>
      </c>
      <c r="N448" s="1152" t="s">
        <v>579</v>
      </c>
      <c r="O448" s="1080" t="s">
        <v>580</v>
      </c>
      <c r="P448" s="829" t="s">
        <v>40</v>
      </c>
      <c r="Q448" s="739"/>
      <c r="R448" s="739"/>
      <c r="S448" s="739"/>
      <c r="T448" s="739"/>
      <c r="U448" s="739"/>
      <c r="V448" s="739"/>
      <c r="W448" s="538"/>
      <c r="X448" s="739"/>
      <c r="Y448" s="739"/>
      <c r="Z448" s="739"/>
      <c r="AA448" s="745"/>
      <c r="AB448" s="745"/>
      <c r="AC448" s="739"/>
      <c r="AD448" s="739"/>
      <c r="AE448" s="550">
        <v>3000000</v>
      </c>
      <c r="AF448" s="740"/>
      <c r="AG448" s="740"/>
      <c r="AH448" s="740"/>
      <c r="AI448" s="900">
        <f>+Q448+R448+S448+T448+U448+V448+W448+X448+Y448+Z448+AA448+AB448+AC448+AD448+AE448+AF448+AG448+AH448</f>
        <v>3000000</v>
      </c>
    </row>
    <row r="449" spans="1:35" s="539" customFormat="1" ht="90.75" customHeight="1" x14ac:dyDescent="0.25">
      <c r="A449" s="919"/>
      <c r="B449" s="541"/>
      <c r="C449" s="1090"/>
      <c r="D449" s="1081"/>
      <c r="E449" s="1110"/>
      <c r="F449" s="1110"/>
      <c r="G449" s="624"/>
      <c r="H449" s="829">
        <v>113</v>
      </c>
      <c r="I449" s="828" t="s">
        <v>581</v>
      </c>
      <c r="J449" s="651">
        <v>0</v>
      </c>
      <c r="K449" s="684">
        <v>1</v>
      </c>
      <c r="L449" s="684">
        <v>1</v>
      </c>
      <c r="M449" s="1151"/>
      <c r="N449" s="1153"/>
      <c r="O449" s="1081"/>
      <c r="P449" s="829" t="s">
        <v>40</v>
      </c>
      <c r="Q449" s="739"/>
      <c r="R449" s="739"/>
      <c r="S449" s="739"/>
      <c r="T449" s="739"/>
      <c r="U449" s="739"/>
      <c r="V449" s="739"/>
      <c r="W449" s="538"/>
      <c r="X449" s="739"/>
      <c r="Y449" s="739"/>
      <c r="Z449" s="739"/>
      <c r="AA449" s="553"/>
      <c r="AB449" s="553"/>
      <c r="AC449" s="739"/>
      <c r="AD449" s="739"/>
      <c r="AE449" s="550">
        <v>17868204</v>
      </c>
      <c r="AF449" s="740"/>
      <c r="AG449" s="740"/>
      <c r="AH449" s="740"/>
      <c r="AI449" s="900">
        <f>+Q449+R449+S449+T449+U449+V449+W449+X449+Y449+Z449+AA449+AB449+AC449+AD449+AE449+AF449+AG449+AH449</f>
        <v>17868204</v>
      </c>
    </row>
    <row r="450" spans="1:35" s="37" customFormat="1" ht="20.25" x14ac:dyDescent="0.25">
      <c r="A450" s="986"/>
      <c r="B450" s="417"/>
      <c r="C450" s="846"/>
      <c r="D450" s="418"/>
      <c r="E450" s="418"/>
      <c r="F450" s="418"/>
      <c r="G450" s="419"/>
      <c r="H450" s="148"/>
      <c r="I450" s="419"/>
      <c r="J450" s="420"/>
      <c r="K450" s="421"/>
      <c r="L450" s="421"/>
      <c r="M450" s="421"/>
      <c r="N450" s="584"/>
      <c r="O450" s="419"/>
      <c r="P450" s="419"/>
      <c r="Q450" s="412">
        <f t="shared" ref="Q450:AI450" si="30">SUM(Q448:Q449)</f>
        <v>0</v>
      </c>
      <c r="R450" s="412">
        <f t="shared" si="30"/>
        <v>0</v>
      </c>
      <c r="S450" s="412">
        <f t="shared" si="30"/>
        <v>0</v>
      </c>
      <c r="T450" s="412">
        <f t="shared" si="30"/>
        <v>0</v>
      </c>
      <c r="U450" s="412">
        <f t="shared" si="30"/>
        <v>0</v>
      </c>
      <c r="V450" s="412">
        <f t="shared" si="30"/>
        <v>0</v>
      </c>
      <c r="W450" s="412">
        <f t="shared" si="30"/>
        <v>0</v>
      </c>
      <c r="X450" s="412">
        <f t="shared" si="30"/>
        <v>0</v>
      </c>
      <c r="Y450" s="412">
        <f t="shared" si="30"/>
        <v>0</v>
      </c>
      <c r="Z450" s="412">
        <f t="shared" si="30"/>
        <v>0</v>
      </c>
      <c r="AA450" s="412">
        <f t="shared" si="30"/>
        <v>0</v>
      </c>
      <c r="AB450" s="412">
        <f t="shared" si="30"/>
        <v>0</v>
      </c>
      <c r="AC450" s="412">
        <f t="shared" si="30"/>
        <v>0</v>
      </c>
      <c r="AD450" s="412">
        <f t="shared" si="30"/>
        <v>0</v>
      </c>
      <c r="AE450" s="412">
        <f t="shared" si="30"/>
        <v>20868204</v>
      </c>
      <c r="AF450" s="412">
        <f t="shared" si="30"/>
        <v>0</v>
      </c>
      <c r="AG450" s="412">
        <f t="shared" si="30"/>
        <v>0</v>
      </c>
      <c r="AH450" s="412">
        <f t="shared" si="30"/>
        <v>0</v>
      </c>
      <c r="AI450" s="985">
        <f t="shared" si="30"/>
        <v>20868204</v>
      </c>
    </row>
    <row r="451" spans="1:35" s="536" customFormat="1" ht="22.5" customHeight="1" x14ac:dyDescent="0.25">
      <c r="A451" s="986"/>
      <c r="B451" s="422"/>
      <c r="C451" s="152"/>
      <c r="D451" s="423"/>
      <c r="E451" s="423"/>
      <c r="F451" s="423"/>
      <c r="G451" s="423"/>
      <c r="H451" s="152"/>
      <c r="I451" s="423"/>
      <c r="J451" s="424"/>
      <c r="K451" s="425"/>
      <c r="L451" s="425"/>
      <c r="M451" s="425"/>
      <c r="N451" s="585"/>
      <c r="O451" s="423"/>
      <c r="P451" s="423"/>
      <c r="Q451" s="426">
        <f t="shared" ref="Q451:AI451" si="31">Q450+Q445+Q441+Q437</f>
        <v>0</v>
      </c>
      <c r="R451" s="426">
        <f t="shared" si="31"/>
        <v>0</v>
      </c>
      <c r="S451" s="426">
        <f t="shared" si="31"/>
        <v>0</v>
      </c>
      <c r="T451" s="426">
        <f t="shared" si="31"/>
        <v>0</v>
      </c>
      <c r="U451" s="426">
        <f t="shared" si="31"/>
        <v>0</v>
      </c>
      <c r="V451" s="426">
        <f t="shared" si="31"/>
        <v>0</v>
      </c>
      <c r="W451" s="426">
        <f t="shared" si="31"/>
        <v>0</v>
      </c>
      <c r="X451" s="426">
        <f t="shared" si="31"/>
        <v>0</v>
      </c>
      <c r="Y451" s="426">
        <f t="shared" si="31"/>
        <v>0</v>
      </c>
      <c r="Z451" s="426">
        <f t="shared" si="31"/>
        <v>0</v>
      </c>
      <c r="AA451" s="426">
        <f t="shared" si="31"/>
        <v>4159195624</v>
      </c>
      <c r="AB451" s="426">
        <f t="shared" si="31"/>
        <v>0</v>
      </c>
      <c r="AC451" s="426">
        <f t="shared" si="31"/>
        <v>0</v>
      </c>
      <c r="AD451" s="426">
        <f t="shared" si="31"/>
        <v>0</v>
      </c>
      <c r="AE451" s="426">
        <f t="shared" si="31"/>
        <v>107573232</v>
      </c>
      <c r="AF451" s="426">
        <f t="shared" si="31"/>
        <v>0</v>
      </c>
      <c r="AG451" s="426">
        <f t="shared" si="31"/>
        <v>0</v>
      </c>
      <c r="AH451" s="426">
        <f t="shared" si="31"/>
        <v>0</v>
      </c>
      <c r="AI451" s="987">
        <f t="shared" si="31"/>
        <v>4266768856</v>
      </c>
    </row>
    <row r="452" spans="1:35" ht="15" x14ac:dyDescent="0.25">
      <c r="A452" s="917"/>
      <c r="B452" s="161"/>
      <c r="C452" s="845"/>
      <c r="D452" s="161"/>
      <c r="E452" s="394"/>
      <c r="F452" s="394"/>
      <c r="G452" s="161"/>
      <c r="H452" s="845"/>
      <c r="I452" s="161"/>
      <c r="J452" s="309"/>
      <c r="K452" s="309"/>
      <c r="L452" s="395"/>
      <c r="M452" s="395"/>
      <c r="N452" s="57"/>
      <c r="O452" s="216"/>
      <c r="P452" s="845"/>
      <c r="Q452" s="12"/>
      <c r="R452" s="163"/>
      <c r="S452" s="12"/>
      <c r="T452" s="12"/>
      <c r="U452" s="12"/>
      <c r="V452" s="932"/>
      <c r="W452" s="932"/>
      <c r="X452" s="12"/>
      <c r="Y452" s="12"/>
      <c r="Z452" s="12"/>
      <c r="AA452" s="12"/>
      <c r="AB452" s="12"/>
      <c r="AC452" s="12"/>
      <c r="AD452" s="932"/>
      <c r="AE452" s="946"/>
      <c r="AF452" s="12"/>
      <c r="AG452" s="12"/>
      <c r="AH452" s="12"/>
      <c r="AI452" s="921"/>
    </row>
    <row r="453" spans="1:35" x14ac:dyDescent="0.25">
      <c r="A453" s="917"/>
      <c r="B453" s="232">
        <v>16</v>
      </c>
      <c r="C453" s="837" t="s">
        <v>582</v>
      </c>
      <c r="D453" s="87"/>
      <c r="E453" s="87"/>
      <c r="F453" s="87"/>
      <c r="G453" s="87"/>
      <c r="H453" s="838"/>
      <c r="I453" s="87"/>
      <c r="J453" s="87"/>
      <c r="K453" s="319"/>
      <c r="L453" s="319"/>
      <c r="M453" s="87"/>
      <c r="N453" s="15"/>
      <c r="O453" s="87"/>
      <c r="P453" s="87"/>
      <c r="Q453" s="169"/>
      <c r="R453" s="169"/>
      <c r="S453" s="169"/>
      <c r="T453" s="169"/>
      <c r="U453" s="169"/>
      <c r="V453" s="169"/>
      <c r="W453" s="169"/>
      <c r="X453" s="169"/>
      <c r="Y453" s="169"/>
      <c r="Z453" s="169"/>
      <c r="AA453" s="169"/>
      <c r="AB453" s="169"/>
      <c r="AC453" s="169"/>
      <c r="AD453" s="169"/>
      <c r="AE453" s="170"/>
      <c r="AF453" s="169"/>
      <c r="AG453" s="169"/>
      <c r="AH453" s="169"/>
      <c r="AI453" s="916"/>
    </row>
    <row r="454" spans="1:35" ht="15" x14ac:dyDescent="0.25">
      <c r="A454" s="917"/>
      <c r="B454" s="172"/>
      <c r="C454" s="845"/>
      <c r="D454" s="161"/>
      <c r="E454" s="845"/>
      <c r="F454" s="846"/>
      <c r="G454" s="336">
        <v>57</v>
      </c>
      <c r="H454" s="81" t="s">
        <v>583</v>
      </c>
      <c r="I454" s="81"/>
      <c r="J454" s="81"/>
      <c r="K454" s="312"/>
      <c r="L454" s="312"/>
      <c r="M454" s="81"/>
      <c r="N454" s="88"/>
      <c r="O454" s="81"/>
      <c r="P454" s="81"/>
      <c r="Q454" s="176"/>
      <c r="R454" s="176"/>
      <c r="S454" s="176"/>
      <c r="T454" s="176"/>
      <c r="U454" s="176"/>
      <c r="V454" s="176"/>
      <c r="W454" s="176"/>
      <c r="X454" s="176"/>
      <c r="Y454" s="176"/>
      <c r="Z454" s="176"/>
      <c r="AA454" s="176"/>
      <c r="AB454" s="176"/>
      <c r="AC454" s="176"/>
      <c r="AD454" s="176"/>
      <c r="AE454" s="177"/>
      <c r="AF454" s="176"/>
      <c r="AG454" s="176"/>
      <c r="AH454" s="176"/>
      <c r="AI454" s="918"/>
    </row>
    <row r="455" spans="1:35" s="539" customFormat="1" ht="163.5" customHeight="1" x14ac:dyDescent="0.25">
      <c r="A455" s="919"/>
      <c r="B455" s="541"/>
      <c r="C455" s="746" t="s">
        <v>584</v>
      </c>
      <c r="D455" s="747" t="s">
        <v>585</v>
      </c>
      <c r="E455" s="713" t="s">
        <v>586</v>
      </c>
      <c r="F455" s="713" t="s">
        <v>587</v>
      </c>
      <c r="G455" s="828"/>
      <c r="H455" s="829">
        <v>182</v>
      </c>
      <c r="I455" s="828" t="s">
        <v>588</v>
      </c>
      <c r="J455" s="651">
        <v>1</v>
      </c>
      <c r="K455" s="651">
        <v>1</v>
      </c>
      <c r="L455" s="777">
        <v>0.75</v>
      </c>
      <c r="M455" s="651" t="s">
        <v>460</v>
      </c>
      <c r="N455" s="619" t="s">
        <v>589</v>
      </c>
      <c r="O455" s="828" t="s">
        <v>590</v>
      </c>
      <c r="P455" s="829" t="s">
        <v>46</v>
      </c>
      <c r="Q455" s="546"/>
      <c r="R455" s="546"/>
      <c r="S455" s="546"/>
      <c r="T455" s="546"/>
      <c r="U455" s="546"/>
      <c r="V455" s="546"/>
      <c r="W455" s="546"/>
      <c r="X455" s="546"/>
      <c r="Y455" s="546"/>
      <c r="Z455" s="546"/>
      <c r="AA455" s="546"/>
      <c r="AB455" s="546"/>
      <c r="AC455" s="546"/>
      <c r="AD455" s="546"/>
      <c r="AE455" s="559">
        <v>18817998</v>
      </c>
      <c r="AF455" s="547"/>
      <c r="AG455" s="547"/>
      <c r="AH455" s="547"/>
      <c r="AI455" s="900">
        <f>+Q455+R455+S455+T455+U455+V455+W455+X455+Y455+Z455+AA455+AB455+AC455+AD455+AE455+AF455+AG455+AH455</f>
        <v>18817998</v>
      </c>
    </row>
    <row r="456" spans="1:35" ht="24.95" customHeight="1" x14ac:dyDescent="0.25">
      <c r="A456" s="917"/>
      <c r="B456" s="146"/>
      <c r="C456" s="428"/>
      <c r="D456" s="427"/>
      <c r="E456" s="391"/>
      <c r="F456" s="391"/>
      <c r="G456" s="147"/>
      <c r="H456" s="148"/>
      <c r="I456" s="147"/>
      <c r="J456" s="307"/>
      <c r="K456" s="307"/>
      <c r="L456" s="784"/>
      <c r="M456" s="307"/>
      <c r="N456" s="584"/>
      <c r="O456" s="147"/>
      <c r="P456" s="148"/>
      <c r="Q456" s="150">
        <f t="shared" ref="Q456:AI456" si="32">SUM(Q455)</f>
        <v>0</v>
      </c>
      <c r="R456" s="150">
        <f t="shared" si="32"/>
        <v>0</v>
      </c>
      <c r="S456" s="150">
        <f t="shared" si="32"/>
        <v>0</v>
      </c>
      <c r="T456" s="150">
        <f t="shared" si="32"/>
        <v>0</v>
      </c>
      <c r="U456" s="150">
        <f t="shared" si="32"/>
        <v>0</v>
      </c>
      <c r="V456" s="150">
        <f t="shared" si="32"/>
        <v>0</v>
      </c>
      <c r="W456" s="150">
        <f t="shared" si="32"/>
        <v>0</v>
      </c>
      <c r="X456" s="150">
        <f t="shared" si="32"/>
        <v>0</v>
      </c>
      <c r="Y456" s="150">
        <f t="shared" si="32"/>
        <v>0</v>
      </c>
      <c r="Z456" s="150">
        <f t="shared" si="32"/>
        <v>0</v>
      </c>
      <c r="AA456" s="150">
        <f t="shared" si="32"/>
        <v>0</v>
      </c>
      <c r="AB456" s="150">
        <f t="shared" si="32"/>
        <v>0</v>
      </c>
      <c r="AC456" s="150">
        <f t="shared" si="32"/>
        <v>0</v>
      </c>
      <c r="AD456" s="150">
        <f t="shared" si="32"/>
        <v>0</v>
      </c>
      <c r="AE456" s="150">
        <f t="shared" si="32"/>
        <v>18817998</v>
      </c>
      <c r="AF456" s="150">
        <f t="shared" si="32"/>
        <v>0</v>
      </c>
      <c r="AG456" s="150">
        <f t="shared" si="32"/>
        <v>0</v>
      </c>
      <c r="AH456" s="150">
        <f t="shared" si="32"/>
        <v>0</v>
      </c>
      <c r="AI456" s="904">
        <f t="shared" si="32"/>
        <v>18817998</v>
      </c>
    </row>
    <row r="457" spans="1:35" s="74" customFormat="1" ht="24.95" customHeight="1" x14ac:dyDescent="0.25">
      <c r="A457" s="938"/>
      <c r="B457" s="429"/>
      <c r="C457" s="430"/>
      <c r="D457" s="431"/>
      <c r="E457" s="397"/>
      <c r="F457" s="397"/>
      <c r="G457" s="151"/>
      <c r="H457" s="152"/>
      <c r="I457" s="151"/>
      <c r="J457" s="327"/>
      <c r="K457" s="327"/>
      <c r="L457" s="327"/>
      <c r="M457" s="327"/>
      <c r="N457" s="585"/>
      <c r="O457" s="151"/>
      <c r="P457" s="152"/>
      <c r="Q457" s="154">
        <f t="shared" ref="Q457:AI457" si="33">Q456</f>
        <v>0</v>
      </c>
      <c r="R457" s="154">
        <f t="shared" si="33"/>
        <v>0</v>
      </c>
      <c r="S457" s="154">
        <f t="shared" si="33"/>
        <v>0</v>
      </c>
      <c r="T457" s="154">
        <f t="shared" si="33"/>
        <v>0</v>
      </c>
      <c r="U457" s="154">
        <f t="shared" si="33"/>
        <v>0</v>
      </c>
      <c r="V457" s="154">
        <f t="shared" si="33"/>
        <v>0</v>
      </c>
      <c r="W457" s="154">
        <f t="shared" si="33"/>
        <v>0</v>
      </c>
      <c r="X457" s="154">
        <f t="shared" si="33"/>
        <v>0</v>
      </c>
      <c r="Y457" s="154">
        <f t="shared" si="33"/>
        <v>0</v>
      </c>
      <c r="Z457" s="154">
        <f t="shared" si="33"/>
        <v>0</v>
      </c>
      <c r="AA457" s="154">
        <f t="shared" si="33"/>
        <v>0</v>
      </c>
      <c r="AB457" s="154">
        <f t="shared" si="33"/>
        <v>0</v>
      </c>
      <c r="AC457" s="154">
        <f t="shared" si="33"/>
        <v>0</v>
      </c>
      <c r="AD457" s="154">
        <f t="shared" si="33"/>
        <v>0</v>
      </c>
      <c r="AE457" s="154">
        <f t="shared" si="33"/>
        <v>18817998</v>
      </c>
      <c r="AF457" s="154">
        <f t="shared" si="33"/>
        <v>0</v>
      </c>
      <c r="AG457" s="154">
        <f t="shared" si="33"/>
        <v>0</v>
      </c>
      <c r="AH457" s="154">
        <f t="shared" si="33"/>
        <v>0</v>
      </c>
      <c r="AI457" s="906">
        <f t="shared" si="33"/>
        <v>18817998</v>
      </c>
    </row>
    <row r="458" spans="1:35" ht="24.95" customHeight="1" x14ac:dyDescent="0.25">
      <c r="A458" s="907"/>
      <c r="B458" s="432"/>
      <c r="C458" s="433"/>
      <c r="D458" s="432"/>
      <c r="E458" s="434"/>
      <c r="F458" s="434"/>
      <c r="G458" s="155"/>
      <c r="H458" s="67"/>
      <c r="I458" s="155"/>
      <c r="J458" s="330"/>
      <c r="K458" s="330"/>
      <c r="L458" s="330"/>
      <c r="M458" s="330"/>
      <c r="N458" s="586"/>
      <c r="O458" s="155"/>
      <c r="P458" s="67"/>
      <c r="Q458" s="157">
        <f t="shared" ref="Q458:AI458" si="34">Q457+Q451+Q431+Q413+Q376</f>
        <v>0</v>
      </c>
      <c r="R458" s="157">
        <f t="shared" si="34"/>
        <v>0</v>
      </c>
      <c r="S458" s="157">
        <f t="shared" si="34"/>
        <v>0</v>
      </c>
      <c r="T458" s="157">
        <f t="shared" si="34"/>
        <v>0</v>
      </c>
      <c r="U458" s="157">
        <f t="shared" si="34"/>
        <v>0</v>
      </c>
      <c r="V458" s="157">
        <f t="shared" si="34"/>
        <v>0</v>
      </c>
      <c r="W458" s="157">
        <f t="shared" si="34"/>
        <v>2801812316</v>
      </c>
      <c r="X458" s="157">
        <f t="shared" si="34"/>
        <v>0</v>
      </c>
      <c r="Y458" s="157">
        <f t="shared" si="34"/>
        <v>0</v>
      </c>
      <c r="Z458" s="157">
        <f t="shared" si="34"/>
        <v>0</v>
      </c>
      <c r="AA458" s="157">
        <f t="shared" si="34"/>
        <v>127119080865.14999</v>
      </c>
      <c r="AB458" s="157">
        <f t="shared" si="34"/>
        <v>25827098635</v>
      </c>
      <c r="AC458" s="157">
        <f t="shared" si="34"/>
        <v>14436671942.01</v>
      </c>
      <c r="AD458" s="157">
        <f t="shared" si="34"/>
        <v>0</v>
      </c>
      <c r="AE458" s="157">
        <f t="shared" si="34"/>
        <v>12513128257</v>
      </c>
      <c r="AF458" s="157">
        <f t="shared" si="34"/>
        <v>0</v>
      </c>
      <c r="AG458" s="157">
        <f t="shared" si="34"/>
        <v>0</v>
      </c>
      <c r="AH458" s="157">
        <f t="shared" si="34"/>
        <v>0</v>
      </c>
      <c r="AI458" s="908">
        <f t="shared" si="34"/>
        <v>182697792015.15997</v>
      </c>
    </row>
    <row r="459" spans="1:35" ht="24.95" customHeight="1" x14ac:dyDescent="0.25">
      <c r="A459" s="909"/>
      <c r="B459" s="158"/>
      <c r="C459" s="159"/>
      <c r="D459" s="158"/>
      <c r="E459" s="159"/>
      <c r="F459" s="159"/>
      <c r="G459" s="158"/>
      <c r="H459" s="159"/>
      <c r="I459" s="158"/>
      <c r="J459" s="160"/>
      <c r="K459" s="435"/>
      <c r="L459" s="435"/>
      <c r="M459" s="160"/>
      <c r="N459" s="587"/>
      <c r="O459" s="158"/>
      <c r="P459" s="159"/>
      <c r="Q459" s="11">
        <f t="shared" ref="Q459:AI459" si="35">+Q458</f>
        <v>0</v>
      </c>
      <c r="R459" s="11">
        <f t="shared" si="35"/>
        <v>0</v>
      </c>
      <c r="S459" s="11">
        <f t="shared" si="35"/>
        <v>0</v>
      </c>
      <c r="T459" s="11">
        <f t="shared" si="35"/>
        <v>0</v>
      </c>
      <c r="U459" s="11">
        <f t="shared" si="35"/>
        <v>0</v>
      </c>
      <c r="V459" s="11">
        <f t="shared" si="35"/>
        <v>0</v>
      </c>
      <c r="W459" s="11">
        <f t="shared" si="35"/>
        <v>2801812316</v>
      </c>
      <c r="X459" s="11">
        <f t="shared" si="35"/>
        <v>0</v>
      </c>
      <c r="Y459" s="11">
        <f t="shared" si="35"/>
        <v>0</v>
      </c>
      <c r="Z459" s="11">
        <f t="shared" si="35"/>
        <v>0</v>
      </c>
      <c r="AA459" s="11">
        <f t="shared" si="35"/>
        <v>127119080865.14999</v>
      </c>
      <c r="AB459" s="11">
        <f t="shared" si="35"/>
        <v>25827098635</v>
      </c>
      <c r="AC459" s="11">
        <f t="shared" si="35"/>
        <v>14436671942.01</v>
      </c>
      <c r="AD459" s="11">
        <f t="shared" si="35"/>
        <v>0</v>
      </c>
      <c r="AE459" s="11">
        <f t="shared" si="35"/>
        <v>12513128257</v>
      </c>
      <c r="AF459" s="11">
        <f t="shared" si="35"/>
        <v>0</v>
      </c>
      <c r="AG459" s="11">
        <f t="shared" si="35"/>
        <v>0</v>
      </c>
      <c r="AH459" s="11">
        <f t="shared" si="35"/>
        <v>0</v>
      </c>
      <c r="AI459" s="910">
        <f t="shared" si="35"/>
        <v>182697792015.15997</v>
      </c>
    </row>
    <row r="460" spans="1:35" ht="32.25" customHeight="1" x14ac:dyDescent="0.25">
      <c r="A460" s="911"/>
      <c r="B460" s="161"/>
      <c r="C460" s="845"/>
      <c r="D460" s="161"/>
      <c r="E460" s="845"/>
      <c r="F460" s="845"/>
      <c r="G460" s="161"/>
      <c r="H460" s="845"/>
      <c r="I460" s="161"/>
      <c r="J460" s="162"/>
      <c r="K460" s="315"/>
      <c r="L460" s="315"/>
      <c r="M460" s="162"/>
      <c r="N460" s="21"/>
      <c r="O460" s="161"/>
      <c r="P460" s="845"/>
      <c r="Q460" s="12"/>
      <c r="R460" s="163"/>
      <c r="S460" s="12"/>
      <c r="T460" s="12"/>
      <c r="U460" s="12"/>
      <c r="V460" s="12"/>
      <c r="W460" s="12"/>
      <c r="X460" s="12"/>
      <c r="Y460" s="12"/>
      <c r="Z460" s="12"/>
      <c r="AA460" s="163"/>
      <c r="AB460" s="163"/>
      <c r="AC460" s="12"/>
      <c r="AD460" s="12"/>
      <c r="AE460" s="630"/>
      <c r="AF460" s="12"/>
      <c r="AG460" s="12"/>
      <c r="AH460" s="12"/>
      <c r="AI460" s="921"/>
    </row>
    <row r="461" spans="1:35" ht="24.95" customHeight="1" x14ac:dyDescent="0.25">
      <c r="A461" s="891" t="s">
        <v>591</v>
      </c>
      <c r="B461" s="22"/>
      <c r="C461" s="23"/>
      <c r="D461" s="22"/>
      <c r="E461" s="22"/>
      <c r="F461" s="22"/>
      <c r="G461" s="22"/>
      <c r="H461" s="23"/>
      <c r="I461" s="22"/>
      <c r="J461" s="22"/>
      <c r="K461" s="31"/>
      <c r="L461" s="31"/>
      <c r="M461" s="22"/>
      <c r="N461" s="13"/>
      <c r="O461" s="22"/>
      <c r="P461" s="23"/>
      <c r="Q461" s="164"/>
      <c r="R461" s="164"/>
      <c r="S461" s="164"/>
      <c r="T461" s="164"/>
      <c r="U461" s="164"/>
      <c r="V461" s="164"/>
      <c r="W461" s="164"/>
      <c r="X461" s="164"/>
      <c r="Y461" s="164"/>
      <c r="Z461" s="164"/>
      <c r="AA461" s="164"/>
      <c r="AB461" s="164"/>
      <c r="AC461" s="164"/>
      <c r="AD461" s="164"/>
      <c r="AE461" s="165"/>
      <c r="AF461" s="164"/>
      <c r="AG461" s="164"/>
      <c r="AH461" s="164"/>
      <c r="AI461" s="913"/>
    </row>
    <row r="462" spans="1:35" ht="24.95" customHeight="1" x14ac:dyDescent="0.25">
      <c r="A462" s="893">
        <v>3</v>
      </c>
      <c r="B462" s="77" t="s">
        <v>246</v>
      </c>
      <c r="C462" s="139"/>
      <c r="D462" s="77"/>
      <c r="E462" s="77"/>
      <c r="F462" s="77"/>
      <c r="G462" s="77"/>
      <c r="H462" s="139"/>
      <c r="I462" s="77"/>
      <c r="J462" s="77"/>
      <c r="K462" s="335"/>
      <c r="L462" s="335"/>
      <c r="M462" s="77"/>
      <c r="N462" s="14"/>
      <c r="O462" s="77"/>
      <c r="P462" s="77"/>
      <c r="Q462" s="166"/>
      <c r="R462" s="166"/>
      <c r="S462" s="166"/>
      <c r="T462" s="166"/>
      <c r="U462" s="166"/>
      <c r="V462" s="166"/>
      <c r="W462" s="166"/>
      <c r="X462" s="166"/>
      <c r="Y462" s="166"/>
      <c r="Z462" s="166"/>
      <c r="AA462" s="166"/>
      <c r="AB462" s="166"/>
      <c r="AC462" s="166"/>
      <c r="AD462" s="166"/>
      <c r="AE462" s="167"/>
      <c r="AF462" s="166"/>
      <c r="AG462" s="166"/>
      <c r="AH462" s="166"/>
      <c r="AI462" s="914"/>
    </row>
    <row r="463" spans="1:35" ht="24.95" customHeight="1" x14ac:dyDescent="0.25">
      <c r="A463" s="915"/>
      <c r="B463" s="232">
        <v>16</v>
      </c>
      <c r="C463" s="837" t="s">
        <v>582</v>
      </c>
      <c r="D463" s="87"/>
      <c r="E463" s="87"/>
      <c r="F463" s="87"/>
      <c r="G463" s="87"/>
      <c r="H463" s="838"/>
      <c r="I463" s="87"/>
      <c r="J463" s="87"/>
      <c r="K463" s="319"/>
      <c r="L463" s="319"/>
      <c r="M463" s="87"/>
      <c r="N463" s="15"/>
      <c r="O463" s="87"/>
      <c r="P463" s="87"/>
      <c r="Q463" s="169"/>
      <c r="R463" s="169"/>
      <c r="S463" s="169"/>
      <c r="T463" s="169"/>
      <c r="U463" s="169"/>
      <c r="V463" s="169"/>
      <c r="W463" s="169"/>
      <c r="X463" s="169"/>
      <c r="Y463" s="169"/>
      <c r="Z463" s="169"/>
      <c r="AA463" s="169"/>
      <c r="AB463" s="169"/>
      <c r="AC463" s="169"/>
      <c r="AD463" s="169"/>
      <c r="AE463" s="170"/>
      <c r="AF463" s="169"/>
      <c r="AG463" s="169"/>
      <c r="AH463" s="169"/>
      <c r="AI463" s="916"/>
    </row>
    <row r="464" spans="1:35" ht="24.95" customHeight="1" x14ac:dyDescent="0.25">
      <c r="A464" s="917"/>
      <c r="B464" s="436"/>
      <c r="C464" s="845"/>
      <c r="D464" s="161"/>
      <c r="E464" s="845"/>
      <c r="F464" s="846"/>
      <c r="G464" s="336">
        <v>56</v>
      </c>
      <c r="H464" s="81" t="s">
        <v>592</v>
      </c>
      <c r="I464" s="81"/>
      <c r="J464" s="81"/>
      <c r="K464" s="312"/>
      <c r="L464" s="312"/>
      <c r="M464" s="81"/>
      <c r="N464" s="88"/>
      <c r="O464" s="81"/>
      <c r="P464" s="81"/>
      <c r="Q464" s="176"/>
      <c r="R464" s="176"/>
      <c r="S464" s="176"/>
      <c r="T464" s="176"/>
      <c r="U464" s="176"/>
      <c r="V464" s="176"/>
      <c r="W464" s="176"/>
      <c r="X464" s="176"/>
      <c r="Y464" s="176"/>
      <c r="Z464" s="176"/>
      <c r="AA464" s="176"/>
      <c r="AB464" s="176"/>
      <c r="AC464" s="176"/>
      <c r="AD464" s="176"/>
      <c r="AE464" s="177"/>
      <c r="AF464" s="176"/>
      <c r="AG464" s="176"/>
      <c r="AH464" s="176"/>
      <c r="AI464" s="918"/>
    </row>
    <row r="465" spans="1:35" ht="94.5" customHeight="1" x14ac:dyDescent="0.25">
      <c r="A465" s="917"/>
      <c r="B465" s="172"/>
      <c r="C465" s="1142" t="s">
        <v>584</v>
      </c>
      <c r="D465" s="1144" t="s">
        <v>585</v>
      </c>
      <c r="E465" s="1146" t="s">
        <v>586</v>
      </c>
      <c r="F465" s="1146" t="s">
        <v>587</v>
      </c>
      <c r="G465" s="145"/>
      <c r="H465" s="865">
        <v>180</v>
      </c>
      <c r="I465" s="565" t="s">
        <v>593</v>
      </c>
      <c r="J465" s="865">
        <v>0</v>
      </c>
      <c r="K465" s="266">
        <v>1</v>
      </c>
      <c r="L465" s="778">
        <v>0.8</v>
      </c>
      <c r="M465" s="1099" t="s">
        <v>594</v>
      </c>
      <c r="N465" s="1101" t="s">
        <v>595</v>
      </c>
      <c r="O465" s="1099" t="s">
        <v>596</v>
      </c>
      <c r="P465" s="865" t="s">
        <v>46</v>
      </c>
      <c r="Q465" s="9"/>
      <c r="R465" s="9"/>
      <c r="S465" s="9"/>
      <c r="T465" s="9"/>
      <c r="U465" s="9"/>
      <c r="V465" s="9"/>
      <c r="W465" s="9"/>
      <c r="X465" s="9"/>
      <c r="Y465" s="9"/>
      <c r="Z465" s="9"/>
      <c r="AA465" s="9"/>
      <c r="AB465" s="9"/>
      <c r="AC465" s="9"/>
      <c r="AD465" s="61"/>
      <c r="AE465" s="60">
        <f>44700000-2740933</f>
        <v>41959067</v>
      </c>
      <c r="AF465" s="61"/>
      <c r="AG465" s="61"/>
      <c r="AH465" s="61"/>
      <c r="AI465" s="901">
        <f>+Q465+R465+S465+T465+U465+V465+W465+X465+Y465+Z465+AA465+AB465+AC465+AD465+AE465+AF465+AG465+AH465</f>
        <v>41959067</v>
      </c>
    </row>
    <row r="466" spans="1:35" ht="94.5" customHeight="1" x14ac:dyDescent="0.25">
      <c r="A466" s="917"/>
      <c r="B466" s="146"/>
      <c r="C466" s="1143"/>
      <c r="D466" s="1145"/>
      <c r="E466" s="1147"/>
      <c r="F466" s="1147"/>
      <c r="G466" s="72"/>
      <c r="H466" s="865">
        <v>181</v>
      </c>
      <c r="I466" s="565" t="s">
        <v>597</v>
      </c>
      <c r="J466" s="865">
        <v>6</v>
      </c>
      <c r="K466" s="266">
        <v>6</v>
      </c>
      <c r="L466" s="266">
        <v>6</v>
      </c>
      <c r="M466" s="1148"/>
      <c r="N466" s="1149"/>
      <c r="O466" s="1148"/>
      <c r="P466" s="865" t="s">
        <v>46</v>
      </c>
      <c r="Q466" s="9"/>
      <c r="R466" s="9"/>
      <c r="S466" s="9"/>
      <c r="T466" s="9"/>
      <c r="U466" s="9"/>
      <c r="V466" s="9"/>
      <c r="W466" s="9"/>
      <c r="X466" s="9"/>
      <c r="Y466" s="9"/>
      <c r="Z466" s="9"/>
      <c r="AA466" s="9"/>
      <c r="AB466" s="9"/>
      <c r="AC466" s="9"/>
      <c r="AD466" s="61"/>
      <c r="AE466" s="60">
        <f>14900000+4450000+2740933</f>
        <v>22090933</v>
      </c>
      <c r="AF466" s="61"/>
      <c r="AG466" s="61"/>
      <c r="AH466" s="61"/>
      <c r="AI466" s="901">
        <f>+Q466+R466+S466+T466+U466+V466+W466+X466+Y466+Z466+AA466+AB466+AC466+AD466+AE466+AF466+AG466+AH466</f>
        <v>22090933</v>
      </c>
    </row>
    <row r="467" spans="1:35" ht="15" customHeight="1" x14ac:dyDescent="0.25">
      <c r="A467" s="917"/>
      <c r="B467" s="436"/>
      <c r="C467" s="428"/>
      <c r="D467" s="565"/>
      <c r="E467" s="865"/>
      <c r="F467" s="865"/>
      <c r="G467" s="147"/>
      <c r="H467" s="148"/>
      <c r="I467" s="147"/>
      <c r="J467" s="148"/>
      <c r="K467" s="307"/>
      <c r="L467" s="307"/>
      <c r="M467" s="148"/>
      <c r="N467" s="584"/>
      <c r="O467" s="147"/>
      <c r="P467" s="148"/>
      <c r="Q467" s="150"/>
      <c r="R467" s="150"/>
      <c r="S467" s="150"/>
      <c r="T467" s="150"/>
      <c r="U467" s="150"/>
      <c r="V467" s="150"/>
      <c r="W467" s="150"/>
      <c r="X467" s="150"/>
      <c r="Y467" s="150"/>
      <c r="Z467" s="150"/>
      <c r="AA467" s="150"/>
      <c r="AB467" s="150"/>
      <c r="AC467" s="150"/>
      <c r="AD467" s="150"/>
      <c r="AE467" s="54">
        <f>SUM(AE465:AE466)</f>
        <v>64050000</v>
      </c>
      <c r="AF467" s="150"/>
      <c r="AG467" s="150"/>
      <c r="AH467" s="150"/>
      <c r="AI467" s="904">
        <f>SUM(AI465:AI466)</f>
        <v>64050000</v>
      </c>
    </row>
    <row r="468" spans="1:35" ht="15" customHeight="1" x14ac:dyDescent="0.25">
      <c r="A468" s="917"/>
      <c r="B468" s="429"/>
      <c r="C468" s="430"/>
      <c r="D468" s="151"/>
      <c r="E468" s="152"/>
      <c r="F468" s="152"/>
      <c r="G468" s="151"/>
      <c r="H468" s="152"/>
      <c r="I468" s="151"/>
      <c r="J468" s="152"/>
      <c r="K468" s="327"/>
      <c r="L468" s="327"/>
      <c r="M468" s="152"/>
      <c r="N468" s="585"/>
      <c r="O468" s="151"/>
      <c r="P468" s="152"/>
      <c r="Q468" s="154"/>
      <c r="R468" s="154"/>
      <c r="S468" s="154"/>
      <c r="T468" s="154"/>
      <c r="U468" s="154"/>
      <c r="V468" s="154"/>
      <c r="W468" s="154"/>
      <c r="X468" s="154"/>
      <c r="Y468" s="154"/>
      <c r="Z468" s="154"/>
      <c r="AA468" s="154"/>
      <c r="AB468" s="154"/>
      <c r="AC468" s="154"/>
      <c r="AD468" s="154"/>
      <c r="AE468" s="238">
        <f>AE467</f>
        <v>64050000</v>
      </c>
      <c r="AF468" s="154"/>
      <c r="AG468" s="154"/>
      <c r="AH468" s="154"/>
      <c r="AI468" s="906">
        <f>AI467</f>
        <v>64050000</v>
      </c>
    </row>
    <row r="469" spans="1:35" ht="15" customHeight="1" x14ac:dyDescent="0.25">
      <c r="A469" s="917"/>
      <c r="B469" s="437"/>
      <c r="C469" s="438"/>
      <c r="D469" s="161"/>
      <c r="E469" s="845"/>
      <c r="F469" s="845"/>
      <c r="G469" s="161"/>
      <c r="H469" s="845"/>
      <c r="I469" s="161"/>
      <c r="J469" s="845"/>
      <c r="K469" s="309"/>
      <c r="L469" s="309"/>
      <c r="M469" s="845"/>
      <c r="N469" s="21"/>
      <c r="O469" s="161"/>
      <c r="P469" s="845"/>
      <c r="Q469" s="12"/>
      <c r="R469" s="12"/>
      <c r="S469" s="12"/>
      <c r="T469" s="12"/>
      <c r="U469" s="12"/>
      <c r="V469" s="12"/>
      <c r="W469" s="12"/>
      <c r="X469" s="12"/>
      <c r="Y469" s="12"/>
      <c r="Z469" s="12"/>
      <c r="AA469" s="163"/>
      <c r="AB469" s="163"/>
      <c r="AC469" s="12"/>
      <c r="AD469" s="12"/>
      <c r="AE469" s="189"/>
      <c r="AF469" s="12"/>
      <c r="AG469" s="12"/>
      <c r="AH469" s="12"/>
      <c r="AI469" s="921"/>
    </row>
    <row r="470" spans="1:35" ht="15.75" customHeight="1" x14ac:dyDescent="0.25">
      <c r="A470" s="917"/>
      <c r="B470" s="232">
        <v>17</v>
      </c>
      <c r="C470" s="837" t="s">
        <v>598</v>
      </c>
      <c r="D470" s="87"/>
      <c r="E470" s="87"/>
      <c r="F470" s="87"/>
      <c r="G470" s="87"/>
      <c r="H470" s="838"/>
      <c r="I470" s="87"/>
      <c r="J470" s="87"/>
      <c r="K470" s="319"/>
      <c r="L470" s="319"/>
      <c r="M470" s="87"/>
      <c r="N470" s="15"/>
      <c r="O470" s="87"/>
      <c r="P470" s="87"/>
      <c r="Q470" s="169"/>
      <c r="R470" s="169"/>
      <c r="S470" s="169"/>
      <c r="T470" s="169"/>
      <c r="U470" s="169"/>
      <c r="V470" s="169"/>
      <c r="W470" s="169"/>
      <c r="X470" s="169"/>
      <c r="Y470" s="169"/>
      <c r="Z470" s="169"/>
      <c r="AA470" s="169"/>
      <c r="AB470" s="169"/>
      <c r="AC470" s="169"/>
      <c r="AD470" s="169"/>
      <c r="AE470" s="170"/>
      <c r="AF470" s="169"/>
      <c r="AG470" s="169"/>
      <c r="AH470" s="169"/>
      <c r="AI470" s="916"/>
    </row>
    <row r="471" spans="1:35" ht="15" customHeight="1" x14ac:dyDescent="0.25">
      <c r="A471" s="917"/>
      <c r="B471" s="439"/>
      <c r="C471" s="428"/>
      <c r="D471" s="565"/>
      <c r="E471" s="865"/>
      <c r="F471" s="865"/>
      <c r="G471" s="336">
        <v>58</v>
      </c>
      <c r="H471" s="81" t="s">
        <v>599</v>
      </c>
      <c r="I471" s="81"/>
      <c r="J471" s="81"/>
      <c r="K471" s="312"/>
      <c r="L471" s="312"/>
      <c r="M471" s="81"/>
      <c r="N471" s="88"/>
      <c r="O471" s="81"/>
      <c r="P471" s="81"/>
      <c r="Q471" s="176"/>
      <c r="R471" s="176"/>
      <c r="S471" s="176"/>
      <c r="T471" s="176"/>
      <c r="U471" s="176"/>
      <c r="V471" s="176"/>
      <c r="W471" s="176"/>
      <c r="X471" s="176"/>
      <c r="Y471" s="176"/>
      <c r="Z471" s="176"/>
      <c r="AA471" s="176"/>
      <c r="AB471" s="176"/>
      <c r="AC471" s="176"/>
      <c r="AD471" s="176"/>
      <c r="AE471" s="177"/>
      <c r="AF471" s="176"/>
      <c r="AG471" s="176"/>
      <c r="AH471" s="176"/>
      <c r="AI471" s="918"/>
    </row>
    <row r="472" spans="1:35" ht="71.25" x14ac:dyDescent="0.25">
      <c r="A472" s="917"/>
      <c r="B472" s="440"/>
      <c r="C472" s="846">
        <v>22</v>
      </c>
      <c r="D472" s="565" t="s">
        <v>600</v>
      </c>
      <c r="E472" s="865" t="s">
        <v>601</v>
      </c>
      <c r="F472" s="865" t="s">
        <v>602</v>
      </c>
      <c r="G472" s="145"/>
      <c r="H472" s="865">
        <v>183</v>
      </c>
      <c r="I472" s="565" t="s">
        <v>603</v>
      </c>
      <c r="J472" s="1">
        <v>0</v>
      </c>
      <c r="K472" s="313">
        <v>1</v>
      </c>
      <c r="L472" s="786">
        <v>0.75</v>
      </c>
      <c r="M472" s="73" t="s">
        <v>594</v>
      </c>
      <c r="N472" s="568" t="s">
        <v>604</v>
      </c>
      <c r="O472" s="565" t="s">
        <v>605</v>
      </c>
      <c r="P472" s="865" t="s">
        <v>46</v>
      </c>
      <c r="Q472" s="9"/>
      <c r="R472" s="9"/>
      <c r="S472" s="9"/>
      <c r="T472" s="9"/>
      <c r="U472" s="9"/>
      <c r="V472" s="9"/>
      <c r="W472" s="9"/>
      <c r="X472" s="9"/>
      <c r="Y472" s="9"/>
      <c r="Z472" s="9"/>
      <c r="AA472" s="9"/>
      <c r="AB472" s="9"/>
      <c r="AC472" s="9"/>
      <c r="AD472" s="9"/>
      <c r="AE472" s="60">
        <v>178850000</v>
      </c>
      <c r="AF472" s="61"/>
      <c r="AG472" s="61"/>
      <c r="AH472" s="61"/>
      <c r="AI472" s="901">
        <f>+Q472+R472+S472+T472+U472+V472+W472+X472+Y472+Z472+AA472+AB472+AC472+AD472+AE472+AF472+AG472+AH472</f>
        <v>178850000</v>
      </c>
    </row>
    <row r="473" spans="1:35" ht="15" customHeight="1" x14ac:dyDescent="0.25">
      <c r="A473" s="917"/>
      <c r="B473" s="441"/>
      <c r="C473" s="442"/>
      <c r="D473" s="565"/>
      <c r="E473" s="865"/>
      <c r="F473" s="865"/>
      <c r="G473" s="147"/>
      <c r="H473" s="148"/>
      <c r="I473" s="147"/>
      <c r="J473" s="149"/>
      <c r="K473" s="314"/>
      <c r="L473" s="314"/>
      <c r="M473" s="149"/>
      <c r="N473" s="584"/>
      <c r="O473" s="147"/>
      <c r="P473" s="148"/>
      <c r="Q473" s="150"/>
      <c r="R473" s="150"/>
      <c r="S473" s="150"/>
      <c r="T473" s="150"/>
      <c r="U473" s="150"/>
      <c r="V473" s="150"/>
      <c r="W473" s="150"/>
      <c r="X473" s="150"/>
      <c r="Y473" s="150"/>
      <c r="Z473" s="150"/>
      <c r="AA473" s="150"/>
      <c r="AB473" s="150"/>
      <c r="AC473" s="150"/>
      <c r="AD473" s="150"/>
      <c r="AE473" s="54">
        <f>SUM(AE472:AE472)</f>
        <v>178850000</v>
      </c>
      <c r="AF473" s="150"/>
      <c r="AG473" s="150"/>
      <c r="AH473" s="150"/>
      <c r="AI473" s="904">
        <f>SUM(AI472:AI472)</f>
        <v>178850000</v>
      </c>
    </row>
    <row r="474" spans="1:35" ht="15" customHeight="1" x14ac:dyDescent="0.25">
      <c r="A474" s="917"/>
      <c r="B474" s="441"/>
      <c r="C474" s="928"/>
      <c r="D474" s="927"/>
      <c r="E474" s="928"/>
      <c r="F474" s="928"/>
      <c r="G474" s="927"/>
      <c r="H474" s="928"/>
      <c r="I474" s="927"/>
      <c r="J474" s="929"/>
      <c r="K474" s="988"/>
      <c r="L474" s="988"/>
      <c r="M474" s="929"/>
      <c r="N474" s="931"/>
      <c r="O474" s="927"/>
      <c r="P474" s="928"/>
      <c r="Q474" s="932"/>
      <c r="R474" s="932"/>
      <c r="S474" s="932"/>
      <c r="T474" s="932"/>
      <c r="U474" s="932"/>
      <c r="V474" s="932"/>
      <c r="W474" s="932"/>
      <c r="X474" s="932"/>
      <c r="Y474" s="932"/>
      <c r="Z474" s="932"/>
      <c r="AA474" s="932"/>
      <c r="AB474" s="932"/>
      <c r="AC474" s="932"/>
      <c r="AD474" s="932"/>
      <c r="AE474" s="946"/>
      <c r="AF474" s="932"/>
      <c r="AG474" s="932"/>
      <c r="AH474" s="932"/>
      <c r="AI474" s="957"/>
    </row>
    <row r="475" spans="1:35" ht="15" customHeight="1" x14ac:dyDescent="0.25">
      <c r="A475" s="917"/>
      <c r="B475" s="441"/>
      <c r="C475" s="443"/>
      <c r="D475" s="832"/>
      <c r="E475" s="851"/>
      <c r="F475" s="566"/>
      <c r="G475" s="175">
        <v>59</v>
      </c>
      <c r="H475" s="78" t="s">
        <v>606</v>
      </c>
      <c r="I475" s="78"/>
      <c r="J475" s="78"/>
      <c r="K475" s="444"/>
      <c r="L475" s="444"/>
      <c r="M475" s="78"/>
      <c r="N475" s="88"/>
      <c r="O475" s="78"/>
      <c r="P475" s="78"/>
      <c r="Q475" s="445"/>
      <c r="R475" s="445"/>
      <c r="S475" s="176"/>
      <c r="T475" s="176"/>
      <c r="U475" s="176"/>
      <c r="V475" s="176"/>
      <c r="W475" s="176"/>
      <c r="X475" s="176"/>
      <c r="Y475" s="176"/>
      <c r="Z475" s="176"/>
      <c r="AA475" s="176"/>
      <c r="AB475" s="176"/>
      <c r="AC475" s="176"/>
      <c r="AD475" s="176"/>
      <c r="AE475" s="177"/>
      <c r="AF475" s="176"/>
      <c r="AG475" s="176"/>
      <c r="AH475" s="176"/>
      <c r="AI475" s="918"/>
    </row>
    <row r="476" spans="1:35" ht="74.25" customHeight="1" x14ac:dyDescent="0.25">
      <c r="A476" s="917"/>
      <c r="B476" s="440"/>
      <c r="C476" s="1163" t="s">
        <v>607</v>
      </c>
      <c r="D476" s="1099" t="s">
        <v>608</v>
      </c>
      <c r="E476" s="1160" t="s">
        <v>609</v>
      </c>
      <c r="F476" s="1160" t="s">
        <v>610</v>
      </c>
      <c r="G476" s="3"/>
      <c r="H476" s="865">
        <v>184</v>
      </c>
      <c r="I476" s="565" t="s">
        <v>611</v>
      </c>
      <c r="J476" s="1">
        <v>1</v>
      </c>
      <c r="K476" s="313">
        <v>1</v>
      </c>
      <c r="L476" s="778">
        <v>0.8</v>
      </c>
      <c r="M476" s="1154" t="s">
        <v>594</v>
      </c>
      <c r="N476" s="1101" t="s">
        <v>612</v>
      </c>
      <c r="O476" s="1099" t="s">
        <v>613</v>
      </c>
      <c r="P476" s="266" t="s">
        <v>46</v>
      </c>
      <c r="Q476" s="9"/>
      <c r="R476" s="9"/>
      <c r="S476" s="9"/>
      <c r="T476" s="9"/>
      <c r="U476" s="9"/>
      <c r="V476" s="9"/>
      <c r="W476" s="9"/>
      <c r="X476" s="9"/>
      <c r="Y476" s="9"/>
      <c r="Z476" s="9"/>
      <c r="AA476" s="9"/>
      <c r="AB476" s="9"/>
      <c r="AC476" s="9"/>
      <c r="AD476" s="61"/>
      <c r="AE476" s="550">
        <f>89400000+350000000+1460600</f>
        <v>440860600</v>
      </c>
      <c r="AF476" s="61"/>
      <c r="AG476" s="61"/>
      <c r="AH476" s="61"/>
      <c r="AI476" s="901">
        <f>+Q476+R476+S476+T476+U476+V476+W476+X476+Y476+Z476+AA476+AB476+AC476+AD476+AE476+AF476+AG476+AH476</f>
        <v>440860600</v>
      </c>
    </row>
    <row r="477" spans="1:35" ht="56.25" customHeight="1" x14ac:dyDescent="0.25">
      <c r="A477" s="917"/>
      <c r="B477" s="440"/>
      <c r="C477" s="1164"/>
      <c r="D477" s="1100"/>
      <c r="E477" s="1161"/>
      <c r="F477" s="1161"/>
      <c r="G477" s="3"/>
      <c r="H477" s="865">
        <v>185</v>
      </c>
      <c r="I477" s="565" t="s">
        <v>614</v>
      </c>
      <c r="J477" s="1" t="s">
        <v>36</v>
      </c>
      <c r="K477" s="313">
        <v>1</v>
      </c>
      <c r="L477" s="778">
        <v>0.8</v>
      </c>
      <c r="M477" s="1155"/>
      <c r="N477" s="1102"/>
      <c r="O477" s="1100"/>
      <c r="P477" s="865" t="s">
        <v>46</v>
      </c>
      <c r="Q477" s="9"/>
      <c r="R477" s="9"/>
      <c r="S477" s="9"/>
      <c r="T477" s="9"/>
      <c r="U477" s="9"/>
      <c r="V477" s="9"/>
      <c r="W477" s="9"/>
      <c r="X477" s="9"/>
      <c r="Y477" s="9"/>
      <c r="Z477" s="9"/>
      <c r="AA477" s="9"/>
      <c r="AB477" s="9"/>
      <c r="AC477" s="9"/>
      <c r="AD477" s="61"/>
      <c r="AE477" s="60">
        <f>39750000+250000-1460600</f>
        <v>38539400</v>
      </c>
      <c r="AF477" s="61"/>
      <c r="AG477" s="61"/>
      <c r="AH477" s="61"/>
      <c r="AI477" s="901">
        <f>+Q477+R477+S477+T477+U477+V477+W477+X477+Y477+Z477+AA477+AB477+AC477+AD477+AE477+AF477+AG477+AH477</f>
        <v>38539400</v>
      </c>
    </row>
    <row r="478" spans="1:35" ht="42.75" x14ac:dyDescent="0.25">
      <c r="A478" s="917"/>
      <c r="B478" s="440"/>
      <c r="C478" s="1165"/>
      <c r="D478" s="1148"/>
      <c r="E478" s="1162"/>
      <c r="F478" s="1162"/>
      <c r="G478" s="72"/>
      <c r="H478" s="865">
        <v>186</v>
      </c>
      <c r="I478" s="565" t="s">
        <v>615</v>
      </c>
      <c r="J478" s="1" t="s">
        <v>36</v>
      </c>
      <c r="K478" s="313">
        <v>1</v>
      </c>
      <c r="L478" s="778">
        <v>0.8</v>
      </c>
      <c r="M478" s="1156"/>
      <c r="N478" s="1149"/>
      <c r="O478" s="1148"/>
      <c r="P478" s="865" t="s">
        <v>46</v>
      </c>
      <c r="Q478" s="9"/>
      <c r="R478" s="9"/>
      <c r="S478" s="9"/>
      <c r="T478" s="9"/>
      <c r="U478" s="9"/>
      <c r="V478" s="9"/>
      <c r="W478" s="9"/>
      <c r="X478" s="9"/>
      <c r="Y478" s="9"/>
      <c r="Z478" s="9"/>
      <c r="AA478" s="9"/>
      <c r="AB478" s="9"/>
      <c r="AC478" s="9"/>
      <c r="AD478" s="61"/>
      <c r="AE478" s="60">
        <f>39750000+250000</f>
        <v>40000000</v>
      </c>
      <c r="AF478" s="61"/>
      <c r="AG478" s="61"/>
      <c r="AH478" s="61"/>
      <c r="AI478" s="901">
        <f>+Q478+R478+S478+T478+U478+V478+W478+X478+Y478+Z478+AA478+AB478+AC478+AD478+AE478+AF478+AG478+AH478</f>
        <v>40000000</v>
      </c>
    </row>
    <row r="479" spans="1:35" ht="15" customHeight="1" x14ac:dyDescent="0.25">
      <c r="A479" s="917"/>
      <c r="B479" s="441"/>
      <c r="C479" s="442"/>
      <c r="D479" s="565"/>
      <c r="E479" s="865"/>
      <c r="F479" s="865"/>
      <c r="G479" s="147"/>
      <c r="H479" s="148"/>
      <c r="I479" s="147"/>
      <c r="J479" s="149"/>
      <c r="K479" s="314"/>
      <c r="L479" s="314"/>
      <c r="M479" s="149"/>
      <c r="N479" s="584"/>
      <c r="O479" s="147"/>
      <c r="P479" s="148"/>
      <c r="Q479" s="150"/>
      <c r="R479" s="150"/>
      <c r="S479" s="150"/>
      <c r="T479" s="150"/>
      <c r="U479" s="150"/>
      <c r="V479" s="150"/>
      <c r="W479" s="150"/>
      <c r="X479" s="150"/>
      <c r="Y479" s="150"/>
      <c r="Z479" s="150"/>
      <c r="AA479" s="150"/>
      <c r="AB479" s="150"/>
      <c r="AC479" s="150"/>
      <c r="AD479" s="150"/>
      <c r="AE479" s="54">
        <f>SUM(AE476:AE478)</f>
        <v>519400000</v>
      </c>
      <c r="AF479" s="150"/>
      <c r="AG479" s="150"/>
      <c r="AH479" s="150"/>
      <c r="AI479" s="904">
        <f>SUM(AI476:AI478)</f>
        <v>519400000</v>
      </c>
    </row>
    <row r="480" spans="1:35" ht="15" customHeight="1" x14ac:dyDescent="0.25">
      <c r="A480" s="917"/>
      <c r="B480" s="441"/>
      <c r="C480" s="928"/>
      <c r="D480" s="927"/>
      <c r="E480" s="928"/>
      <c r="F480" s="928"/>
      <c r="G480" s="927"/>
      <c r="H480" s="928"/>
      <c r="I480" s="927"/>
      <c r="J480" s="929"/>
      <c r="K480" s="988"/>
      <c r="L480" s="988"/>
      <c r="M480" s="929"/>
      <c r="N480" s="931"/>
      <c r="O480" s="927"/>
      <c r="P480" s="928"/>
      <c r="Q480" s="932"/>
      <c r="R480" s="933"/>
      <c r="S480" s="932"/>
      <c r="T480" s="932"/>
      <c r="U480" s="932"/>
      <c r="V480" s="932"/>
      <c r="W480" s="932"/>
      <c r="X480" s="932"/>
      <c r="Y480" s="932"/>
      <c r="Z480" s="932"/>
      <c r="AA480" s="932"/>
      <c r="AB480" s="932"/>
      <c r="AC480" s="932"/>
      <c r="AD480" s="932"/>
      <c r="AE480" s="946"/>
      <c r="AF480" s="932"/>
      <c r="AG480" s="932"/>
      <c r="AH480" s="932"/>
      <c r="AI480" s="957"/>
    </row>
    <row r="481" spans="1:35" ht="15" customHeight="1" x14ac:dyDescent="0.25">
      <c r="A481" s="917"/>
      <c r="B481" s="441"/>
      <c r="C481" s="443"/>
      <c r="D481" s="832"/>
      <c r="E481" s="851"/>
      <c r="F481" s="566"/>
      <c r="G481" s="175">
        <v>60</v>
      </c>
      <c r="H481" s="78" t="s">
        <v>616</v>
      </c>
      <c r="I481" s="81"/>
      <c r="J481" s="81"/>
      <c r="K481" s="312"/>
      <c r="L481" s="312"/>
      <c r="M481" s="81"/>
      <c r="N481" s="88"/>
      <c r="O481" s="81"/>
      <c r="P481" s="81"/>
      <c r="Q481" s="176"/>
      <c r="R481" s="176"/>
      <c r="S481" s="176"/>
      <c r="T481" s="176"/>
      <c r="U481" s="176"/>
      <c r="V481" s="176"/>
      <c r="W481" s="176"/>
      <c r="X481" s="176"/>
      <c r="Y481" s="176"/>
      <c r="Z481" s="176"/>
      <c r="AA481" s="176"/>
      <c r="AB481" s="176"/>
      <c r="AC481" s="176"/>
      <c r="AD481" s="176"/>
      <c r="AE481" s="177"/>
      <c r="AF481" s="176"/>
      <c r="AG481" s="176"/>
      <c r="AH481" s="176"/>
      <c r="AI481" s="918"/>
    </row>
    <row r="482" spans="1:35" ht="56.25" customHeight="1" x14ac:dyDescent="0.25">
      <c r="A482" s="917"/>
      <c r="B482" s="440"/>
      <c r="C482" s="846">
        <v>22</v>
      </c>
      <c r="D482" s="565" t="s">
        <v>617</v>
      </c>
      <c r="E482" s="866" t="s">
        <v>618</v>
      </c>
      <c r="F482" s="866" t="s">
        <v>619</v>
      </c>
      <c r="G482" s="145"/>
      <c r="H482" s="865">
        <v>187</v>
      </c>
      <c r="I482" s="565" t="s">
        <v>620</v>
      </c>
      <c r="J482" s="1">
        <v>1</v>
      </c>
      <c r="K482" s="313">
        <v>1</v>
      </c>
      <c r="L482" s="785">
        <v>0.9</v>
      </c>
      <c r="M482" s="1154" t="s">
        <v>594</v>
      </c>
      <c r="N482" s="1101" t="s">
        <v>621</v>
      </c>
      <c r="O482" s="1099" t="s">
        <v>622</v>
      </c>
      <c r="P482" s="865" t="s">
        <v>46</v>
      </c>
      <c r="Q482" s="9"/>
      <c r="R482" s="9"/>
      <c r="S482" s="9"/>
      <c r="T482" s="9"/>
      <c r="U482" s="9"/>
      <c r="V482" s="9"/>
      <c r="W482" s="9"/>
      <c r="X482" s="9"/>
      <c r="Y482" s="9"/>
      <c r="Z482" s="9"/>
      <c r="AA482" s="9"/>
      <c r="AB482" s="9"/>
      <c r="AC482" s="9"/>
      <c r="AD482" s="61"/>
      <c r="AE482" s="60">
        <f>24850000+15150000-8000000</f>
        <v>32000000</v>
      </c>
      <c r="AF482" s="61"/>
      <c r="AG482" s="61"/>
      <c r="AH482" s="61"/>
      <c r="AI482" s="901">
        <f>+Q482+R482+S482+T482+U482+V482+W482+X482+Y482+Z482+AA482+AB482+AC482+AD482+AE482+AF482+AG482+AH482</f>
        <v>32000000</v>
      </c>
    </row>
    <row r="483" spans="1:35" ht="78" customHeight="1" x14ac:dyDescent="0.25">
      <c r="A483" s="917"/>
      <c r="B483" s="440"/>
      <c r="C483" s="846">
        <v>31</v>
      </c>
      <c r="D483" s="265" t="s">
        <v>623</v>
      </c>
      <c r="E483" s="446">
        <v>0.249</v>
      </c>
      <c r="F483" s="447">
        <v>0.2</v>
      </c>
      <c r="G483" s="3"/>
      <c r="H483" s="865">
        <v>188</v>
      </c>
      <c r="I483" s="565" t="s">
        <v>624</v>
      </c>
      <c r="J483" s="1" t="s">
        <v>36</v>
      </c>
      <c r="K483" s="313">
        <v>2</v>
      </c>
      <c r="L483" s="785">
        <v>1.9</v>
      </c>
      <c r="M483" s="1155"/>
      <c r="N483" s="1102"/>
      <c r="O483" s="1100"/>
      <c r="P483" s="865" t="s">
        <v>46</v>
      </c>
      <c r="Q483" s="9"/>
      <c r="R483" s="9"/>
      <c r="S483" s="9"/>
      <c r="T483" s="9"/>
      <c r="U483" s="9"/>
      <c r="V483" s="9"/>
      <c r="W483" s="9"/>
      <c r="X483" s="9"/>
      <c r="Y483" s="9"/>
      <c r="Z483" s="9"/>
      <c r="AA483" s="9"/>
      <c r="AB483" s="9"/>
      <c r="AC483" s="9"/>
      <c r="AD483" s="61"/>
      <c r="AE483" s="60">
        <f>37750000+2250000+8000000</f>
        <v>48000000</v>
      </c>
      <c r="AF483" s="61"/>
      <c r="AG483" s="61"/>
      <c r="AH483" s="61"/>
      <c r="AI483" s="901">
        <f>+Q483+R483+S483+T483+U483+V483+W483+X483+Y483+Z483+AA483+AB483+AC483+AD483+AE483+AF483+AG483+AH483</f>
        <v>48000000</v>
      </c>
    </row>
    <row r="484" spans="1:35" ht="81" customHeight="1" x14ac:dyDescent="0.25">
      <c r="A484" s="917"/>
      <c r="B484" s="440"/>
      <c r="C484" s="846">
        <v>32</v>
      </c>
      <c r="D484" s="265" t="s">
        <v>1065</v>
      </c>
      <c r="E484" s="866" t="s">
        <v>625</v>
      </c>
      <c r="F484" s="865" t="s">
        <v>626</v>
      </c>
      <c r="G484" s="3"/>
      <c r="H484" s="865">
        <v>189</v>
      </c>
      <c r="I484" s="565" t="s">
        <v>627</v>
      </c>
      <c r="J484" s="1" t="s">
        <v>36</v>
      </c>
      <c r="K484" s="313">
        <v>1</v>
      </c>
      <c r="L484" s="785">
        <v>0.9</v>
      </c>
      <c r="M484" s="1156"/>
      <c r="N484" s="1149"/>
      <c r="O484" s="1148"/>
      <c r="P484" s="865" t="s">
        <v>46</v>
      </c>
      <c r="Q484" s="9"/>
      <c r="R484" s="9"/>
      <c r="S484" s="9"/>
      <c r="T484" s="9"/>
      <c r="U484" s="9"/>
      <c r="V484" s="9"/>
      <c r="W484" s="9"/>
      <c r="X484" s="9"/>
      <c r="Y484" s="9"/>
      <c r="Z484" s="9"/>
      <c r="AA484" s="9"/>
      <c r="AB484" s="9"/>
      <c r="AC484" s="9"/>
      <c r="AD484" s="61"/>
      <c r="AE484" s="60">
        <f>37750000+2250000</f>
        <v>40000000</v>
      </c>
      <c r="AF484" s="61"/>
      <c r="AG484" s="61"/>
      <c r="AH484" s="61"/>
      <c r="AI484" s="901">
        <f>+Q484+R484+S484+T484+U484+V484+W484+X484+Y484+Z484+AA484+AB484+AC484+AD484+AE484+AF484+AG484+AH484</f>
        <v>40000000</v>
      </c>
    </row>
    <row r="485" spans="1:35" ht="15" customHeight="1" x14ac:dyDescent="0.25">
      <c r="A485" s="917"/>
      <c r="B485" s="441"/>
      <c r="C485" s="442"/>
      <c r="D485" s="565"/>
      <c r="E485" s="865"/>
      <c r="F485" s="865"/>
      <c r="G485" s="147"/>
      <c r="H485" s="148"/>
      <c r="I485" s="147"/>
      <c r="J485" s="149"/>
      <c r="K485" s="314"/>
      <c r="L485" s="314"/>
      <c r="M485" s="149"/>
      <c r="N485" s="584"/>
      <c r="O485" s="147"/>
      <c r="P485" s="148"/>
      <c r="Q485" s="150"/>
      <c r="R485" s="150"/>
      <c r="S485" s="150"/>
      <c r="T485" s="150"/>
      <c r="U485" s="150"/>
      <c r="V485" s="150"/>
      <c r="W485" s="150"/>
      <c r="X485" s="150"/>
      <c r="Y485" s="150"/>
      <c r="Z485" s="150"/>
      <c r="AA485" s="150"/>
      <c r="AB485" s="150"/>
      <c r="AC485" s="150"/>
      <c r="AD485" s="150"/>
      <c r="AE485" s="54">
        <f>SUM(AE482:AE484)</f>
        <v>120000000</v>
      </c>
      <c r="AF485" s="150"/>
      <c r="AG485" s="150"/>
      <c r="AH485" s="150"/>
      <c r="AI485" s="904">
        <f>SUM(AI482:AI484)</f>
        <v>120000000</v>
      </c>
    </row>
    <row r="486" spans="1:35" ht="15" customHeight="1" x14ac:dyDescent="0.25">
      <c r="A486" s="917"/>
      <c r="B486" s="441"/>
      <c r="C486" s="928"/>
      <c r="D486" s="927"/>
      <c r="E486" s="928"/>
      <c r="F486" s="928"/>
      <c r="G486" s="927"/>
      <c r="H486" s="928"/>
      <c r="I486" s="927"/>
      <c r="J486" s="929"/>
      <c r="K486" s="988"/>
      <c r="L486" s="988"/>
      <c r="M486" s="929"/>
      <c r="N486" s="931"/>
      <c r="O486" s="927"/>
      <c r="P486" s="928"/>
      <c r="Q486" s="932"/>
      <c r="R486" s="933"/>
      <c r="S486" s="932"/>
      <c r="T486" s="932"/>
      <c r="U486" s="932"/>
      <c r="V486" s="932"/>
      <c r="W486" s="932"/>
      <c r="X486" s="932"/>
      <c r="Y486" s="932"/>
      <c r="Z486" s="932"/>
      <c r="AA486" s="932"/>
      <c r="AB486" s="932"/>
      <c r="AC486" s="932"/>
      <c r="AD486" s="932"/>
      <c r="AE486" s="946"/>
      <c r="AF486" s="932"/>
      <c r="AG486" s="932"/>
      <c r="AH486" s="932"/>
      <c r="AI486" s="957"/>
    </row>
    <row r="487" spans="1:35" ht="15" customHeight="1" x14ac:dyDescent="0.25">
      <c r="A487" s="917"/>
      <c r="B487" s="441"/>
      <c r="C487" s="443"/>
      <c r="D487" s="832"/>
      <c r="E487" s="851"/>
      <c r="F487" s="566"/>
      <c r="G487" s="175">
        <v>61</v>
      </c>
      <c r="H487" s="81" t="s">
        <v>628</v>
      </c>
      <c r="I487" s="81"/>
      <c r="J487" s="81"/>
      <c r="K487" s="312"/>
      <c r="L487" s="312"/>
      <c r="M487" s="81"/>
      <c r="N487" s="88"/>
      <c r="O487" s="81"/>
      <c r="P487" s="81"/>
      <c r="Q487" s="176"/>
      <c r="R487" s="176"/>
      <c r="S487" s="176"/>
      <c r="T487" s="176"/>
      <c r="U487" s="176"/>
      <c r="V487" s="176"/>
      <c r="W487" s="176"/>
      <c r="X487" s="176"/>
      <c r="Y487" s="176"/>
      <c r="Z487" s="176"/>
      <c r="AA487" s="176"/>
      <c r="AB487" s="176"/>
      <c r="AC487" s="176"/>
      <c r="AD487" s="176"/>
      <c r="AE487" s="177"/>
      <c r="AF487" s="176"/>
      <c r="AG487" s="176"/>
      <c r="AH487" s="176"/>
      <c r="AI487" s="918"/>
    </row>
    <row r="488" spans="1:35" ht="71.25" x14ac:dyDescent="0.25">
      <c r="A488" s="917"/>
      <c r="B488" s="440"/>
      <c r="C488" s="846">
        <v>34</v>
      </c>
      <c r="D488" s="265" t="s">
        <v>629</v>
      </c>
      <c r="E488" s="866" t="s">
        <v>36</v>
      </c>
      <c r="F488" s="865">
        <v>40</v>
      </c>
      <c r="G488" s="145"/>
      <c r="H488" s="865">
        <v>190</v>
      </c>
      <c r="I488" s="565" t="s">
        <v>630</v>
      </c>
      <c r="J488" s="865">
        <v>1</v>
      </c>
      <c r="K488" s="266">
        <v>1</v>
      </c>
      <c r="L488" s="337">
        <v>0.85</v>
      </c>
      <c r="M488" s="565" t="s">
        <v>594</v>
      </c>
      <c r="N488" s="568" t="s">
        <v>631</v>
      </c>
      <c r="O488" s="565" t="s">
        <v>632</v>
      </c>
      <c r="P488" s="865" t="s">
        <v>46</v>
      </c>
      <c r="Q488" s="9"/>
      <c r="R488" s="9"/>
      <c r="S488" s="9"/>
      <c r="T488" s="9"/>
      <c r="U488" s="9"/>
      <c r="V488" s="9"/>
      <c r="W488" s="9"/>
      <c r="X488" s="9"/>
      <c r="Y488" s="9"/>
      <c r="Z488" s="9"/>
      <c r="AA488" s="9"/>
      <c r="AB488" s="9"/>
      <c r="AC488" s="9"/>
      <c r="AD488" s="9"/>
      <c r="AE488" s="60">
        <f>188800000+1200000</f>
        <v>190000000</v>
      </c>
      <c r="AF488" s="61"/>
      <c r="AG488" s="61"/>
      <c r="AH488" s="61"/>
      <c r="AI488" s="901">
        <f>+Q488+R488+S488+T488+U488+V488+W488+X488+Y488+Z488+AA488+AB488+AC488+AD488+AE488+AF488+AG488+AH488</f>
        <v>190000000</v>
      </c>
    </row>
    <row r="489" spans="1:35" ht="15" customHeight="1" x14ac:dyDescent="0.25">
      <c r="A489" s="917"/>
      <c r="B489" s="448"/>
      <c r="C489" s="442"/>
      <c r="D489" s="565"/>
      <c r="E489" s="865"/>
      <c r="F489" s="865"/>
      <c r="G489" s="147"/>
      <c r="H489" s="148"/>
      <c r="I489" s="147"/>
      <c r="J489" s="148"/>
      <c r="K489" s="307"/>
      <c r="L489" s="307"/>
      <c r="M489" s="148"/>
      <c r="N489" s="584"/>
      <c r="O489" s="147"/>
      <c r="P489" s="148"/>
      <c r="Q489" s="150"/>
      <c r="R489" s="150"/>
      <c r="S489" s="150"/>
      <c r="T489" s="150"/>
      <c r="U489" s="150"/>
      <c r="V489" s="150"/>
      <c r="W489" s="150"/>
      <c r="X489" s="150"/>
      <c r="Y489" s="150"/>
      <c r="Z489" s="150"/>
      <c r="AA489" s="150"/>
      <c r="AB489" s="150"/>
      <c r="AC489" s="150"/>
      <c r="AD489" s="150"/>
      <c r="AE489" s="54">
        <f>SUM(AE488:AE488)</f>
        <v>190000000</v>
      </c>
      <c r="AF489" s="54"/>
      <c r="AG489" s="54"/>
      <c r="AH489" s="54"/>
      <c r="AI489" s="975">
        <f>SUM(AI488:AI488)</f>
        <v>190000000</v>
      </c>
    </row>
    <row r="490" spans="1:35" ht="15" customHeight="1" x14ac:dyDescent="0.25">
      <c r="A490" s="917"/>
      <c r="B490" s="210"/>
      <c r="C490" s="152"/>
      <c r="D490" s="151"/>
      <c r="E490" s="152"/>
      <c r="F490" s="152"/>
      <c r="G490" s="151"/>
      <c r="H490" s="152"/>
      <c r="I490" s="151"/>
      <c r="J490" s="152"/>
      <c r="K490" s="327"/>
      <c r="L490" s="327"/>
      <c r="M490" s="152"/>
      <c r="N490" s="585"/>
      <c r="O490" s="151"/>
      <c r="P490" s="152"/>
      <c r="Q490" s="154"/>
      <c r="R490" s="154"/>
      <c r="S490" s="154"/>
      <c r="T490" s="154"/>
      <c r="U490" s="154"/>
      <c r="V490" s="154"/>
      <c r="W490" s="154"/>
      <c r="X490" s="154"/>
      <c r="Y490" s="154"/>
      <c r="Z490" s="154"/>
      <c r="AA490" s="154"/>
      <c r="AB490" s="154"/>
      <c r="AC490" s="154"/>
      <c r="AD490" s="154"/>
      <c r="AE490" s="238">
        <f>AE489+AE485+AE479+AE473</f>
        <v>1008250000</v>
      </c>
      <c r="AF490" s="238"/>
      <c r="AG490" s="238"/>
      <c r="AH490" s="238"/>
      <c r="AI490" s="976">
        <f>AI489+AI485+AI479+AI473</f>
        <v>1008250000</v>
      </c>
    </row>
    <row r="491" spans="1:35" ht="15" customHeight="1" x14ac:dyDescent="0.25">
      <c r="A491" s="917"/>
      <c r="B491" s="437"/>
      <c r="C491" s="438"/>
      <c r="D491" s="161"/>
      <c r="E491" s="845"/>
      <c r="F491" s="845"/>
      <c r="G491" s="161"/>
      <c r="H491" s="845"/>
      <c r="I491" s="161"/>
      <c r="J491" s="845"/>
      <c r="K491" s="309"/>
      <c r="L491" s="309"/>
      <c r="M491" s="845"/>
      <c r="N491" s="21"/>
      <c r="O491" s="161"/>
      <c r="P491" s="845"/>
      <c r="Q491" s="12"/>
      <c r="R491" s="12"/>
      <c r="S491" s="12"/>
      <c r="T491" s="12"/>
      <c r="U491" s="12"/>
      <c r="V491" s="12"/>
      <c r="W491" s="12"/>
      <c r="X491" s="12"/>
      <c r="Y491" s="12"/>
      <c r="Z491" s="12"/>
      <c r="AA491" s="163"/>
      <c r="AB491" s="163"/>
      <c r="AC491" s="12"/>
      <c r="AD491" s="932"/>
      <c r="AE491" s="980"/>
      <c r="AF491" s="12"/>
      <c r="AG491" s="12"/>
      <c r="AH491" s="12"/>
      <c r="AI491" s="921"/>
    </row>
    <row r="492" spans="1:35" ht="15.75" customHeight="1" x14ac:dyDescent="0.25">
      <c r="A492" s="917"/>
      <c r="B492" s="232">
        <v>18</v>
      </c>
      <c r="C492" s="837" t="s">
        <v>633</v>
      </c>
      <c r="D492" s="87"/>
      <c r="E492" s="87"/>
      <c r="F492" s="87"/>
      <c r="G492" s="87"/>
      <c r="H492" s="838"/>
      <c r="I492" s="87"/>
      <c r="J492" s="87"/>
      <c r="K492" s="319"/>
      <c r="L492" s="319"/>
      <c r="M492" s="87"/>
      <c r="N492" s="15"/>
      <c r="O492" s="87"/>
      <c r="P492" s="87"/>
      <c r="Q492" s="169"/>
      <c r="R492" s="169"/>
      <c r="S492" s="169"/>
      <c r="T492" s="169"/>
      <c r="U492" s="169"/>
      <c r="V492" s="169"/>
      <c r="W492" s="169"/>
      <c r="X492" s="169"/>
      <c r="Y492" s="169"/>
      <c r="Z492" s="169"/>
      <c r="AA492" s="169"/>
      <c r="AB492" s="169"/>
      <c r="AC492" s="169"/>
      <c r="AD492" s="169"/>
      <c r="AE492" s="170"/>
      <c r="AF492" s="169"/>
      <c r="AG492" s="169"/>
      <c r="AH492" s="169"/>
      <c r="AI492" s="916"/>
    </row>
    <row r="493" spans="1:35" ht="15" customHeight="1" x14ac:dyDescent="0.25">
      <c r="A493" s="917"/>
      <c r="B493" s="439"/>
      <c r="C493" s="428"/>
      <c r="D493" s="565"/>
      <c r="E493" s="865"/>
      <c r="F493" s="865"/>
      <c r="G493" s="336">
        <v>62</v>
      </c>
      <c r="H493" s="81" t="s">
        <v>634</v>
      </c>
      <c r="I493" s="81"/>
      <c r="J493" s="81"/>
      <c r="K493" s="312"/>
      <c r="L493" s="312"/>
      <c r="M493" s="81"/>
      <c r="N493" s="88"/>
      <c r="O493" s="81"/>
      <c r="P493" s="81"/>
      <c r="Q493" s="176"/>
      <c r="R493" s="176"/>
      <c r="S493" s="176"/>
      <c r="T493" s="176"/>
      <c r="U493" s="176"/>
      <c r="V493" s="176"/>
      <c r="W493" s="176"/>
      <c r="X493" s="176"/>
      <c r="Y493" s="176"/>
      <c r="Z493" s="176"/>
      <c r="AA493" s="176"/>
      <c r="AB493" s="176"/>
      <c r="AC493" s="176"/>
      <c r="AD493" s="176"/>
      <c r="AE493" s="177"/>
      <c r="AF493" s="176"/>
      <c r="AG493" s="176"/>
      <c r="AH493" s="176"/>
      <c r="AI493" s="918"/>
    </row>
    <row r="494" spans="1:35" ht="91.5" customHeight="1" x14ac:dyDescent="0.25">
      <c r="A494" s="917"/>
      <c r="B494" s="440"/>
      <c r="C494" s="846">
        <v>22</v>
      </c>
      <c r="D494" s="265" t="s">
        <v>617</v>
      </c>
      <c r="E494" s="866" t="s">
        <v>618</v>
      </c>
      <c r="F494" s="865" t="s">
        <v>619</v>
      </c>
      <c r="G494" s="145"/>
      <c r="H494" s="865">
        <v>191</v>
      </c>
      <c r="I494" s="565" t="s">
        <v>635</v>
      </c>
      <c r="J494" s="865" t="s">
        <v>36</v>
      </c>
      <c r="K494" s="266">
        <v>1</v>
      </c>
      <c r="L494" s="337">
        <v>0.73</v>
      </c>
      <c r="M494" s="565" t="s">
        <v>594</v>
      </c>
      <c r="N494" s="568" t="s">
        <v>636</v>
      </c>
      <c r="O494" s="565" t="s">
        <v>637</v>
      </c>
      <c r="P494" s="266" t="s">
        <v>46</v>
      </c>
      <c r="Q494" s="9"/>
      <c r="R494" s="9"/>
      <c r="S494" s="9"/>
      <c r="T494" s="9"/>
      <c r="U494" s="9"/>
      <c r="V494" s="9"/>
      <c r="W494" s="9"/>
      <c r="X494" s="9"/>
      <c r="Y494" s="9"/>
      <c r="Z494" s="9"/>
      <c r="AA494" s="9"/>
      <c r="AB494" s="9"/>
      <c r="AC494" s="9"/>
      <c r="AD494" s="9"/>
      <c r="AE494" s="60">
        <v>1008600000</v>
      </c>
      <c r="AF494" s="61"/>
      <c r="AG494" s="61"/>
      <c r="AH494" s="61"/>
      <c r="AI494" s="901">
        <f>+Q494+R494+S494+T494+U494+V494+W494+X494+Y494+Z494+AA494+AB494+AC494+AD494+AE494+AF494+AG494+AH494</f>
        <v>1008600000</v>
      </c>
    </row>
    <row r="495" spans="1:35" ht="91.5" customHeight="1" x14ac:dyDescent="0.25">
      <c r="A495" s="917"/>
      <c r="B495" s="440"/>
      <c r="C495" s="846">
        <v>22</v>
      </c>
      <c r="D495" s="265" t="s">
        <v>617</v>
      </c>
      <c r="E495" s="866" t="s">
        <v>618</v>
      </c>
      <c r="F495" s="865" t="s">
        <v>619</v>
      </c>
      <c r="G495" s="3"/>
      <c r="H495" s="865">
        <v>192</v>
      </c>
      <c r="I495" s="565" t="s">
        <v>638</v>
      </c>
      <c r="J495" s="865">
        <v>1</v>
      </c>
      <c r="K495" s="266">
        <v>1</v>
      </c>
      <c r="L495" s="778">
        <v>0.7</v>
      </c>
      <c r="M495" s="565" t="s">
        <v>594</v>
      </c>
      <c r="N495" s="568" t="s">
        <v>639</v>
      </c>
      <c r="O495" s="565" t="s">
        <v>640</v>
      </c>
      <c r="P495" s="266" t="s">
        <v>46</v>
      </c>
      <c r="Q495" s="9"/>
      <c r="R495" s="9"/>
      <c r="S495" s="9"/>
      <c r="T495" s="9"/>
      <c r="U495" s="9"/>
      <c r="V495" s="9"/>
      <c r="W495" s="9"/>
      <c r="X495" s="9"/>
      <c r="Y495" s="9"/>
      <c r="Z495" s="9"/>
      <c r="AA495" s="9"/>
      <c r="AB495" s="9"/>
      <c r="AC495" s="9"/>
      <c r="AD495" s="9"/>
      <c r="AE495" s="60">
        <v>79500000</v>
      </c>
      <c r="AF495" s="61"/>
      <c r="AG495" s="61"/>
      <c r="AH495" s="61"/>
      <c r="AI495" s="901">
        <f>+Q495+R495+S495+T495+U495+V495+W495+X495+Y495+Z495+AA495+AB495+AC495+AD495+AE495+AF495+AG495+AH495</f>
        <v>79500000</v>
      </c>
    </row>
    <row r="496" spans="1:35" ht="15" customHeight="1" x14ac:dyDescent="0.25">
      <c r="A496" s="917"/>
      <c r="B496" s="441"/>
      <c r="C496" s="442"/>
      <c r="D496" s="565"/>
      <c r="E496" s="865"/>
      <c r="F496" s="865"/>
      <c r="G496" s="147"/>
      <c r="H496" s="148"/>
      <c r="I496" s="147"/>
      <c r="J496" s="148"/>
      <c r="K496" s="307"/>
      <c r="L496" s="307"/>
      <c r="M496" s="148"/>
      <c r="N496" s="584"/>
      <c r="O496" s="147"/>
      <c r="P496" s="148"/>
      <c r="Q496" s="150"/>
      <c r="R496" s="150"/>
      <c r="S496" s="150"/>
      <c r="T496" s="150"/>
      <c r="U496" s="150"/>
      <c r="V496" s="150"/>
      <c r="W496" s="150"/>
      <c r="X496" s="150"/>
      <c r="Y496" s="150"/>
      <c r="Z496" s="150"/>
      <c r="AA496" s="150"/>
      <c r="AB496" s="150"/>
      <c r="AC496" s="150"/>
      <c r="AD496" s="150"/>
      <c r="AE496" s="54">
        <f>SUM(AE494:AE495)</f>
        <v>1088100000</v>
      </c>
      <c r="AF496" s="150"/>
      <c r="AG496" s="150"/>
      <c r="AH496" s="150"/>
      <c r="AI496" s="904">
        <f>SUM(AI494:AI495)</f>
        <v>1088100000</v>
      </c>
    </row>
    <row r="497" spans="1:35" ht="15" customHeight="1" x14ac:dyDescent="0.25">
      <c r="A497" s="917"/>
      <c r="B497" s="441"/>
      <c r="C497" s="928"/>
      <c r="D497" s="927"/>
      <c r="E497" s="928"/>
      <c r="F497" s="928"/>
      <c r="G497" s="927"/>
      <c r="H497" s="928"/>
      <c r="I497" s="927"/>
      <c r="J497" s="929"/>
      <c r="K497" s="988"/>
      <c r="L497" s="988"/>
      <c r="M497" s="929"/>
      <c r="N497" s="931"/>
      <c r="O497" s="927"/>
      <c r="P497" s="928"/>
      <c r="Q497" s="932"/>
      <c r="R497" s="933"/>
      <c r="S497" s="932"/>
      <c r="T497" s="932"/>
      <c r="U497" s="932"/>
      <c r="V497" s="932"/>
      <c r="W497" s="932"/>
      <c r="X497" s="932"/>
      <c r="Y497" s="932"/>
      <c r="Z497" s="932"/>
      <c r="AA497" s="932"/>
      <c r="AB497" s="932"/>
      <c r="AC497" s="932"/>
      <c r="AD497" s="932"/>
      <c r="AE497" s="946"/>
      <c r="AF497" s="932"/>
      <c r="AG497" s="932"/>
      <c r="AH497" s="932"/>
      <c r="AI497" s="957"/>
    </row>
    <row r="498" spans="1:35" ht="15" customHeight="1" x14ac:dyDescent="0.25">
      <c r="A498" s="917"/>
      <c r="B498" s="441"/>
      <c r="C498" s="443"/>
      <c r="D498" s="832"/>
      <c r="E498" s="851"/>
      <c r="F498" s="566"/>
      <c r="G498" s="175">
        <v>63</v>
      </c>
      <c r="H498" s="81" t="s">
        <v>641</v>
      </c>
      <c r="I498" s="81"/>
      <c r="J498" s="81"/>
      <c r="K498" s="312"/>
      <c r="L498" s="312"/>
      <c r="M498" s="81"/>
      <c r="N498" s="88"/>
      <c r="O498" s="81"/>
      <c r="P498" s="81"/>
      <c r="Q498" s="176"/>
      <c r="R498" s="176"/>
      <c r="S498" s="176"/>
      <c r="T498" s="176"/>
      <c r="U498" s="176"/>
      <c r="V498" s="176"/>
      <c r="W498" s="176"/>
      <c r="X498" s="176"/>
      <c r="Y498" s="176"/>
      <c r="Z498" s="176"/>
      <c r="AA498" s="176"/>
      <c r="AB498" s="176"/>
      <c r="AC498" s="176"/>
      <c r="AD498" s="176"/>
      <c r="AE498" s="177"/>
      <c r="AF498" s="176"/>
      <c r="AG498" s="176"/>
      <c r="AH498" s="176"/>
      <c r="AI498" s="918"/>
    </row>
    <row r="499" spans="1:35" ht="71.25" x14ac:dyDescent="0.25">
      <c r="A499" s="917"/>
      <c r="B499" s="440"/>
      <c r="C499" s="846">
        <v>38</v>
      </c>
      <c r="D499" s="565" t="s">
        <v>47</v>
      </c>
      <c r="E499" s="865">
        <v>0</v>
      </c>
      <c r="F499" s="865">
        <v>2</v>
      </c>
      <c r="G499" s="145"/>
      <c r="H499" s="865">
        <v>193</v>
      </c>
      <c r="I499" s="565" t="s">
        <v>642</v>
      </c>
      <c r="J499" s="865">
        <v>1</v>
      </c>
      <c r="K499" s="266">
        <v>1</v>
      </c>
      <c r="L499" s="266">
        <v>1</v>
      </c>
      <c r="M499" s="565" t="s">
        <v>594</v>
      </c>
      <c r="N499" s="568" t="s">
        <v>643</v>
      </c>
      <c r="O499" s="565" t="s">
        <v>644</v>
      </c>
      <c r="P499" s="865" t="s">
        <v>46</v>
      </c>
      <c r="Q499" s="9"/>
      <c r="R499" s="9"/>
      <c r="S499" s="9"/>
      <c r="T499" s="9"/>
      <c r="U499" s="9"/>
      <c r="V499" s="9"/>
      <c r="W499" s="9"/>
      <c r="X499" s="9"/>
      <c r="Y499" s="9"/>
      <c r="Z499" s="9"/>
      <c r="AA499" s="9"/>
      <c r="AB499" s="9"/>
      <c r="AC499" s="9"/>
      <c r="AD499" s="61"/>
      <c r="AE499" s="60">
        <v>29800000</v>
      </c>
      <c r="AF499" s="61"/>
      <c r="AG499" s="61"/>
      <c r="AH499" s="61"/>
      <c r="AI499" s="901">
        <f>+Q499+R499+S499+T499+U499+V499+W499+X499+Y499+Z499+AA499+AB499+AC499+AD499+AE499+AF499+AG499+AH499</f>
        <v>29800000</v>
      </c>
    </row>
    <row r="500" spans="1:35" ht="78.75" customHeight="1" x14ac:dyDescent="0.25">
      <c r="A500" s="917"/>
      <c r="B500" s="440"/>
      <c r="C500" s="846">
        <v>38</v>
      </c>
      <c r="D500" s="565" t="s">
        <v>47</v>
      </c>
      <c r="E500" s="865">
        <v>0</v>
      </c>
      <c r="F500" s="865">
        <v>2</v>
      </c>
      <c r="G500" s="72"/>
      <c r="H500" s="865">
        <v>194</v>
      </c>
      <c r="I500" s="565" t="s">
        <v>645</v>
      </c>
      <c r="J500" s="865">
        <v>1</v>
      </c>
      <c r="K500" s="266">
        <v>1</v>
      </c>
      <c r="L500" s="778">
        <v>0.8</v>
      </c>
      <c r="M500" s="565" t="s">
        <v>594</v>
      </c>
      <c r="N500" s="568" t="s">
        <v>646</v>
      </c>
      <c r="O500" s="565" t="s">
        <v>647</v>
      </c>
      <c r="P500" s="865" t="s">
        <v>46</v>
      </c>
      <c r="Q500" s="9"/>
      <c r="R500" s="9"/>
      <c r="S500" s="9"/>
      <c r="T500" s="9"/>
      <c r="U500" s="9"/>
      <c r="V500" s="9"/>
      <c r="W500" s="9"/>
      <c r="X500" s="9"/>
      <c r="Y500" s="9"/>
      <c r="Z500" s="9"/>
      <c r="AA500" s="9"/>
      <c r="AB500" s="9"/>
      <c r="AC500" s="9"/>
      <c r="AD500" s="61"/>
      <c r="AE500" s="60">
        <f>69560000</f>
        <v>69560000</v>
      </c>
      <c r="AF500" s="61"/>
      <c r="AG500" s="61"/>
      <c r="AH500" s="61"/>
      <c r="AI500" s="901">
        <f>+Q500+R500+S500+T500+U500+V500+W500+X500+Y500+Z500+AA500+AB500+AC500+AD500+AE500+AF500+AG500+AH500</f>
        <v>69560000</v>
      </c>
    </row>
    <row r="501" spans="1:35" ht="15" customHeight="1" x14ac:dyDescent="0.25">
      <c r="A501" s="917"/>
      <c r="B501" s="441"/>
      <c r="C501" s="442"/>
      <c r="D501" s="565"/>
      <c r="E501" s="865"/>
      <c r="F501" s="865"/>
      <c r="G501" s="147"/>
      <c r="H501" s="148"/>
      <c r="I501" s="147"/>
      <c r="J501" s="148"/>
      <c r="K501" s="307"/>
      <c r="L501" s="307"/>
      <c r="M501" s="148"/>
      <c r="N501" s="584"/>
      <c r="O501" s="147"/>
      <c r="P501" s="148"/>
      <c r="Q501" s="150"/>
      <c r="R501" s="150"/>
      <c r="S501" s="150"/>
      <c r="T501" s="150"/>
      <c r="U501" s="150"/>
      <c r="V501" s="150"/>
      <c r="W501" s="150"/>
      <c r="X501" s="150"/>
      <c r="Y501" s="150"/>
      <c r="Z501" s="150"/>
      <c r="AA501" s="150"/>
      <c r="AB501" s="150"/>
      <c r="AC501" s="150"/>
      <c r="AD501" s="150"/>
      <c r="AE501" s="54">
        <f>SUM(AE499:AE500)</f>
        <v>99360000</v>
      </c>
      <c r="AF501" s="150"/>
      <c r="AG501" s="150"/>
      <c r="AH501" s="150"/>
      <c r="AI501" s="904">
        <f>SUM(AI499:AI500)</f>
        <v>99360000</v>
      </c>
    </row>
    <row r="502" spans="1:35" ht="15" customHeight="1" x14ac:dyDescent="0.25">
      <c r="A502" s="917"/>
      <c r="B502" s="441"/>
      <c r="C502" s="928"/>
      <c r="D502" s="927"/>
      <c r="E502" s="928"/>
      <c r="F502" s="928"/>
      <c r="G502" s="927"/>
      <c r="H502" s="928"/>
      <c r="I502" s="927"/>
      <c r="J502" s="929"/>
      <c r="K502" s="988"/>
      <c r="L502" s="988"/>
      <c r="M502" s="929"/>
      <c r="N502" s="931"/>
      <c r="O502" s="927"/>
      <c r="P502" s="928"/>
      <c r="Q502" s="932"/>
      <c r="R502" s="933"/>
      <c r="S502" s="932"/>
      <c r="T502" s="932"/>
      <c r="U502" s="932"/>
      <c r="V502" s="932"/>
      <c r="W502" s="932"/>
      <c r="X502" s="932"/>
      <c r="Y502" s="932"/>
      <c r="Z502" s="932"/>
      <c r="AA502" s="932"/>
      <c r="AB502" s="932"/>
      <c r="AC502" s="932"/>
      <c r="AD502" s="932"/>
      <c r="AE502" s="946"/>
      <c r="AF502" s="932"/>
      <c r="AG502" s="932"/>
      <c r="AH502" s="932"/>
      <c r="AI502" s="957"/>
    </row>
    <row r="503" spans="1:35" ht="15" customHeight="1" x14ac:dyDescent="0.25">
      <c r="A503" s="917"/>
      <c r="B503" s="441"/>
      <c r="C503" s="443"/>
      <c r="D503" s="832"/>
      <c r="E503" s="851"/>
      <c r="F503" s="566"/>
      <c r="G503" s="175">
        <v>64</v>
      </c>
      <c r="H503" s="81" t="s">
        <v>648</v>
      </c>
      <c r="I503" s="81"/>
      <c r="J503" s="81"/>
      <c r="K503" s="312"/>
      <c r="L503" s="312"/>
      <c r="M503" s="81"/>
      <c r="N503" s="88"/>
      <c r="O503" s="81"/>
      <c r="P503" s="81"/>
      <c r="Q503" s="176"/>
      <c r="R503" s="176"/>
      <c r="S503" s="176"/>
      <c r="T503" s="176"/>
      <c r="U503" s="176"/>
      <c r="V503" s="176"/>
      <c r="W503" s="176"/>
      <c r="X503" s="176"/>
      <c r="Y503" s="176"/>
      <c r="Z503" s="176"/>
      <c r="AA503" s="176"/>
      <c r="AB503" s="176"/>
      <c r="AC503" s="176"/>
      <c r="AD503" s="176"/>
      <c r="AE503" s="177"/>
      <c r="AF503" s="176"/>
      <c r="AG503" s="176"/>
      <c r="AH503" s="176"/>
      <c r="AI503" s="918"/>
    </row>
    <row r="504" spans="1:35" ht="71.25" x14ac:dyDescent="0.25">
      <c r="A504" s="917"/>
      <c r="B504" s="440"/>
      <c r="C504" s="865">
        <v>37</v>
      </c>
      <c r="D504" s="565" t="s">
        <v>649</v>
      </c>
      <c r="E504" s="449" t="s">
        <v>61</v>
      </c>
      <c r="F504" s="450">
        <v>0.6</v>
      </c>
      <c r="G504" s="72"/>
      <c r="H504" s="865">
        <v>195</v>
      </c>
      <c r="I504" s="565" t="s">
        <v>650</v>
      </c>
      <c r="J504" s="865">
        <v>0</v>
      </c>
      <c r="K504" s="266">
        <v>1</v>
      </c>
      <c r="L504" s="778">
        <v>0.5</v>
      </c>
      <c r="M504" s="565" t="s">
        <v>594</v>
      </c>
      <c r="N504" s="568" t="s">
        <v>651</v>
      </c>
      <c r="O504" s="565" t="s">
        <v>652</v>
      </c>
      <c r="P504" s="865" t="s">
        <v>46</v>
      </c>
      <c r="Q504" s="9"/>
      <c r="R504" s="9"/>
      <c r="S504" s="9"/>
      <c r="T504" s="9"/>
      <c r="U504" s="9"/>
      <c r="V504" s="9"/>
      <c r="W504" s="9"/>
      <c r="X504" s="9"/>
      <c r="Y504" s="9"/>
      <c r="Z504" s="9"/>
      <c r="AA504" s="9"/>
      <c r="AB504" s="9"/>
      <c r="AC504" s="9"/>
      <c r="AD504" s="61"/>
      <c r="AE504" s="60">
        <f>89450000+10550000</f>
        <v>100000000</v>
      </c>
      <c r="AF504" s="61"/>
      <c r="AG504" s="61"/>
      <c r="AH504" s="61"/>
      <c r="AI504" s="901">
        <f>+Q504+R504+S504+T504+U504+V504+W504+X504+Y504+Z504+AA504+AB504+AC504+AD504+AE504+AF504+AG504+AH504</f>
        <v>100000000</v>
      </c>
    </row>
    <row r="505" spans="1:35" ht="15" customHeight="1" x14ac:dyDescent="0.25">
      <c r="A505" s="917"/>
      <c r="B505" s="441"/>
      <c r="C505" s="442"/>
      <c r="D505" s="565"/>
      <c r="E505" s="865"/>
      <c r="F505" s="865"/>
      <c r="G505" s="147"/>
      <c r="H505" s="148"/>
      <c r="I505" s="147"/>
      <c r="J505" s="148"/>
      <c r="K505" s="307"/>
      <c r="L505" s="307"/>
      <c r="M505" s="148"/>
      <c r="N505" s="584"/>
      <c r="O505" s="147"/>
      <c r="P505" s="148"/>
      <c r="Q505" s="392"/>
      <c r="R505" s="392"/>
      <c r="S505" s="150"/>
      <c r="T505" s="150"/>
      <c r="U505" s="150"/>
      <c r="V505" s="150"/>
      <c r="W505" s="150"/>
      <c r="X505" s="150"/>
      <c r="Y505" s="150"/>
      <c r="Z505" s="150"/>
      <c r="AA505" s="150"/>
      <c r="AB505" s="150"/>
      <c r="AC505" s="150"/>
      <c r="AD505" s="150"/>
      <c r="AE505" s="54">
        <f>SUM(AE504:AE504)</f>
        <v>100000000</v>
      </c>
      <c r="AF505" s="150"/>
      <c r="AG505" s="150"/>
      <c r="AH505" s="150"/>
      <c r="AI505" s="904">
        <f>SUM(AI504:AI504)</f>
        <v>100000000</v>
      </c>
    </row>
    <row r="506" spans="1:35" ht="15" customHeight="1" x14ac:dyDescent="0.25">
      <c r="A506" s="917"/>
      <c r="B506" s="441"/>
      <c r="C506" s="928"/>
      <c r="D506" s="927"/>
      <c r="E506" s="928"/>
      <c r="F506" s="928"/>
      <c r="G506" s="927"/>
      <c r="H506" s="928"/>
      <c r="I506" s="927"/>
      <c r="J506" s="929"/>
      <c r="K506" s="988"/>
      <c r="L506" s="988"/>
      <c r="M506" s="929"/>
      <c r="N506" s="931"/>
      <c r="O506" s="927"/>
      <c r="P506" s="928"/>
      <c r="Q506" s="932"/>
      <c r="R506" s="933"/>
      <c r="S506" s="932"/>
      <c r="T506" s="932"/>
      <c r="U506" s="932"/>
      <c r="V506" s="932"/>
      <c r="W506" s="932"/>
      <c r="X506" s="932"/>
      <c r="Y506" s="932"/>
      <c r="Z506" s="932"/>
      <c r="AA506" s="932"/>
      <c r="AB506" s="932"/>
      <c r="AC506" s="932"/>
      <c r="AD506" s="932"/>
      <c r="AE506" s="946"/>
      <c r="AF506" s="932"/>
      <c r="AG506" s="932"/>
      <c r="AH506" s="932"/>
      <c r="AI506" s="957"/>
    </row>
    <row r="507" spans="1:35" ht="15" customHeight="1" x14ac:dyDescent="0.25">
      <c r="A507" s="917"/>
      <c r="B507" s="441"/>
      <c r="C507" s="443"/>
      <c r="D507" s="832"/>
      <c r="E507" s="851"/>
      <c r="F507" s="851"/>
      <c r="G507" s="336">
        <v>65</v>
      </c>
      <c r="H507" s="81" t="s">
        <v>653</v>
      </c>
      <c r="I507" s="81"/>
      <c r="J507" s="81"/>
      <c r="K507" s="312"/>
      <c r="L507" s="312"/>
      <c r="M507" s="81"/>
      <c r="N507" s="88"/>
      <c r="O507" s="81"/>
      <c r="P507" s="81"/>
      <c r="Q507" s="176"/>
      <c r="R507" s="176"/>
      <c r="S507" s="176"/>
      <c r="T507" s="176"/>
      <c r="U507" s="176"/>
      <c r="V507" s="176"/>
      <c r="W507" s="176"/>
      <c r="X507" s="176"/>
      <c r="Y507" s="176"/>
      <c r="Z507" s="176"/>
      <c r="AA507" s="176"/>
      <c r="AB507" s="176"/>
      <c r="AC507" s="176"/>
      <c r="AD507" s="176"/>
      <c r="AE507" s="177"/>
      <c r="AF507" s="176"/>
      <c r="AG507" s="176"/>
      <c r="AH507" s="176"/>
      <c r="AI507" s="918"/>
    </row>
    <row r="508" spans="1:35" ht="84.75" customHeight="1" x14ac:dyDescent="0.25">
      <c r="A508" s="917"/>
      <c r="B508" s="440"/>
      <c r="C508" s="846" t="s">
        <v>654</v>
      </c>
      <c r="D508" s="265" t="s">
        <v>1066</v>
      </c>
      <c r="E508" s="866" t="s">
        <v>655</v>
      </c>
      <c r="F508" s="451" t="s">
        <v>656</v>
      </c>
      <c r="G508" s="178"/>
      <c r="H508" s="865">
        <v>196</v>
      </c>
      <c r="I508" s="565" t="s">
        <v>657</v>
      </c>
      <c r="J508" s="865">
        <v>0</v>
      </c>
      <c r="K508" s="266">
        <v>1</v>
      </c>
      <c r="L508" s="778">
        <v>0.8</v>
      </c>
      <c r="M508" s="565" t="s">
        <v>594</v>
      </c>
      <c r="N508" s="568" t="s">
        <v>658</v>
      </c>
      <c r="O508" s="565" t="s">
        <v>659</v>
      </c>
      <c r="P508" s="865" t="s">
        <v>46</v>
      </c>
      <c r="Q508" s="9"/>
      <c r="R508" s="9"/>
      <c r="S508" s="9"/>
      <c r="T508" s="9"/>
      <c r="U508" s="9"/>
      <c r="V508" s="9"/>
      <c r="W508" s="9"/>
      <c r="X508" s="9"/>
      <c r="Y508" s="9"/>
      <c r="Z508" s="9"/>
      <c r="AA508" s="9"/>
      <c r="AB508" s="9"/>
      <c r="AC508" s="9"/>
      <c r="AD508" s="9"/>
      <c r="AE508" s="60">
        <f>24850000+5150000</f>
        <v>30000000</v>
      </c>
      <c r="AF508" s="61"/>
      <c r="AG508" s="61"/>
      <c r="AH508" s="61"/>
      <c r="AI508" s="901">
        <f>+Q508+R508+S508+T508+U508+V508+W508+X508+Y508+Z508+AA508+AB508+AC508+AD508+AE508+AF508+AG508+AH508</f>
        <v>30000000</v>
      </c>
    </row>
    <row r="509" spans="1:35" ht="15" customHeight="1" x14ac:dyDescent="0.25">
      <c r="A509" s="917"/>
      <c r="B509" s="441"/>
      <c r="C509" s="452"/>
      <c r="D509" s="849"/>
      <c r="E509" s="853"/>
      <c r="F509" s="853"/>
      <c r="G509" s="8"/>
      <c r="H509" s="148"/>
      <c r="I509" s="147"/>
      <c r="J509" s="148"/>
      <c r="K509" s="307"/>
      <c r="L509" s="307"/>
      <c r="M509" s="148"/>
      <c r="N509" s="584"/>
      <c r="O509" s="147"/>
      <c r="P509" s="148"/>
      <c r="Q509" s="150"/>
      <c r="R509" s="150"/>
      <c r="S509" s="150"/>
      <c r="T509" s="150"/>
      <c r="U509" s="150"/>
      <c r="V509" s="150"/>
      <c r="W509" s="150"/>
      <c r="X509" s="150"/>
      <c r="Y509" s="150"/>
      <c r="Z509" s="150"/>
      <c r="AA509" s="150"/>
      <c r="AB509" s="150"/>
      <c r="AC509" s="150"/>
      <c r="AD509" s="150"/>
      <c r="AE509" s="54">
        <f>SUM(AE508)</f>
        <v>30000000</v>
      </c>
      <c r="AF509" s="150"/>
      <c r="AG509" s="150"/>
      <c r="AH509" s="150"/>
      <c r="AI509" s="904">
        <f>SUM(AI508)</f>
        <v>30000000</v>
      </c>
    </row>
    <row r="510" spans="1:35" ht="21" customHeight="1" x14ac:dyDescent="0.25">
      <c r="A510" s="917"/>
      <c r="B510" s="441"/>
      <c r="C510" s="928"/>
      <c r="D510" s="927"/>
      <c r="E510" s="928"/>
      <c r="F510" s="928"/>
      <c r="G510" s="927"/>
      <c r="H510" s="928"/>
      <c r="I510" s="927"/>
      <c r="J510" s="929"/>
      <c r="K510" s="988"/>
      <c r="L510" s="988"/>
      <c r="M510" s="929"/>
      <c r="N510" s="931"/>
      <c r="O510" s="927"/>
      <c r="P510" s="928"/>
      <c r="Q510" s="932"/>
      <c r="R510" s="932"/>
      <c r="S510" s="932"/>
      <c r="T510" s="932"/>
      <c r="U510" s="932"/>
      <c r="V510" s="932"/>
      <c r="W510" s="932"/>
      <c r="X510" s="932"/>
      <c r="Y510" s="932"/>
      <c r="Z510" s="932"/>
      <c r="AA510" s="932"/>
      <c r="AB510" s="932"/>
      <c r="AC510" s="932"/>
      <c r="AD510" s="932"/>
      <c r="AE510" s="946"/>
      <c r="AF510" s="932"/>
      <c r="AG510" s="932"/>
      <c r="AH510" s="932"/>
      <c r="AI510" s="957"/>
    </row>
    <row r="511" spans="1:35" ht="15" customHeight="1" x14ac:dyDescent="0.25">
      <c r="A511" s="917"/>
      <c r="B511" s="441"/>
      <c r="C511" s="443"/>
      <c r="D511" s="832"/>
      <c r="E511" s="851"/>
      <c r="F511" s="566"/>
      <c r="G511" s="175">
        <v>66</v>
      </c>
      <c r="H511" s="81" t="s">
        <v>660</v>
      </c>
      <c r="I511" s="81"/>
      <c r="J511" s="81"/>
      <c r="K511" s="312"/>
      <c r="L511" s="312"/>
      <c r="M511" s="81"/>
      <c r="N511" s="88"/>
      <c r="O511" s="81"/>
      <c r="P511" s="81"/>
      <c r="Q511" s="176"/>
      <c r="R511" s="176"/>
      <c r="S511" s="176"/>
      <c r="T511" s="176"/>
      <c r="U511" s="176"/>
      <c r="V511" s="176"/>
      <c r="W511" s="176"/>
      <c r="X511" s="176"/>
      <c r="Y511" s="176"/>
      <c r="Z511" s="176"/>
      <c r="AA511" s="176"/>
      <c r="AB511" s="176"/>
      <c r="AC511" s="176"/>
      <c r="AD511" s="176"/>
      <c r="AE511" s="177"/>
      <c r="AF511" s="176"/>
      <c r="AG511" s="176"/>
      <c r="AH511" s="176"/>
      <c r="AI511" s="918"/>
    </row>
    <row r="512" spans="1:35" ht="71.25" x14ac:dyDescent="0.25">
      <c r="A512" s="917"/>
      <c r="B512" s="440"/>
      <c r="C512" s="846">
        <v>21</v>
      </c>
      <c r="D512" s="265" t="s">
        <v>1067</v>
      </c>
      <c r="E512" s="866" t="s">
        <v>661</v>
      </c>
      <c r="F512" s="451">
        <v>0.27</v>
      </c>
      <c r="G512" s="72"/>
      <c r="H512" s="846">
        <v>197</v>
      </c>
      <c r="I512" s="565" t="s">
        <v>662</v>
      </c>
      <c r="J512" s="865">
        <v>1</v>
      </c>
      <c r="K512" s="266">
        <v>1</v>
      </c>
      <c r="L512" s="266">
        <v>1</v>
      </c>
      <c r="M512" s="565" t="s">
        <v>594</v>
      </c>
      <c r="N512" s="568" t="s">
        <v>663</v>
      </c>
      <c r="O512" s="565" t="s">
        <v>664</v>
      </c>
      <c r="P512" s="865" t="s">
        <v>46</v>
      </c>
      <c r="Q512" s="9"/>
      <c r="R512" s="9"/>
      <c r="S512" s="9"/>
      <c r="T512" s="9"/>
      <c r="U512" s="9"/>
      <c r="V512" s="9"/>
      <c r="W512" s="9"/>
      <c r="X512" s="9"/>
      <c r="Y512" s="9"/>
      <c r="Z512" s="9"/>
      <c r="AA512" s="9"/>
      <c r="AB512" s="9"/>
      <c r="AC512" s="9"/>
      <c r="AD512" s="9"/>
      <c r="AE512" s="550">
        <f>44750000+5250000+240000000</f>
        <v>290000000</v>
      </c>
      <c r="AF512" s="61"/>
      <c r="AG512" s="61"/>
      <c r="AH512" s="61"/>
      <c r="AI512" s="901">
        <f>+Q512+R512+S512+T512+U512+V512+W512+X512+Y512+Z512+AA512+AB512+AC512+AD512+AE512+AF512+AG512+AH512</f>
        <v>290000000</v>
      </c>
    </row>
    <row r="513" spans="1:35" ht="15" customHeight="1" x14ac:dyDescent="0.25">
      <c r="A513" s="917"/>
      <c r="B513" s="448"/>
      <c r="C513" s="442"/>
      <c r="D513" s="565"/>
      <c r="E513" s="865"/>
      <c r="F513" s="865"/>
      <c r="G513" s="147"/>
      <c r="H513" s="148"/>
      <c r="I513" s="147"/>
      <c r="J513" s="148"/>
      <c r="K513" s="307"/>
      <c r="L513" s="307"/>
      <c r="M513" s="148"/>
      <c r="N513" s="584"/>
      <c r="O513" s="147"/>
      <c r="P513" s="148"/>
      <c r="Q513" s="150"/>
      <c r="R513" s="150"/>
      <c r="S513" s="150"/>
      <c r="T513" s="150"/>
      <c r="U513" s="150"/>
      <c r="V513" s="150"/>
      <c r="W513" s="150"/>
      <c r="X513" s="150"/>
      <c r="Y513" s="150"/>
      <c r="Z513" s="150"/>
      <c r="AA513" s="150"/>
      <c r="AB513" s="150"/>
      <c r="AC513" s="150"/>
      <c r="AD513" s="150"/>
      <c r="AE513" s="54">
        <f>SUM(AE512:AE512)</f>
        <v>290000000</v>
      </c>
      <c r="AF513" s="150"/>
      <c r="AG513" s="150"/>
      <c r="AH513" s="150">
        <f>SUM(AH512:AH512)</f>
        <v>0</v>
      </c>
      <c r="AI513" s="904">
        <f>SUM(AI512:AI512)</f>
        <v>290000000</v>
      </c>
    </row>
    <row r="514" spans="1:35" ht="15" customHeight="1" x14ac:dyDescent="0.25">
      <c r="A514" s="917"/>
      <c r="B514" s="210"/>
      <c r="C514" s="152"/>
      <c r="D514" s="151"/>
      <c r="E514" s="152"/>
      <c r="F514" s="152"/>
      <c r="G514" s="151"/>
      <c r="H514" s="152"/>
      <c r="I514" s="151"/>
      <c r="J514" s="152"/>
      <c r="K514" s="327"/>
      <c r="L514" s="327"/>
      <c r="M514" s="152"/>
      <c r="N514" s="585"/>
      <c r="O514" s="151"/>
      <c r="P514" s="152"/>
      <c r="Q514" s="154"/>
      <c r="R514" s="154"/>
      <c r="S514" s="154"/>
      <c r="T514" s="154"/>
      <c r="U514" s="154"/>
      <c r="V514" s="154"/>
      <c r="W514" s="154"/>
      <c r="X514" s="154"/>
      <c r="Y514" s="154"/>
      <c r="Z514" s="154"/>
      <c r="AA514" s="154"/>
      <c r="AB514" s="154"/>
      <c r="AC514" s="154"/>
      <c r="AD514" s="154"/>
      <c r="AE514" s="238">
        <f>AE513+AE509+AE505+AE501+AE496</f>
        <v>1607460000</v>
      </c>
      <c r="AF514" s="154"/>
      <c r="AG514" s="154"/>
      <c r="AH514" s="154"/>
      <c r="AI514" s="906">
        <f>AI513+AI509+AI505+AI501+AI496</f>
        <v>1607460000</v>
      </c>
    </row>
    <row r="515" spans="1:35" ht="15" customHeight="1" x14ac:dyDescent="0.25">
      <c r="A515" s="917"/>
      <c r="B515" s="437"/>
      <c r="C515" s="438"/>
      <c r="D515" s="161"/>
      <c r="E515" s="845"/>
      <c r="F515" s="845"/>
      <c r="G515" s="161"/>
      <c r="H515" s="845"/>
      <c r="I515" s="161"/>
      <c r="J515" s="845"/>
      <c r="K515" s="309"/>
      <c r="L515" s="309"/>
      <c r="M515" s="845"/>
      <c r="N515" s="21"/>
      <c r="O515" s="161"/>
      <c r="P515" s="845"/>
      <c r="Q515" s="12"/>
      <c r="R515" s="12"/>
      <c r="S515" s="12"/>
      <c r="T515" s="12"/>
      <c r="U515" s="12"/>
      <c r="V515" s="12"/>
      <c r="W515" s="12"/>
      <c r="X515" s="12"/>
      <c r="Y515" s="12"/>
      <c r="Z515" s="12"/>
      <c r="AA515" s="12"/>
      <c r="AB515" s="12"/>
      <c r="AC515" s="12"/>
      <c r="AD515" s="12"/>
      <c r="AE515" s="189"/>
      <c r="AF515" s="12"/>
      <c r="AG515" s="12"/>
      <c r="AH515" s="12"/>
      <c r="AI515" s="921"/>
    </row>
    <row r="516" spans="1:35" ht="15.75" customHeight="1" x14ac:dyDescent="0.25">
      <c r="A516" s="917"/>
      <c r="B516" s="232">
        <v>19</v>
      </c>
      <c r="C516" s="837" t="s">
        <v>665</v>
      </c>
      <c r="D516" s="87"/>
      <c r="E516" s="87"/>
      <c r="F516" s="87"/>
      <c r="G516" s="87"/>
      <c r="H516" s="838"/>
      <c r="I516" s="87"/>
      <c r="J516" s="87"/>
      <c r="K516" s="319"/>
      <c r="L516" s="319"/>
      <c r="M516" s="87"/>
      <c r="N516" s="15"/>
      <c r="O516" s="87"/>
      <c r="P516" s="87"/>
      <c r="Q516" s="169"/>
      <c r="R516" s="169"/>
      <c r="S516" s="169"/>
      <c r="T516" s="169"/>
      <c r="U516" s="169"/>
      <c r="V516" s="169"/>
      <c r="W516" s="169"/>
      <c r="X516" s="169"/>
      <c r="Y516" s="169"/>
      <c r="Z516" s="169"/>
      <c r="AA516" s="169"/>
      <c r="AB516" s="169"/>
      <c r="AC516" s="169"/>
      <c r="AD516" s="169"/>
      <c r="AE516" s="170"/>
      <c r="AF516" s="169"/>
      <c r="AG516" s="169"/>
      <c r="AH516" s="169"/>
      <c r="AI516" s="916"/>
    </row>
    <row r="517" spans="1:35" ht="15" customHeight="1" x14ac:dyDescent="0.25">
      <c r="A517" s="917"/>
      <c r="B517" s="439"/>
      <c r="C517" s="453"/>
      <c r="D517" s="565"/>
      <c r="E517" s="865"/>
      <c r="F517" s="865"/>
      <c r="G517" s="336">
        <v>67</v>
      </c>
      <c r="H517" s="81" t="s">
        <v>666</v>
      </c>
      <c r="I517" s="81"/>
      <c r="J517" s="81"/>
      <c r="K517" s="312"/>
      <c r="L517" s="312"/>
      <c r="M517" s="81"/>
      <c r="N517" s="88"/>
      <c r="O517" s="81"/>
      <c r="P517" s="81"/>
      <c r="Q517" s="176"/>
      <c r="R517" s="176"/>
      <c r="S517" s="176"/>
      <c r="T517" s="176"/>
      <c r="U517" s="176"/>
      <c r="V517" s="176"/>
      <c r="W517" s="176"/>
      <c r="X517" s="176"/>
      <c r="Y517" s="176"/>
      <c r="Z517" s="176"/>
      <c r="AA517" s="176"/>
      <c r="AB517" s="176"/>
      <c r="AC517" s="176"/>
      <c r="AD517" s="176"/>
      <c r="AE517" s="177"/>
      <c r="AF517" s="176"/>
      <c r="AG517" s="176"/>
      <c r="AH517" s="176"/>
      <c r="AI517" s="918"/>
    </row>
    <row r="518" spans="1:35" s="24" customFormat="1" ht="72.75" customHeight="1" x14ac:dyDescent="0.25">
      <c r="A518" s="917"/>
      <c r="B518" s="440"/>
      <c r="C518" s="1157">
        <v>35</v>
      </c>
      <c r="D518" s="1160" t="s">
        <v>667</v>
      </c>
      <c r="E518" s="1160" t="s">
        <v>668</v>
      </c>
      <c r="F518" s="1160" t="s">
        <v>669</v>
      </c>
      <c r="G518" s="145"/>
      <c r="H518" s="845">
        <v>198</v>
      </c>
      <c r="I518" s="565" t="s">
        <v>670</v>
      </c>
      <c r="J518" s="865">
        <v>1</v>
      </c>
      <c r="K518" s="266">
        <v>1</v>
      </c>
      <c r="L518" s="778">
        <v>0.9</v>
      </c>
      <c r="M518" s="1099" t="s">
        <v>594</v>
      </c>
      <c r="N518" s="1101" t="s">
        <v>671</v>
      </c>
      <c r="O518" s="1099" t="s">
        <v>672</v>
      </c>
      <c r="P518" s="865" t="s">
        <v>46</v>
      </c>
      <c r="Q518" s="9"/>
      <c r="R518" s="546"/>
      <c r="S518" s="9"/>
      <c r="T518" s="9"/>
      <c r="U518" s="9"/>
      <c r="V518" s="9"/>
      <c r="W518" s="9"/>
      <c r="X518" s="9"/>
      <c r="Y518" s="9"/>
      <c r="Z518" s="9"/>
      <c r="AA518" s="9"/>
      <c r="AB518" s="9"/>
      <c r="AC518" s="9"/>
      <c r="AD518" s="61"/>
      <c r="AE518" s="60">
        <v>43828198</v>
      </c>
      <c r="AF518" s="61"/>
      <c r="AG518" s="61"/>
      <c r="AH518" s="61"/>
      <c r="AI518" s="901">
        <f>+Q518+R518+S518+T518+U518+V518+W518+X518+Y518+Z518+AA518+AB518+AC518+AD518+AE518+AF518+AG518+AH518</f>
        <v>43828198</v>
      </c>
    </row>
    <row r="519" spans="1:35" s="24" customFormat="1" ht="66" customHeight="1" x14ac:dyDescent="0.25">
      <c r="A519" s="917"/>
      <c r="B519" s="440"/>
      <c r="C519" s="1158"/>
      <c r="D519" s="1161"/>
      <c r="E519" s="1161"/>
      <c r="F519" s="1161"/>
      <c r="G519" s="3"/>
      <c r="H519" s="865">
        <v>199</v>
      </c>
      <c r="I519" s="565" t="s">
        <v>673</v>
      </c>
      <c r="J519" s="865">
        <v>0</v>
      </c>
      <c r="K519" s="266">
        <v>4</v>
      </c>
      <c r="L519" s="778">
        <v>3.5</v>
      </c>
      <c r="M519" s="1100"/>
      <c r="N519" s="1102"/>
      <c r="O519" s="1100"/>
      <c r="P519" s="865" t="s">
        <v>46</v>
      </c>
      <c r="Q519" s="9"/>
      <c r="R519" s="546"/>
      <c r="S519" s="9"/>
      <c r="T519" s="9"/>
      <c r="U519" s="9"/>
      <c r="V519" s="9"/>
      <c r="W519" s="9"/>
      <c r="X519" s="9"/>
      <c r="Y519" s="9"/>
      <c r="Z519" s="9"/>
      <c r="AA519" s="9"/>
      <c r="AB519" s="9"/>
      <c r="AC519" s="9"/>
      <c r="AD519" s="61"/>
      <c r="AE519" s="60">
        <f>36750000+3250000</f>
        <v>40000000</v>
      </c>
      <c r="AF519" s="61"/>
      <c r="AG519" s="61"/>
      <c r="AH519" s="61"/>
      <c r="AI519" s="901">
        <f>+Q519+R519+S519+T519+U519+V519+W519+X519+Y519+Z519+AA519+AB519+AC519+AD519+AE519+AF519+AG519+AH519</f>
        <v>40000000</v>
      </c>
    </row>
    <row r="520" spans="1:35" ht="33" customHeight="1" x14ac:dyDescent="0.25">
      <c r="A520" s="917"/>
      <c r="B520" s="440"/>
      <c r="C520" s="1158"/>
      <c r="D520" s="1161"/>
      <c r="E520" s="1161"/>
      <c r="F520" s="1161"/>
      <c r="G520" s="3"/>
      <c r="H520" s="845">
        <v>200</v>
      </c>
      <c r="I520" s="565" t="s">
        <v>674</v>
      </c>
      <c r="J520" s="865">
        <v>12</v>
      </c>
      <c r="K520" s="266">
        <v>12</v>
      </c>
      <c r="L520" s="266">
        <v>12</v>
      </c>
      <c r="M520" s="1100"/>
      <c r="N520" s="1102"/>
      <c r="O520" s="1100"/>
      <c r="P520" s="865" t="s">
        <v>46</v>
      </c>
      <c r="Q520" s="61"/>
      <c r="R520" s="640">
        <f>1111986335+56086989</f>
        <v>1168073324</v>
      </c>
      <c r="S520" s="9"/>
      <c r="T520" s="9"/>
      <c r="U520" s="9"/>
      <c r="V520" s="9"/>
      <c r="W520" s="9"/>
      <c r="X520" s="9"/>
      <c r="Y520" s="9"/>
      <c r="Z520" s="9"/>
      <c r="AA520" s="9"/>
      <c r="AB520" s="9"/>
      <c r="AC520" s="9"/>
      <c r="AD520" s="9"/>
      <c r="AE520" s="60">
        <v>0</v>
      </c>
      <c r="AF520" s="61"/>
      <c r="AG520" s="61"/>
      <c r="AH520" s="61"/>
      <c r="AI520" s="901">
        <f>+Q520+R520+S520+T520+U520+V520+W520+X520+Y520+Z520+AA520+AB520+AC520+AD520+AE520+AF520+AG520+AH520</f>
        <v>1168073324</v>
      </c>
    </row>
    <row r="521" spans="1:35" ht="36.75" customHeight="1" x14ac:dyDescent="0.25">
      <c r="A521" s="917"/>
      <c r="B521" s="440"/>
      <c r="C521" s="1159"/>
      <c r="D521" s="1162"/>
      <c r="E521" s="1162"/>
      <c r="F521" s="1162"/>
      <c r="G521" s="72"/>
      <c r="H521" s="845">
        <v>201</v>
      </c>
      <c r="I521" s="565" t="s">
        <v>675</v>
      </c>
      <c r="J521" s="865">
        <v>14</v>
      </c>
      <c r="K521" s="266">
        <v>14</v>
      </c>
      <c r="L521" s="266">
        <v>14</v>
      </c>
      <c r="M521" s="1148"/>
      <c r="N521" s="1149"/>
      <c r="O521" s="1148"/>
      <c r="P521" s="865" t="s">
        <v>46</v>
      </c>
      <c r="Q521" s="61"/>
      <c r="R521" s="640">
        <f>2594634781+130869640</f>
        <v>2725504421</v>
      </c>
      <c r="S521" s="9"/>
      <c r="T521" s="9"/>
      <c r="U521" s="9"/>
      <c r="V521" s="9"/>
      <c r="W521" s="9"/>
      <c r="X521" s="9"/>
      <c r="Y521" s="9"/>
      <c r="Z521" s="9"/>
      <c r="AA521" s="9"/>
      <c r="AB521" s="9"/>
      <c r="AC521" s="9"/>
      <c r="AD521" s="9"/>
      <c r="AE521" s="60">
        <v>0</v>
      </c>
      <c r="AF521" s="61"/>
      <c r="AG521" s="61"/>
      <c r="AH521" s="61"/>
      <c r="AI521" s="901">
        <f>+Q521+R521+S521+T521+U521+V521+W521+X521+Y521+Z521+AA521+AB521+AC521+AD521+AE521+AF521+AG521+AH521</f>
        <v>2725504421</v>
      </c>
    </row>
    <row r="522" spans="1:35" ht="24.95" customHeight="1" x14ac:dyDescent="0.25">
      <c r="A522" s="917"/>
      <c r="B522" s="448"/>
      <c r="C522" s="454"/>
      <c r="D522" s="565"/>
      <c r="E522" s="865"/>
      <c r="F522" s="865"/>
      <c r="G522" s="147"/>
      <c r="H522" s="148"/>
      <c r="I522" s="147"/>
      <c r="J522" s="148"/>
      <c r="K522" s="307"/>
      <c r="L522" s="307"/>
      <c r="M522" s="148"/>
      <c r="N522" s="584"/>
      <c r="O522" s="455"/>
      <c r="P522" s="148"/>
      <c r="Q522" s="150"/>
      <c r="R522" s="150">
        <f>SUM(R518:R521)</f>
        <v>3893577745</v>
      </c>
      <c r="S522" s="150"/>
      <c r="T522" s="150"/>
      <c r="U522" s="150"/>
      <c r="V522" s="150"/>
      <c r="W522" s="150"/>
      <c r="X522" s="150"/>
      <c r="Y522" s="150"/>
      <c r="Z522" s="150"/>
      <c r="AA522" s="150"/>
      <c r="AB522" s="150"/>
      <c r="AC522" s="150"/>
      <c r="AD522" s="150"/>
      <c r="AE522" s="54">
        <f>SUM(AE518:AE521)</f>
        <v>83828198</v>
      </c>
      <c r="AF522" s="150"/>
      <c r="AG522" s="150"/>
      <c r="AH522" s="150"/>
      <c r="AI522" s="904">
        <f>SUM(AI518:AI521)</f>
        <v>3977405943</v>
      </c>
    </row>
    <row r="523" spans="1:35" ht="24.95" customHeight="1" x14ac:dyDescent="0.25">
      <c r="A523" s="938"/>
      <c r="B523" s="210"/>
      <c r="C523" s="152"/>
      <c r="D523" s="151"/>
      <c r="E523" s="152"/>
      <c r="F523" s="152"/>
      <c r="G523" s="151"/>
      <c r="H523" s="152"/>
      <c r="I523" s="151"/>
      <c r="J523" s="152"/>
      <c r="K523" s="327"/>
      <c r="L523" s="327"/>
      <c r="M523" s="152"/>
      <c r="N523" s="585"/>
      <c r="O523" s="456"/>
      <c r="P523" s="152"/>
      <c r="Q523" s="154"/>
      <c r="R523" s="154">
        <f>R522</f>
        <v>3893577745</v>
      </c>
      <c r="S523" s="154"/>
      <c r="T523" s="154"/>
      <c r="U523" s="154"/>
      <c r="V523" s="154"/>
      <c r="W523" s="154"/>
      <c r="X523" s="154"/>
      <c r="Y523" s="154"/>
      <c r="Z523" s="154"/>
      <c r="AA523" s="154"/>
      <c r="AB523" s="154"/>
      <c r="AC523" s="154"/>
      <c r="AD523" s="154"/>
      <c r="AE523" s="238">
        <f>AE522</f>
        <v>83828198</v>
      </c>
      <c r="AF523" s="154"/>
      <c r="AG523" s="154"/>
      <c r="AH523" s="154"/>
      <c r="AI523" s="906">
        <f>AI522</f>
        <v>3977405943</v>
      </c>
    </row>
    <row r="524" spans="1:35" ht="24.95" customHeight="1" x14ac:dyDescent="0.25">
      <c r="A524" s="907"/>
      <c r="B524" s="155"/>
      <c r="C524" s="67"/>
      <c r="D524" s="155"/>
      <c r="E524" s="67"/>
      <c r="F524" s="67"/>
      <c r="G524" s="155"/>
      <c r="H524" s="67"/>
      <c r="I524" s="155"/>
      <c r="J524" s="67"/>
      <c r="K524" s="330"/>
      <c r="L524" s="330"/>
      <c r="M524" s="67"/>
      <c r="N524" s="586"/>
      <c r="O524" s="68"/>
      <c r="P524" s="67"/>
      <c r="Q524" s="157"/>
      <c r="R524" s="157">
        <f>R523+R514+R490+R468</f>
        <v>3893577745</v>
      </c>
      <c r="S524" s="157"/>
      <c r="T524" s="157"/>
      <c r="U524" s="157"/>
      <c r="V524" s="157"/>
      <c r="W524" s="157"/>
      <c r="X524" s="157"/>
      <c r="Y524" s="157"/>
      <c r="Z524" s="157"/>
      <c r="AA524" s="157"/>
      <c r="AB524" s="157"/>
      <c r="AC524" s="157"/>
      <c r="AD524" s="157"/>
      <c r="AE524" s="240">
        <f>AE523+AE514+AE490+AE468</f>
        <v>2763588198</v>
      </c>
      <c r="AF524" s="157"/>
      <c r="AG524" s="157"/>
      <c r="AH524" s="157"/>
      <c r="AI524" s="908">
        <f>AI523+AI514+AI490+AI468</f>
        <v>6657165943</v>
      </c>
    </row>
    <row r="525" spans="1:35" ht="24.95" customHeight="1" x14ac:dyDescent="0.25">
      <c r="A525" s="909"/>
      <c r="B525" s="158"/>
      <c r="C525" s="159"/>
      <c r="D525" s="158"/>
      <c r="E525" s="159"/>
      <c r="F525" s="159"/>
      <c r="G525" s="158"/>
      <c r="H525" s="159"/>
      <c r="I525" s="457"/>
      <c r="J525" s="160"/>
      <c r="K525" s="435"/>
      <c r="L525" s="435"/>
      <c r="M525" s="160"/>
      <c r="N525" s="587"/>
      <c r="O525" s="158"/>
      <c r="P525" s="159"/>
      <c r="Q525" s="11"/>
      <c r="R525" s="11">
        <f>+R524</f>
        <v>3893577745</v>
      </c>
      <c r="S525" s="11"/>
      <c r="T525" s="11"/>
      <c r="U525" s="11"/>
      <c r="V525" s="11"/>
      <c r="W525" s="11"/>
      <c r="X525" s="11"/>
      <c r="Y525" s="11"/>
      <c r="Z525" s="11"/>
      <c r="AA525" s="11"/>
      <c r="AB525" s="11"/>
      <c r="AC525" s="11"/>
      <c r="AD525" s="11"/>
      <c r="AE525" s="242">
        <f>+AE524</f>
        <v>2763588198</v>
      </c>
      <c r="AF525" s="11"/>
      <c r="AG525" s="11"/>
      <c r="AH525" s="11"/>
      <c r="AI525" s="910">
        <f>+AI524</f>
        <v>6657165943</v>
      </c>
    </row>
    <row r="526" spans="1:35" ht="28.5" customHeight="1" x14ac:dyDescent="0.25">
      <c r="A526" s="911"/>
      <c r="B526" s="161"/>
      <c r="C526" s="845"/>
      <c r="D526" s="161"/>
      <c r="E526" s="845"/>
      <c r="F526" s="845"/>
      <c r="G526" s="161"/>
      <c r="H526" s="845"/>
      <c r="I526" s="203"/>
      <c r="J526" s="162"/>
      <c r="K526" s="315"/>
      <c r="L526" s="315"/>
      <c r="M526" s="162"/>
      <c r="N526" s="21"/>
      <c r="O526" s="161"/>
      <c r="P526" s="845"/>
      <c r="Q526" s="12"/>
      <c r="R526" s="163"/>
      <c r="S526" s="12"/>
      <c r="T526" s="12"/>
      <c r="U526" s="12"/>
      <c r="V526" s="12"/>
      <c r="W526" s="12"/>
      <c r="X526" s="12"/>
      <c r="Y526" s="12"/>
      <c r="Z526" s="12"/>
      <c r="AA526" s="163"/>
      <c r="AB526" s="163"/>
      <c r="AC526" s="12"/>
      <c r="AD526" s="12"/>
      <c r="AE526" s="64"/>
      <c r="AF526" s="12"/>
      <c r="AG526" s="12"/>
      <c r="AH526" s="12"/>
      <c r="AI526" s="939"/>
    </row>
    <row r="527" spans="1:35" s="24" customFormat="1" ht="24.95" customHeight="1" x14ac:dyDescent="0.25">
      <c r="A527" s="891" t="s">
        <v>676</v>
      </c>
      <c r="B527" s="22"/>
      <c r="C527" s="23"/>
      <c r="D527" s="22"/>
      <c r="E527" s="22"/>
      <c r="F527" s="22"/>
      <c r="G527" s="22"/>
      <c r="H527" s="23"/>
      <c r="I527" s="22"/>
      <c r="J527" s="22"/>
      <c r="K527" s="31"/>
      <c r="L527" s="31"/>
      <c r="M527" s="22"/>
      <c r="N527" s="13"/>
      <c r="O527" s="22"/>
      <c r="P527" s="23"/>
      <c r="Q527" s="164"/>
      <c r="R527" s="164"/>
      <c r="S527" s="164"/>
      <c r="T527" s="164"/>
      <c r="U527" s="164"/>
      <c r="V527" s="164"/>
      <c r="W527" s="164"/>
      <c r="X527" s="164"/>
      <c r="Y527" s="164"/>
      <c r="Z527" s="164"/>
      <c r="AA527" s="164"/>
      <c r="AB527" s="164"/>
      <c r="AC527" s="164"/>
      <c r="AD527" s="164"/>
      <c r="AE527" s="165"/>
      <c r="AF527" s="164"/>
      <c r="AG527" s="164"/>
      <c r="AH527" s="164"/>
      <c r="AI527" s="913"/>
    </row>
    <row r="528" spans="1:35" s="24" customFormat="1" ht="24.95" customHeight="1" x14ac:dyDescent="0.25">
      <c r="A528" s="893">
        <v>5</v>
      </c>
      <c r="B528" s="77" t="s">
        <v>30</v>
      </c>
      <c r="C528" s="139"/>
      <c r="D528" s="77"/>
      <c r="E528" s="77"/>
      <c r="F528" s="77"/>
      <c r="G528" s="77"/>
      <c r="H528" s="139"/>
      <c r="I528" s="77"/>
      <c r="J528" s="77"/>
      <c r="K528" s="335"/>
      <c r="L528" s="335"/>
      <c r="M528" s="77"/>
      <c r="N528" s="14"/>
      <c r="O528" s="77"/>
      <c r="P528" s="77"/>
      <c r="Q528" s="166"/>
      <c r="R528" s="166"/>
      <c r="S528" s="166"/>
      <c r="T528" s="166"/>
      <c r="U528" s="166"/>
      <c r="V528" s="166"/>
      <c r="W528" s="166"/>
      <c r="X528" s="166"/>
      <c r="Y528" s="166"/>
      <c r="Z528" s="166"/>
      <c r="AA528" s="166"/>
      <c r="AB528" s="166"/>
      <c r="AC528" s="166"/>
      <c r="AD528" s="166"/>
      <c r="AE528" s="167"/>
      <c r="AF528" s="166"/>
      <c r="AG528" s="166"/>
      <c r="AH528" s="166"/>
      <c r="AI528" s="914"/>
    </row>
    <row r="529" spans="1:35" s="24" customFormat="1" ht="24.95" customHeight="1" x14ac:dyDescent="0.25">
      <c r="A529" s="915"/>
      <c r="B529" s="232">
        <v>26</v>
      </c>
      <c r="C529" s="837" t="s">
        <v>58</v>
      </c>
      <c r="D529" s="87"/>
      <c r="E529" s="87"/>
      <c r="F529" s="87"/>
      <c r="G529" s="87"/>
      <c r="H529" s="838"/>
      <c r="I529" s="87"/>
      <c r="J529" s="87"/>
      <c r="K529" s="319"/>
      <c r="L529" s="319"/>
      <c r="M529" s="87"/>
      <c r="N529" s="15"/>
      <c r="O529" s="87"/>
      <c r="P529" s="87"/>
      <c r="Q529" s="169"/>
      <c r="R529" s="169"/>
      <c r="S529" s="169"/>
      <c r="T529" s="169"/>
      <c r="U529" s="169"/>
      <c r="V529" s="169"/>
      <c r="W529" s="169"/>
      <c r="X529" s="169"/>
      <c r="Y529" s="169"/>
      <c r="Z529" s="169"/>
      <c r="AA529" s="169"/>
      <c r="AB529" s="169"/>
      <c r="AC529" s="169"/>
      <c r="AD529" s="169"/>
      <c r="AE529" s="170"/>
      <c r="AF529" s="169"/>
      <c r="AG529" s="169"/>
      <c r="AH529" s="169"/>
      <c r="AI529" s="916"/>
    </row>
    <row r="530" spans="1:35" s="24" customFormat="1" ht="24.95" customHeight="1" x14ac:dyDescent="0.25">
      <c r="A530" s="917"/>
      <c r="B530" s="172"/>
      <c r="C530" s="845"/>
      <c r="D530" s="161"/>
      <c r="E530" s="845"/>
      <c r="F530" s="846"/>
      <c r="G530" s="336">
        <v>83</v>
      </c>
      <c r="H530" s="81" t="s">
        <v>59</v>
      </c>
      <c r="I530" s="81"/>
      <c r="J530" s="81"/>
      <c r="K530" s="312"/>
      <c r="L530" s="312"/>
      <c r="M530" s="81"/>
      <c r="N530" s="88"/>
      <c r="O530" s="81"/>
      <c r="P530" s="81"/>
      <c r="Q530" s="176"/>
      <c r="R530" s="176"/>
      <c r="S530" s="176"/>
      <c r="T530" s="176"/>
      <c r="U530" s="176"/>
      <c r="V530" s="176"/>
      <c r="W530" s="176"/>
      <c r="X530" s="176"/>
      <c r="Y530" s="176"/>
      <c r="Z530" s="176"/>
      <c r="AA530" s="176"/>
      <c r="AB530" s="176"/>
      <c r="AC530" s="176"/>
      <c r="AD530" s="176"/>
      <c r="AE530" s="177"/>
      <c r="AF530" s="176"/>
      <c r="AG530" s="176"/>
      <c r="AH530" s="176"/>
      <c r="AI530" s="918"/>
    </row>
    <row r="531" spans="1:35" s="38" customFormat="1" ht="42.75" x14ac:dyDescent="0.25">
      <c r="A531" s="917"/>
      <c r="B531" s="144"/>
      <c r="C531" s="846">
        <v>37</v>
      </c>
      <c r="D531" s="265" t="s">
        <v>677</v>
      </c>
      <c r="E531" s="446">
        <v>0.54610000000000003</v>
      </c>
      <c r="F531" s="451">
        <v>0.6</v>
      </c>
      <c r="G531" s="72"/>
      <c r="H531" s="865">
        <v>243</v>
      </c>
      <c r="I531" s="565" t="s">
        <v>678</v>
      </c>
      <c r="J531" s="1" t="s">
        <v>36</v>
      </c>
      <c r="K531" s="313">
        <v>6</v>
      </c>
      <c r="L531" s="313">
        <v>6</v>
      </c>
      <c r="M531" s="565" t="s">
        <v>445</v>
      </c>
      <c r="N531" s="568" t="s">
        <v>679</v>
      </c>
      <c r="O531" s="565" t="s">
        <v>680</v>
      </c>
      <c r="P531" s="865" t="s">
        <v>40</v>
      </c>
      <c r="Q531" s="9"/>
      <c r="R531" s="9"/>
      <c r="S531" s="9"/>
      <c r="T531" s="9"/>
      <c r="U531" s="9"/>
      <c r="V531" s="9"/>
      <c r="W531" s="9"/>
      <c r="X531" s="9"/>
      <c r="Y531" s="9"/>
      <c r="Z531" s="9"/>
      <c r="AA531" s="9"/>
      <c r="AB531" s="9"/>
      <c r="AC531" s="9"/>
      <c r="AD531" s="61"/>
      <c r="AE531" s="60">
        <v>71548128</v>
      </c>
      <c r="AF531" s="61"/>
      <c r="AG531" s="61"/>
      <c r="AH531" s="61"/>
      <c r="AI531" s="901">
        <f>+Q531+R531+S531+T531+U531+V531+W531+X531+Y531+Z531+AA531+AB531+AC531+AD531+AE531+AF531+AG531+AH531</f>
        <v>71548128</v>
      </c>
    </row>
    <row r="532" spans="1:35" ht="24.95" customHeight="1" x14ac:dyDescent="0.25">
      <c r="A532" s="917"/>
      <c r="B532" s="146"/>
      <c r="C532" s="858"/>
      <c r="D532" s="849"/>
      <c r="E532" s="853"/>
      <c r="F532" s="853"/>
      <c r="G532" s="406"/>
      <c r="H532" s="407"/>
      <c r="I532" s="147"/>
      <c r="J532" s="149"/>
      <c r="K532" s="314"/>
      <c r="L532" s="314"/>
      <c r="M532" s="149"/>
      <c r="N532" s="584"/>
      <c r="O532" s="147"/>
      <c r="P532" s="148"/>
      <c r="Q532" s="150"/>
      <c r="R532" s="150"/>
      <c r="S532" s="150"/>
      <c r="T532" s="150"/>
      <c r="U532" s="150"/>
      <c r="V532" s="150"/>
      <c r="W532" s="150"/>
      <c r="X532" s="150"/>
      <c r="Y532" s="150"/>
      <c r="Z532" s="150"/>
      <c r="AA532" s="150"/>
      <c r="AB532" s="150"/>
      <c r="AC532" s="150"/>
      <c r="AD532" s="150"/>
      <c r="AE532" s="54">
        <f>SUM(AE531:AE531)</f>
        <v>71548128</v>
      </c>
      <c r="AF532" s="150"/>
      <c r="AG532" s="150"/>
      <c r="AH532" s="150"/>
      <c r="AI532" s="904">
        <f>SUM(AI531:AI531)</f>
        <v>71548128</v>
      </c>
    </row>
    <row r="533" spans="1:35" ht="24.95" customHeight="1" x14ac:dyDescent="0.25">
      <c r="A533" s="938"/>
      <c r="B533" s="210"/>
      <c r="C533" s="152"/>
      <c r="D533" s="151"/>
      <c r="E533" s="152"/>
      <c r="F533" s="152"/>
      <c r="G533" s="151"/>
      <c r="H533" s="152"/>
      <c r="I533" s="151"/>
      <c r="J533" s="153"/>
      <c r="K533" s="318"/>
      <c r="L533" s="318"/>
      <c r="M533" s="153"/>
      <c r="N533" s="585"/>
      <c r="O533" s="151"/>
      <c r="P533" s="152"/>
      <c r="Q533" s="154"/>
      <c r="R533" s="154"/>
      <c r="S533" s="154"/>
      <c r="T533" s="154"/>
      <c r="U533" s="154"/>
      <c r="V533" s="154"/>
      <c r="W533" s="154"/>
      <c r="X533" s="154"/>
      <c r="Y533" s="154"/>
      <c r="Z533" s="154"/>
      <c r="AA533" s="154"/>
      <c r="AB533" s="154"/>
      <c r="AC533" s="154"/>
      <c r="AD533" s="154"/>
      <c r="AE533" s="238">
        <f>AE532</f>
        <v>71548128</v>
      </c>
      <c r="AF533" s="154"/>
      <c r="AG533" s="154"/>
      <c r="AH533" s="154"/>
      <c r="AI533" s="906">
        <f t="shared" ref="AI533:AI535" si="36">AI532</f>
        <v>71548128</v>
      </c>
    </row>
    <row r="534" spans="1:35" ht="24.95" customHeight="1" x14ac:dyDescent="0.25">
      <c r="A534" s="907"/>
      <c r="B534" s="155"/>
      <c r="C534" s="67"/>
      <c r="D534" s="155"/>
      <c r="E534" s="67"/>
      <c r="F534" s="67"/>
      <c r="G534" s="155"/>
      <c r="H534" s="67"/>
      <c r="I534" s="155"/>
      <c r="J534" s="156"/>
      <c r="K534" s="458"/>
      <c r="L534" s="458"/>
      <c r="M534" s="156"/>
      <c r="N534" s="586"/>
      <c r="O534" s="155"/>
      <c r="P534" s="67"/>
      <c r="Q534" s="157"/>
      <c r="R534" s="157"/>
      <c r="S534" s="157"/>
      <c r="T534" s="157"/>
      <c r="U534" s="157"/>
      <c r="V534" s="157"/>
      <c r="W534" s="157"/>
      <c r="X534" s="157"/>
      <c r="Y534" s="157"/>
      <c r="Z534" s="157"/>
      <c r="AA534" s="157"/>
      <c r="AB534" s="157"/>
      <c r="AC534" s="157"/>
      <c r="AD534" s="157"/>
      <c r="AE534" s="240">
        <f>AE533</f>
        <v>71548128</v>
      </c>
      <c r="AF534" s="157"/>
      <c r="AG534" s="157"/>
      <c r="AH534" s="157"/>
      <c r="AI534" s="908">
        <f t="shared" si="36"/>
        <v>71548128</v>
      </c>
    </row>
    <row r="535" spans="1:35" ht="24.95" customHeight="1" x14ac:dyDescent="0.25">
      <c r="A535" s="909"/>
      <c r="B535" s="158"/>
      <c r="C535" s="159"/>
      <c r="D535" s="158"/>
      <c r="E535" s="159"/>
      <c r="F535" s="159"/>
      <c r="G535" s="158"/>
      <c r="H535" s="159"/>
      <c r="I535" s="158"/>
      <c r="J535" s="160"/>
      <c r="K535" s="435"/>
      <c r="L535" s="435"/>
      <c r="M535" s="160"/>
      <c r="N535" s="587"/>
      <c r="O535" s="158"/>
      <c r="P535" s="159"/>
      <c r="Q535" s="11"/>
      <c r="R535" s="11"/>
      <c r="S535" s="11"/>
      <c r="T535" s="11"/>
      <c r="U535" s="11"/>
      <c r="V535" s="11"/>
      <c r="W535" s="11"/>
      <c r="X535" s="11"/>
      <c r="Y535" s="11"/>
      <c r="Z535" s="11"/>
      <c r="AA535" s="11"/>
      <c r="AB535" s="11"/>
      <c r="AC535" s="11"/>
      <c r="AD535" s="11"/>
      <c r="AE535" s="242">
        <f>AE534</f>
        <v>71548128</v>
      </c>
      <c r="AF535" s="11"/>
      <c r="AG535" s="11"/>
      <c r="AH535" s="11"/>
      <c r="AI535" s="910">
        <f t="shared" si="36"/>
        <v>71548128</v>
      </c>
    </row>
    <row r="536" spans="1:35" ht="27" customHeight="1" x14ac:dyDescent="0.25">
      <c r="A536" s="911"/>
      <c r="B536" s="161"/>
      <c r="C536" s="845"/>
      <c r="D536" s="161"/>
      <c r="E536" s="845"/>
      <c r="F536" s="845"/>
      <c r="G536" s="161"/>
      <c r="H536" s="845"/>
      <c r="I536" s="161"/>
      <c r="J536" s="162"/>
      <c r="K536" s="315"/>
      <c r="L536" s="315"/>
      <c r="M536" s="162"/>
      <c r="N536" s="21"/>
      <c r="O536" s="161"/>
      <c r="P536" s="845"/>
      <c r="Q536" s="12"/>
      <c r="R536" s="163"/>
      <c r="S536" s="12"/>
      <c r="T536" s="12"/>
      <c r="U536" s="12"/>
      <c r="V536" s="12"/>
      <c r="W536" s="12"/>
      <c r="X536" s="12"/>
      <c r="Y536" s="12"/>
      <c r="Z536" s="12"/>
      <c r="AA536" s="163"/>
      <c r="AB536" s="163"/>
      <c r="AC536" s="12"/>
      <c r="AD536" s="12"/>
      <c r="AE536" s="64"/>
      <c r="AF536" s="12"/>
      <c r="AG536" s="12"/>
      <c r="AH536" s="12"/>
      <c r="AI536" s="989"/>
    </row>
    <row r="537" spans="1:35" ht="24.95" customHeight="1" x14ac:dyDescent="0.25">
      <c r="A537" s="891" t="s">
        <v>1077</v>
      </c>
      <c r="B537" s="22"/>
      <c r="C537" s="23"/>
      <c r="D537" s="22"/>
      <c r="E537" s="22"/>
      <c r="F537" s="22"/>
      <c r="G537" s="22"/>
      <c r="H537" s="23"/>
      <c r="I537" s="22"/>
      <c r="J537" s="22"/>
      <c r="K537" s="31"/>
      <c r="L537" s="31"/>
      <c r="M537" s="22"/>
      <c r="N537" s="13"/>
      <c r="O537" s="22"/>
      <c r="P537" s="23"/>
      <c r="Q537" s="164"/>
      <c r="R537" s="164"/>
      <c r="S537" s="164"/>
      <c r="T537" s="164"/>
      <c r="U537" s="164"/>
      <c r="V537" s="164"/>
      <c r="W537" s="164"/>
      <c r="X537" s="164"/>
      <c r="Y537" s="164"/>
      <c r="Z537" s="164"/>
      <c r="AA537" s="164"/>
      <c r="AB537" s="164"/>
      <c r="AC537" s="164"/>
      <c r="AD537" s="164"/>
      <c r="AE537" s="165"/>
      <c r="AF537" s="164"/>
      <c r="AG537" s="164"/>
      <c r="AH537" s="164"/>
      <c r="AI537" s="913" t="s">
        <v>0</v>
      </c>
    </row>
    <row r="538" spans="1:35" ht="24.95" customHeight="1" x14ac:dyDescent="0.25">
      <c r="A538" s="893">
        <v>3</v>
      </c>
      <c r="B538" s="77" t="s">
        <v>429</v>
      </c>
      <c r="C538" s="139"/>
      <c r="D538" s="77"/>
      <c r="E538" s="77"/>
      <c r="F538" s="77"/>
      <c r="G538" s="77"/>
      <c r="H538" s="139"/>
      <c r="I538" s="77"/>
      <c r="J538" s="77"/>
      <c r="K538" s="335"/>
      <c r="L538" s="335"/>
      <c r="M538" s="77"/>
      <c r="N538" s="14"/>
      <c r="O538" s="77"/>
      <c r="P538" s="77"/>
      <c r="Q538" s="166"/>
      <c r="R538" s="166"/>
      <c r="S538" s="166"/>
      <c r="T538" s="166"/>
      <c r="U538" s="166"/>
      <c r="V538" s="166"/>
      <c r="W538" s="166"/>
      <c r="X538" s="166"/>
      <c r="Y538" s="166"/>
      <c r="Z538" s="166"/>
      <c r="AA538" s="166"/>
      <c r="AB538" s="166"/>
      <c r="AC538" s="166"/>
      <c r="AD538" s="166"/>
      <c r="AE538" s="167"/>
      <c r="AF538" s="166"/>
      <c r="AG538" s="166"/>
      <c r="AH538" s="166"/>
      <c r="AI538" s="914"/>
    </row>
    <row r="539" spans="1:35" ht="24.95" customHeight="1" x14ac:dyDescent="0.25">
      <c r="A539" s="915"/>
      <c r="B539" s="232">
        <v>11</v>
      </c>
      <c r="C539" s="837" t="s">
        <v>430</v>
      </c>
      <c r="D539" s="87"/>
      <c r="E539" s="87"/>
      <c r="F539" s="87"/>
      <c r="G539" s="87"/>
      <c r="H539" s="838"/>
      <c r="I539" s="87"/>
      <c r="J539" s="87"/>
      <c r="K539" s="319"/>
      <c r="L539" s="319"/>
      <c r="M539" s="87"/>
      <c r="N539" s="15"/>
      <c r="O539" s="87"/>
      <c r="P539" s="87"/>
      <c r="Q539" s="169"/>
      <c r="R539" s="169"/>
      <c r="S539" s="169"/>
      <c r="T539" s="169"/>
      <c r="U539" s="169"/>
      <c r="V539" s="169"/>
      <c r="W539" s="169"/>
      <c r="X539" s="169"/>
      <c r="Y539" s="169"/>
      <c r="Z539" s="169"/>
      <c r="AA539" s="169"/>
      <c r="AB539" s="169"/>
      <c r="AC539" s="169"/>
      <c r="AD539" s="169"/>
      <c r="AE539" s="170"/>
      <c r="AF539" s="169"/>
      <c r="AG539" s="169"/>
      <c r="AH539" s="169"/>
      <c r="AI539" s="916"/>
    </row>
    <row r="540" spans="1:35" ht="24.95" customHeight="1" x14ac:dyDescent="0.25">
      <c r="A540" s="917"/>
      <c r="B540" s="172"/>
      <c r="C540" s="566"/>
      <c r="D540" s="216"/>
      <c r="E540" s="566"/>
      <c r="F540" s="856"/>
      <c r="G540" s="336">
        <v>35</v>
      </c>
      <c r="H540" s="78" t="s">
        <v>682</v>
      </c>
      <c r="I540" s="78"/>
      <c r="J540" s="78"/>
      <c r="K540" s="444"/>
      <c r="L540" s="444"/>
      <c r="M540" s="78"/>
      <c r="N540" s="88"/>
      <c r="O540" s="78"/>
      <c r="P540" s="78"/>
      <c r="Q540" s="176"/>
      <c r="R540" s="176"/>
      <c r="S540" s="176"/>
      <c r="T540" s="176"/>
      <c r="U540" s="176"/>
      <c r="V540" s="176"/>
      <c r="W540" s="176"/>
      <c r="X540" s="176"/>
      <c r="Y540" s="176"/>
      <c r="Z540" s="176"/>
      <c r="AA540" s="176"/>
      <c r="AB540" s="176"/>
      <c r="AC540" s="176"/>
      <c r="AD540" s="176"/>
      <c r="AE540" s="177"/>
      <c r="AF540" s="176"/>
      <c r="AG540" s="176"/>
      <c r="AH540" s="176"/>
      <c r="AI540" s="918"/>
    </row>
    <row r="541" spans="1:35" ht="57" x14ac:dyDescent="0.25">
      <c r="A541" s="917"/>
      <c r="B541" s="325"/>
      <c r="C541" s="459"/>
      <c r="D541" s="460"/>
      <c r="E541" s="460"/>
      <c r="F541" s="460"/>
      <c r="G541" s="353"/>
      <c r="H541" s="846">
        <v>127</v>
      </c>
      <c r="I541" s="565" t="s">
        <v>683</v>
      </c>
      <c r="J541" s="865" t="s">
        <v>36</v>
      </c>
      <c r="K541" s="266">
        <v>1</v>
      </c>
      <c r="L541" s="778">
        <v>0.8</v>
      </c>
      <c r="M541" s="1157" t="s">
        <v>684</v>
      </c>
      <c r="N541" s="1101" t="s">
        <v>685</v>
      </c>
      <c r="O541" s="1099" t="s">
        <v>686</v>
      </c>
      <c r="P541" s="865" t="s">
        <v>46</v>
      </c>
      <c r="Q541" s="9"/>
      <c r="R541" s="9"/>
      <c r="S541" s="9"/>
      <c r="T541" s="9"/>
      <c r="U541" s="9"/>
      <c r="V541" s="9"/>
      <c r="W541" s="9"/>
      <c r="X541" s="46">
        <f>28000000+35000000</f>
        <v>63000000</v>
      </c>
      <c r="Y541" s="9"/>
      <c r="Z541" s="461"/>
      <c r="AA541" s="9"/>
      <c r="AB541" s="9"/>
      <c r="AC541" s="9"/>
      <c r="AD541" s="9"/>
      <c r="AE541" s="60">
        <v>0</v>
      </c>
      <c r="AF541" s="61"/>
      <c r="AG541" s="61"/>
      <c r="AH541" s="61"/>
      <c r="AI541" s="901">
        <f>+Q541+R541+S541+T541+U541+V541+W541+X541+Y541+Z541+AA541+AB541+AC541+AD541+AE541+AF541+AG541+AH541</f>
        <v>63000000</v>
      </c>
    </row>
    <row r="542" spans="1:35" ht="42.75" x14ac:dyDescent="0.25">
      <c r="A542" s="917"/>
      <c r="B542" s="325"/>
      <c r="C542" s="852">
        <v>24</v>
      </c>
      <c r="D542" s="833" t="s">
        <v>687</v>
      </c>
      <c r="E542" s="855" t="s">
        <v>688</v>
      </c>
      <c r="F542" s="855" t="s">
        <v>688</v>
      </c>
      <c r="G542" s="6"/>
      <c r="H542" s="846">
        <v>128</v>
      </c>
      <c r="I542" s="565" t="s">
        <v>689</v>
      </c>
      <c r="J542" s="865">
        <v>1</v>
      </c>
      <c r="K542" s="266">
        <v>1</v>
      </c>
      <c r="L542" s="337">
        <v>0.75</v>
      </c>
      <c r="M542" s="1158"/>
      <c r="N542" s="1102"/>
      <c r="O542" s="1100"/>
      <c r="P542" s="865" t="s">
        <v>46</v>
      </c>
      <c r="Q542" s="9"/>
      <c r="R542" s="9"/>
      <c r="S542" s="9"/>
      <c r="T542" s="9"/>
      <c r="U542" s="9"/>
      <c r="V542" s="9"/>
      <c r="W542" s="9"/>
      <c r="X542" s="46">
        <f>28000000+13000000</f>
        <v>41000000</v>
      </c>
      <c r="Y542" s="9"/>
      <c r="Z542" s="461"/>
      <c r="AA542" s="9"/>
      <c r="AB542" s="9"/>
      <c r="AC542" s="9"/>
      <c r="AD542" s="9"/>
      <c r="AE542" s="60">
        <v>0</v>
      </c>
      <c r="AF542" s="61"/>
      <c r="AG542" s="61"/>
      <c r="AH542" s="61"/>
      <c r="AI542" s="901">
        <f>+Q542+R542+S542+T542+U542+V542+W542+X542+Y542+Z542+AA542+AB542+AC542+AD542+AE542+AF542+AG542+AH542</f>
        <v>41000000</v>
      </c>
    </row>
    <row r="543" spans="1:35" ht="28.5" x14ac:dyDescent="0.25">
      <c r="A543" s="917"/>
      <c r="B543" s="325"/>
      <c r="C543" s="853"/>
      <c r="D543" s="849"/>
      <c r="E543" s="853"/>
      <c r="F543" s="853"/>
      <c r="G543" s="354"/>
      <c r="H543" s="846">
        <v>129</v>
      </c>
      <c r="I543" s="565" t="s">
        <v>690</v>
      </c>
      <c r="J543" s="865" t="s">
        <v>36</v>
      </c>
      <c r="K543" s="266">
        <v>6</v>
      </c>
      <c r="L543" s="266">
        <v>5</v>
      </c>
      <c r="M543" s="1159"/>
      <c r="N543" s="1149"/>
      <c r="O543" s="1148"/>
      <c r="P543" s="865" t="s">
        <v>46</v>
      </c>
      <c r="Q543" s="9"/>
      <c r="R543" s="9"/>
      <c r="S543" s="9"/>
      <c r="T543" s="9"/>
      <c r="U543" s="9"/>
      <c r="V543" s="9"/>
      <c r="W543" s="9"/>
      <c r="X543" s="46">
        <f>70000000+22000000</f>
        <v>92000000</v>
      </c>
      <c r="Y543" s="9"/>
      <c r="Z543" s="990"/>
      <c r="AA543" s="9"/>
      <c r="AB543" s="9"/>
      <c r="AC543" s="9"/>
      <c r="AD543" s="9"/>
      <c r="AE543" s="60">
        <v>0</v>
      </c>
      <c r="AF543" s="61"/>
      <c r="AG543" s="61"/>
      <c r="AH543" s="61"/>
      <c r="AI543" s="901">
        <f>+Q543+R543+S543+T543+U543+V543+W543+X543+Y543+Z543+AA543+AB543+AC543+AD543+AE543+AF543+AG543+AH543</f>
        <v>92000000</v>
      </c>
    </row>
    <row r="544" spans="1:35" ht="15" x14ac:dyDescent="0.25">
      <c r="A544" s="917"/>
      <c r="B544" s="146"/>
      <c r="C544" s="858"/>
      <c r="D544" s="849"/>
      <c r="E544" s="853"/>
      <c r="F544" s="853"/>
      <c r="G544" s="147"/>
      <c r="H544" s="148"/>
      <c r="I544" s="147"/>
      <c r="J544" s="148"/>
      <c r="K544" s="307"/>
      <c r="L544" s="307"/>
      <c r="M544" s="148"/>
      <c r="N544" s="584"/>
      <c r="O544" s="147"/>
      <c r="P544" s="148"/>
      <c r="Q544" s="150"/>
      <c r="R544" s="150"/>
      <c r="S544" s="150"/>
      <c r="T544" s="150"/>
      <c r="U544" s="150"/>
      <c r="V544" s="150"/>
      <c r="W544" s="150"/>
      <c r="X544" s="150">
        <f>SUM(X541:X543)</f>
        <v>196000000</v>
      </c>
      <c r="Y544" s="150"/>
      <c r="Z544" s="150"/>
      <c r="AA544" s="150"/>
      <c r="AB544" s="150"/>
      <c r="AC544" s="150"/>
      <c r="AD544" s="150"/>
      <c r="AE544" s="54">
        <f>SUM(AE541:AE543)</f>
        <v>0</v>
      </c>
      <c r="AF544" s="150"/>
      <c r="AG544" s="150"/>
      <c r="AH544" s="150"/>
      <c r="AI544" s="904">
        <f>SUM(AI541:AI543)</f>
        <v>196000000</v>
      </c>
    </row>
    <row r="545" spans="1:35" ht="15" x14ac:dyDescent="0.25">
      <c r="A545" s="917"/>
      <c r="B545" s="210"/>
      <c r="C545" s="152"/>
      <c r="D545" s="151"/>
      <c r="E545" s="152"/>
      <c r="F545" s="152"/>
      <c r="G545" s="151"/>
      <c r="H545" s="152"/>
      <c r="I545" s="151"/>
      <c r="J545" s="152"/>
      <c r="K545" s="327"/>
      <c r="L545" s="327"/>
      <c r="M545" s="152"/>
      <c r="N545" s="585"/>
      <c r="O545" s="151"/>
      <c r="P545" s="152"/>
      <c r="Q545" s="154"/>
      <c r="R545" s="154"/>
      <c r="S545" s="154"/>
      <c r="T545" s="154"/>
      <c r="U545" s="154"/>
      <c r="V545" s="154"/>
      <c r="W545" s="154"/>
      <c r="X545" s="154">
        <f>X544</f>
        <v>196000000</v>
      </c>
      <c r="Y545" s="154"/>
      <c r="Z545" s="154"/>
      <c r="AA545" s="154"/>
      <c r="AB545" s="154"/>
      <c r="AC545" s="154"/>
      <c r="AD545" s="154"/>
      <c r="AE545" s="238">
        <f>AE544</f>
        <v>0</v>
      </c>
      <c r="AF545" s="154"/>
      <c r="AG545" s="154"/>
      <c r="AH545" s="154"/>
      <c r="AI545" s="906">
        <f>AI544</f>
        <v>196000000</v>
      </c>
    </row>
    <row r="546" spans="1:35" ht="15" x14ac:dyDescent="0.25">
      <c r="A546" s="917"/>
      <c r="B546" s="161"/>
      <c r="C546" s="845"/>
      <c r="D546" s="161"/>
      <c r="E546" s="845"/>
      <c r="F546" s="845"/>
      <c r="G546" s="161"/>
      <c r="H546" s="845"/>
      <c r="I546" s="161"/>
      <c r="J546" s="845"/>
      <c r="K546" s="309"/>
      <c r="L546" s="395"/>
      <c r="M546" s="566"/>
      <c r="N546" s="57"/>
      <c r="O546" s="216"/>
      <c r="P546" s="845"/>
      <c r="Q546" s="12"/>
      <c r="R546" s="12"/>
      <c r="S546" s="12"/>
      <c r="T546" s="12"/>
      <c r="U546" s="12"/>
      <c r="V546" s="12"/>
      <c r="W546" s="12"/>
      <c r="X546" s="12"/>
      <c r="Y546" s="12"/>
      <c r="Z546" s="12"/>
      <c r="AA546" s="12"/>
      <c r="AB546" s="12"/>
      <c r="AC546" s="12"/>
      <c r="AD546" s="12"/>
      <c r="AE546" s="189"/>
      <c r="AF546" s="12"/>
      <c r="AG546" s="12"/>
      <c r="AH546" s="12"/>
      <c r="AI546" s="921"/>
    </row>
    <row r="547" spans="1:35" x14ac:dyDescent="0.25">
      <c r="A547" s="917"/>
      <c r="B547" s="462">
        <v>12</v>
      </c>
      <c r="C547" s="837" t="s">
        <v>691</v>
      </c>
      <c r="D547" s="87"/>
      <c r="E547" s="87"/>
      <c r="F547" s="87"/>
      <c r="G547" s="87"/>
      <c r="H547" s="838"/>
      <c r="I547" s="87"/>
      <c r="J547" s="87"/>
      <c r="K547" s="319"/>
      <c r="L547" s="319"/>
      <c r="M547" s="87"/>
      <c r="N547" s="15"/>
      <c r="O547" s="87"/>
      <c r="P547" s="87"/>
      <c r="Q547" s="169"/>
      <c r="R547" s="169"/>
      <c r="S547" s="169"/>
      <c r="T547" s="169"/>
      <c r="U547" s="169"/>
      <c r="V547" s="169"/>
      <c r="W547" s="169"/>
      <c r="X547" s="169"/>
      <c r="Y547" s="169"/>
      <c r="Z547" s="169"/>
      <c r="AA547" s="169"/>
      <c r="AB547" s="169"/>
      <c r="AC547" s="169"/>
      <c r="AD547" s="169"/>
      <c r="AE547" s="170"/>
      <c r="AF547" s="169"/>
      <c r="AG547" s="169"/>
      <c r="AH547" s="169"/>
      <c r="AI547" s="916"/>
    </row>
    <row r="548" spans="1:35" ht="15" x14ac:dyDescent="0.25">
      <c r="A548" s="897"/>
      <c r="B548" s="144"/>
      <c r="C548" s="845"/>
      <c r="D548" s="161"/>
      <c r="E548" s="845"/>
      <c r="F548" s="846"/>
      <c r="G548" s="336">
        <v>36</v>
      </c>
      <c r="H548" s="81" t="s">
        <v>692</v>
      </c>
      <c r="I548" s="81"/>
      <c r="J548" s="81"/>
      <c r="K548" s="312"/>
      <c r="L548" s="312"/>
      <c r="M548" s="81"/>
      <c r="N548" s="88"/>
      <c r="O548" s="81"/>
      <c r="P548" s="81"/>
      <c r="Q548" s="176"/>
      <c r="R548" s="176"/>
      <c r="S548" s="176"/>
      <c r="T548" s="176"/>
      <c r="U548" s="176"/>
      <c r="V548" s="176"/>
      <c r="W548" s="176"/>
      <c r="X548" s="176"/>
      <c r="Y548" s="176"/>
      <c r="Z548" s="176"/>
      <c r="AA548" s="176"/>
      <c r="AB548" s="176"/>
      <c r="AC548" s="176"/>
      <c r="AD548" s="176"/>
      <c r="AE548" s="177"/>
      <c r="AF548" s="176"/>
      <c r="AG548" s="176"/>
      <c r="AH548" s="176"/>
      <c r="AI548" s="918"/>
    </row>
    <row r="549" spans="1:35" ht="42" customHeight="1" x14ac:dyDescent="0.25">
      <c r="A549" s="897"/>
      <c r="B549" s="144"/>
      <c r="C549" s="1163">
        <v>3</v>
      </c>
      <c r="D549" s="1099" t="s">
        <v>377</v>
      </c>
      <c r="E549" s="1157" t="s">
        <v>148</v>
      </c>
      <c r="F549" s="1157" t="s">
        <v>149</v>
      </c>
      <c r="G549" s="1157"/>
      <c r="H549" s="865">
        <v>130</v>
      </c>
      <c r="I549" s="565" t="s">
        <v>693</v>
      </c>
      <c r="J549" s="865">
        <v>0</v>
      </c>
      <c r="K549" s="266">
        <v>1</v>
      </c>
      <c r="L549" s="337">
        <v>0.65</v>
      </c>
      <c r="M549" s="1157">
        <v>2</v>
      </c>
      <c r="N549" s="1101" t="s">
        <v>694</v>
      </c>
      <c r="O549" s="1099" t="s">
        <v>695</v>
      </c>
      <c r="P549" s="865" t="s">
        <v>46</v>
      </c>
      <c r="Q549" s="9"/>
      <c r="R549" s="9"/>
      <c r="S549" s="9"/>
      <c r="T549" s="9"/>
      <c r="U549" s="9"/>
      <c r="V549" s="9"/>
      <c r="W549" s="9"/>
      <c r="X549" s="752">
        <f>60000000+10000000+24000000</f>
        <v>94000000</v>
      </c>
      <c r="Y549" s="9"/>
      <c r="Z549" s="9"/>
      <c r="AA549" s="9"/>
      <c r="AB549" s="9"/>
      <c r="AC549" s="9"/>
      <c r="AD549" s="9"/>
      <c r="AE549" s="60">
        <v>0</v>
      </c>
      <c r="AF549" s="61"/>
      <c r="AG549" s="61"/>
      <c r="AH549" s="61"/>
      <c r="AI549" s="901">
        <f>+Q549+R549+S549+T549+U549+V549+W549+X549+Y549+Z549+AA549+AB549+AC549+AD549+AE549+AF549+AG549+AH549</f>
        <v>94000000</v>
      </c>
    </row>
    <row r="550" spans="1:35" ht="70.5" customHeight="1" x14ac:dyDescent="0.25">
      <c r="A550" s="897"/>
      <c r="B550" s="144"/>
      <c r="C550" s="1165"/>
      <c r="D550" s="1148"/>
      <c r="E550" s="1159"/>
      <c r="F550" s="1159"/>
      <c r="G550" s="1159"/>
      <c r="H550" s="865">
        <v>131</v>
      </c>
      <c r="I550" s="565" t="s">
        <v>696</v>
      </c>
      <c r="J550" s="865">
        <v>0</v>
      </c>
      <c r="K550" s="266">
        <v>5</v>
      </c>
      <c r="L550" s="778">
        <v>3.8</v>
      </c>
      <c r="M550" s="1159"/>
      <c r="N550" s="1149"/>
      <c r="O550" s="1148"/>
      <c r="P550" s="865" t="s">
        <v>40</v>
      </c>
      <c r="Q550" s="9"/>
      <c r="R550" s="9"/>
      <c r="S550" s="9"/>
      <c r="T550" s="9"/>
      <c r="U550" s="9"/>
      <c r="V550" s="9"/>
      <c r="W550" s="9"/>
      <c r="X550" s="752">
        <f>128000000+10000000</f>
        <v>138000000</v>
      </c>
      <c r="Y550" s="9"/>
      <c r="Z550" s="9"/>
      <c r="AA550" s="9"/>
      <c r="AB550" s="9"/>
      <c r="AC550" s="9"/>
      <c r="AD550" s="9"/>
      <c r="AE550" s="60">
        <v>0</v>
      </c>
      <c r="AF550" s="61"/>
      <c r="AG550" s="61"/>
      <c r="AH550" s="61"/>
      <c r="AI550" s="901">
        <f>+Q550+R550+S550+T550+U550+V550+W550+X550+Y550+Z550+AA550+AB550+AC550+AD550+AE550+AF550+AG550+AH550</f>
        <v>138000000</v>
      </c>
    </row>
    <row r="551" spans="1:35" ht="15" x14ac:dyDescent="0.25">
      <c r="A551" s="897"/>
      <c r="B551" s="144"/>
      <c r="C551" s="846"/>
      <c r="D551" s="565"/>
      <c r="E551" s="865"/>
      <c r="F551" s="865"/>
      <c r="G551" s="147"/>
      <c r="H551" s="148"/>
      <c r="I551" s="147"/>
      <c r="J551" s="148"/>
      <c r="K551" s="307"/>
      <c r="L551" s="307"/>
      <c r="M551" s="148"/>
      <c r="N551" s="584"/>
      <c r="O551" s="147"/>
      <c r="P551" s="148"/>
      <c r="Q551" s="150"/>
      <c r="R551" s="150"/>
      <c r="S551" s="150"/>
      <c r="T551" s="150"/>
      <c r="U551" s="150"/>
      <c r="V551" s="150"/>
      <c r="W551" s="150"/>
      <c r="X551" s="150">
        <f>SUM(X549:X550)</f>
        <v>232000000</v>
      </c>
      <c r="Y551" s="150"/>
      <c r="Z551" s="150"/>
      <c r="AA551" s="150"/>
      <c r="AB551" s="150"/>
      <c r="AC551" s="150"/>
      <c r="AD551" s="150"/>
      <c r="AE551" s="54">
        <f>SUM(AE549:AE550)</f>
        <v>0</v>
      </c>
      <c r="AF551" s="150"/>
      <c r="AG551" s="150"/>
      <c r="AH551" s="150"/>
      <c r="AI551" s="904">
        <f>SUM(AI549:AI550)</f>
        <v>232000000</v>
      </c>
    </row>
    <row r="552" spans="1:35" ht="15" x14ac:dyDescent="0.25">
      <c r="A552" s="897"/>
      <c r="B552" s="144"/>
      <c r="C552" s="845"/>
      <c r="D552" s="161"/>
      <c r="E552" s="845"/>
      <c r="F552" s="845"/>
      <c r="G552" s="161"/>
      <c r="H552" s="845"/>
      <c r="I552" s="161"/>
      <c r="J552" s="845"/>
      <c r="K552" s="309"/>
      <c r="L552" s="395"/>
      <c r="M552" s="566"/>
      <c r="N552" s="57"/>
      <c r="O552" s="216"/>
      <c r="P552" s="845"/>
      <c r="Q552" s="12"/>
      <c r="R552" s="12"/>
      <c r="S552" s="12"/>
      <c r="T552" s="12"/>
      <c r="U552" s="12"/>
      <c r="V552" s="12"/>
      <c r="W552" s="12"/>
      <c r="X552" s="12"/>
      <c r="Y552" s="12"/>
      <c r="Z552" s="12"/>
      <c r="AA552" s="12"/>
      <c r="AB552" s="12"/>
      <c r="AC552" s="12"/>
      <c r="AD552" s="12"/>
      <c r="AE552" s="189"/>
      <c r="AF552" s="12"/>
      <c r="AG552" s="12"/>
      <c r="AH552" s="12"/>
      <c r="AI552" s="921"/>
    </row>
    <row r="553" spans="1:35" ht="15" x14ac:dyDescent="0.25">
      <c r="A553" s="897"/>
      <c r="B553" s="144"/>
      <c r="C553" s="845"/>
      <c r="D553" s="565"/>
      <c r="E553" s="865"/>
      <c r="F553" s="865"/>
      <c r="G553" s="336">
        <v>37</v>
      </c>
      <c r="H553" s="81" t="s">
        <v>697</v>
      </c>
      <c r="I553" s="81"/>
      <c r="J553" s="81"/>
      <c r="K553" s="312"/>
      <c r="L553" s="312"/>
      <c r="M553" s="81"/>
      <c r="N553" s="88"/>
      <c r="O553" s="81"/>
      <c r="P553" s="81"/>
      <c r="Q553" s="176"/>
      <c r="R553" s="176"/>
      <c r="S553" s="176"/>
      <c r="T553" s="176"/>
      <c r="U553" s="176"/>
      <c r="V553" s="176"/>
      <c r="W553" s="176"/>
      <c r="X553" s="176"/>
      <c r="Y553" s="176"/>
      <c r="Z553" s="176"/>
      <c r="AA553" s="176"/>
      <c r="AB553" s="176"/>
      <c r="AC553" s="176"/>
      <c r="AD553" s="176"/>
      <c r="AE553" s="177"/>
      <c r="AF553" s="176"/>
      <c r="AG553" s="176"/>
      <c r="AH553" s="176"/>
      <c r="AI553" s="918"/>
    </row>
    <row r="554" spans="1:35" ht="28.5" x14ac:dyDescent="0.25">
      <c r="A554" s="897"/>
      <c r="B554" s="144"/>
      <c r="C554" s="845">
        <v>22</v>
      </c>
      <c r="D554" s="265" t="s">
        <v>698</v>
      </c>
      <c r="E554" s="866" t="s">
        <v>618</v>
      </c>
      <c r="F554" s="866" t="s">
        <v>699</v>
      </c>
      <c r="G554" s="145"/>
      <c r="H554" s="846">
        <v>132</v>
      </c>
      <c r="I554" s="565" t="s">
        <v>700</v>
      </c>
      <c r="J554" s="865" t="s">
        <v>36</v>
      </c>
      <c r="K554" s="463">
        <v>8</v>
      </c>
      <c r="L554" s="463">
        <v>8</v>
      </c>
      <c r="M554" s="1157" t="s">
        <v>684</v>
      </c>
      <c r="N554" s="1101" t="s">
        <v>701</v>
      </c>
      <c r="O554" s="1099" t="s">
        <v>702</v>
      </c>
      <c r="P554" s="865" t="s">
        <v>46</v>
      </c>
      <c r="Q554" s="9"/>
      <c r="R554" s="9"/>
      <c r="S554" s="9"/>
      <c r="T554" s="9"/>
      <c r="U554" s="9"/>
      <c r="V554" s="9"/>
      <c r="W554" s="9"/>
      <c r="X554" s="752">
        <f>28000000+14000000</f>
        <v>42000000</v>
      </c>
      <c r="Y554" s="9"/>
      <c r="Z554" s="9"/>
      <c r="AA554" s="9"/>
      <c r="AB554" s="9"/>
      <c r="AC554" s="9"/>
      <c r="AD554" s="9"/>
      <c r="AE554" s="60">
        <v>0</v>
      </c>
      <c r="AF554" s="61"/>
      <c r="AG554" s="61"/>
      <c r="AH554" s="61"/>
      <c r="AI554" s="901">
        <f>+Q554+R554+S554+T554+U554+V554+W554+X554+Y554+Z554+AA554+AB554+AC554+AD554+AE554+AF554+AG554+AH554</f>
        <v>42000000</v>
      </c>
    </row>
    <row r="555" spans="1:35" ht="42.75" x14ac:dyDescent="0.25">
      <c r="A555" s="897"/>
      <c r="B555" s="144"/>
      <c r="C555" s="845">
        <v>31</v>
      </c>
      <c r="D555" s="39" t="s">
        <v>1068</v>
      </c>
      <c r="E555" s="446">
        <v>0.249</v>
      </c>
      <c r="F555" s="450">
        <v>0.2</v>
      </c>
      <c r="G555" s="3"/>
      <c r="H555" s="846">
        <v>133</v>
      </c>
      <c r="I555" s="565" t="s">
        <v>703</v>
      </c>
      <c r="J555" s="865">
        <v>0</v>
      </c>
      <c r="K555" s="463">
        <v>12</v>
      </c>
      <c r="L555" s="463">
        <v>9</v>
      </c>
      <c r="M555" s="1158"/>
      <c r="N555" s="1102"/>
      <c r="O555" s="1100"/>
      <c r="P555" s="865" t="s">
        <v>46</v>
      </c>
      <c r="Q555" s="9"/>
      <c r="R555" s="9"/>
      <c r="S555" s="9"/>
      <c r="T555" s="9"/>
      <c r="U555" s="9"/>
      <c r="V555" s="9"/>
      <c r="W555" s="9"/>
      <c r="X555" s="47">
        <v>28000000</v>
      </c>
      <c r="Y555" s="9"/>
      <c r="Z555" s="9"/>
      <c r="AA555" s="9"/>
      <c r="AB555" s="9"/>
      <c r="AC555" s="9"/>
      <c r="AD555" s="9"/>
      <c r="AE555" s="60">
        <v>0</v>
      </c>
      <c r="AF555" s="61"/>
      <c r="AG555" s="61"/>
      <c r="AH555" s="61"/>
      <c r="AI555" s="901">
        <f>+Q555+R555+S555+T555+U555+V555+W555+X555+Y555+Z555+AA555+AB555+AC555+AD555+AE555+AF555+AG555+AH555</f>
        <v>28000000</v>
      </c>
    </row>
    <row r="556" spans="1:35" ht="82.5" customHeight="1" x14ac:dyDescent="0.25">
      <c r="A556" s="897"/>
      <c r="B556" s="144"/>
      <c r="C556" s="566">
        <v>33</v>
      </c>
      <c r="D556" s="859" t="s">
        <v>704</v>
      </c>
      <c r="E556" s="854">
        <v>0</v>
      </c>
      <c r="F556" s="851">
        <v>0</v>
      </c>
      <c r="G556" s="3"/>
      <c r="H556" s="865">
        <v>134</v>
      </c>
      <c r="I556" s="565" t="s">
        <v>705</v>
      </c>
      <c r="J556" s="263">
        <v>3600</v>
      </c>
      <c r="K556" s="463">
        <v>4800</v>
      </c>
      <c r="L556" s="463">
        <v>4479</v>
      </c>
      <c r="M556" s="1158"/>
      <c r="N556" s="1102"/>
      <c r="O556" s="1100"/>
      <c r="P556" s="865" t="s">
        <v>46</v>
      </c>
      <c r="Q556" s="9"/>
      <c r="R556" s="9"/>
      <c r="S556" s="9"/>
      <c r="T556" s="9"/>
      <c r="U556" s="9"/>
      <c r="V556" s="9"/>
      <c r="W556" s="9"/>
      <c r="X556" s="752">
        <f>60000000+6000000</f>
        <v>66000000</v>
      </c>
      <c r="Y556" s="9"/>
      <c r="Z556" s="9"/>
      <c r="AA556" s="9"/>
      <c r="AB556" s="9"/>
      <c r="AC556" s="9"/>
      <c r="AD556" s="9"/>
      <c r="AE556" s="60">
        <v>0</v>
      </c>
      <c r="AF556" s="61"/>
      <c r="AG556" s="61"/>
      <c r="AH556" s="61"/>
      <c r="AI556" s="901">
        <f>+Q556+R556+S556+T556+U556+V556+W556+X556+Y556+Z556+AA556+AB556+AC556+AD556+AE556+AF556+AG556+AH556</f>
        <v>66000000</v>
      </c>
    </row>
    <row r="557" spans="1:35" ht="84.75" customHeight="1" x14ac:dyDescent="0.25">
      <c r="A557" s="897"/>
      <c r="B557" s="144"/>
      <c r="C557" s="858">
        <v>31</v>
      </c>
      <c r="D557" s="565" t="s">
        <v>623</v>
      </c>
      <c r="E557" s="446">
        <v>0.249</v>
      </c>
      <c r="F557" s="384">
        <v>0.2</v>
      </c>
      <c r="G557" s="72"/>
      <c r="H557" s="865">
        <v>135</v>
      </c>
      <c r="I557" s="565" t="s">
        <v>706</v>
      </c>
      <c r="J557" s="263">
        <v>12</v>
      </c>
      <c r="K557" s="463">
        <v>12</v>
      </c>
      <c r="L557" s="463">
        <v>9</v>
      </c>
      <c r="M557" s="1159"/>
      <c r="N557" s="1149"/>
      <c r="O557" s="1148"/>
      <c r="P557" s="865" t="s">
        <v>46</v>
      </c>
      <c r="Q557" s="9"/>
      <c r="R557" s="9"/>
      <c r="S557" s="9"/>
      <c r="T557" s="9"/>
      <c r="U557" s="9"/>
      <c r="V557" s="9"/>
      <c r="W557" s="9"/>
      <c r="X557" s="47">
        <v>32000000</v>
      </c>
      <c r="Y557" s="9"/>
      <c r="Z557" s="9"/>
      <c r="AA557" s="9"/>
      <c r="AB557" s="9"/>
      <c r="AC557" s="9"/>
      <c r="AD557" s="9"/>
      <c r="AE557" s="60">
        <v>0</v>
      </c>
      <c r="AF557" s="9"/>
      <c r="AG557" s="9"/>
      <c r="AH557" s="9"/>
      <c r="AI557" s="901">
        <f>+Q557+R557+S557+T557+U557+V557+W557+X557+Y557+Z557+AA557+AB557+AC557+AD557+AE557+AF557+AG557+AH557</f>
        <v>32000000</v>
      </c>
    </row>
    <row r="558" spans="1:35" ht="15" x14ac:dyDescent="0.25">
      <c r="A558" s="897"/>
      <c r="B558" s="144"/>
      <c r="C558" s="846"/>
      <c r="D558" s="849"/>
      <c r="E558" s="853"/>
      <c r="F558" s="853"/>
      <c r="G558" s="147"/>
      <c r="H558" s="148"/>
      <c r="I558" s="147"/>
      <c r="J558" s="464"/>
      <c r="K558" s="465"/>
      <c r="L558" s="465"/>
      <c r="M558" s="464"/>
      <c r="N558" s="584"/>
      <c r="O558" s="147"/>
      <c r="P558" s="148"/>
      <c r="Q558" s="150"/>
      <c r="R558" s="150"/>
      <c r="S558" s="150"/>
      <c r="T558" s="150"/>
      <c r="U558" s="150"/>
      <c r="V558" s="150"/>
      <c r="W558" s="150"/>
      <c r="X558" s="150">
        <f>SUM(X554:X557)</f>
        <v>168000000</v>
      </c>
      <c r="Y558" s="150"/>
      <c r="Z558" s="150"/>
      <c r="AA558" s="150"/>
      <c r="AB558" s="150"/>
      <c r="AC558" s="150"/>
      <c r="AD558" s="150"/>
      <c r="AE558" s="54">
        <f>SUM(AE554:AE557)</f>
        <v>0</v>
      </c>
      <c r="AF558" s="150"/>
      <c r="AG558" s="150"/>
      <c r="AH558" s="150"/>
      <c r="AI558" s="904">
        <f>SUM(AI554:AI557)</f>
        <v>168000000</v>
      </c>
    </row>
    <row r="559" spans="1:35" ht="15" x14ac:dyDescent="0.25">
      <c r="A559" s="897"/>
      <c r="B559" s="144"/>
      <c r="C559" s="845"/>
      <c r="D559" s="161"/>
      <c r="E559" s="845"/>
      <c r="F559" s="845"/>
      <c r="G559" s="161"/>
      <c r="H559" s="845"/>
      <c r="I559" s="161"/>
      <c r="J559" s="845"/>
      <c r="K559" s="309"/>
      <c r="L559" s="395"/>
      <c r="M559" s="566"/>
      <c r="N559" s="57"/>
      <c r="O559" s="216"/>
      <c r="P559" s="845"/>
      <c r="Q559" s="12"/>
      <c r="R559" s="12"/>
      <c r="S559" s="12"/>
      <c r="T559" s="12"/>
      <c r="U559" s="12"/>
      <c r="V559" s="12"/>
      <c r="W559" s="12"/>
      <c r="X559" s="12"/>
      <c r="Y559" s="12"/>
      <c r="Z559" s="12"/>
      <c r="AA559" s="12"/>
      <c r="AB559" s="12"/>
      <c r="AC559" s="12"/>
      <c r="AD559" s="12"/>
      <c r="AE559" s="189"/>
      <c r="AF559" s="12"/>
      <c r="AG559" s="12"/>
      <c r="AH559" s="163"/>
      <c r="AI559" s="921"/>
    </row>
    <row r="560" spans="1:35" ht="15" x14ac:dyDescent="0.25">
      <c r="A560" s="897"/>
      <c r="B560" s="144"/>
      <c r="C560" s="845"/>
      <c r="D560" s="565"/>
      <c r="E560" s="865"/>
      <c r="F560" s="865"/>
      <c r="G560" s="336">
        <v>38</v>
      </c>
      <c r="H560" s="81" t="s">
        <v>707</v>
      </c>
      <c r="I560" s="81"/>
      <c r="J560" s="81"/>
      <c r="K560" s="312"/>
      <c r="L560" s="312"/>
      <c r="M560" s="81"/>
      <c r="N560" s="88"/>
      <c r="O560" s="81"/>
      <c r="P560" s="81"/>
      <c r="Q560" s="176"/>
      <c r="R560" s="176"/>
      <c r="S560" s="176"/>
      <c r="T560" s="176"/>
      <c r="U560" s="176"/>
      <c r="V560" s="176"/>
      <c r="W560" s="176"/>
      <c r="X560" s="176"/>
      <c r="Y560" s="176"/>
      <c r="Z560" s="176"/>
      <c r="AA560" s="176"/>
      <c r="AB560" s="176"/>
      <c r="AC560" s="176"/>
      <c r="AD560" s="176"/>
      <c r="AE560" s="177"/>
      <c r="AF560" s="176"/>
      <c r="AG560" s="176"/>
      <c r="AH560" s="176"/>
      <c r="AI560" s="918"/>
    </row>
    <row r="561" spans="1:35" ht="57" x14ac:dyDescent="0.25">
      <c r="A561" s="897"/>
      <c r="B561" s="144"/>
      <c r="C561" s="1163">
        <v>22</v>
      </c>
      <c r="D561" s="1160" t="s">
        <v>617</v>
      </c>
      <c r="E561" s="1160" t="s">
        <v>618</v>
      </c>
      <c r="F561" s="1157" t="s">
        <v>619</v>
      </c>
      <c r="G561" s="466"/>
      <c r="H561" s="1">
        <v>136</v>
      </c>
      <c r="I561" s="565" t="s">
        <v>708</v>
      </c>
      <c r="J561" s="865" t="s">
        <v>36</v>
      </c>
      <c r="K561" s="467">
        <v>12</v>
      </c>
      <c r="L561" s="467">
        <v>9</v>
      </c>
      <c r="M561" s="1166" t="s">
        <v>684</v>
      </c>
      <c r="N561" s="1101" t="s">
        <v>709</v>
      </c>
      <c r="O561" s="1099" t="s">
        <v>710</v>
      </c>
      <c r="P561" s="865" t="s">
        <v>46</v>
      </c>
      <c r="Q561" s="9"/>
      <c r="R561" s="9"/>
      <c r="S561" s="9"/>
      <c r="T561" s="9"/>
      <c r="U561" s="9"/>
      <c r="V561" s="9"/>
      <c r="W561" s="9"/>
      <c r="X561" s="751">
        <f>28000000+26000000</f>
        <v>54000000</v>
      </c>
      <c r="Y561" s="9"/>
      <c r="Z561" s="9"/>
      <c r="AA561" s="9"/>
      <c r="AB561" s="9"/>
      <c r="AC561" s="9"/>
      <c r="AD561" s="9"/>
      <c r="AE561" s="60">
        <v>0</v>
      </c>
      <c r="AF561" s="61"/>
      <c r="AG561" s="61"/>
      <c r="AH561" s="61"/>
      <c r="AI561" s="901">
        <f>+Q561+R561+S561+T561+U561+V561+W561+X561+Y561+Z561+AA561+AB561+AC561+AD561+AE561+AF561+AG561+AH561</f>
        <v>54000000</v>
      </c>
    </row>
    <row r="562" spans="1:35" ht="28.5" x14ac:dyDescent="0.25">
      <c r="A562" s="897"/>
      <c r="B562" s="144"/>
      <c r="C562" s="1164"/>
      <c r="D562" s="1161"/>
      <c r="E562" s="1161"/>
      <c r="F562" s="1158"/>
      <c r="G562" s="372"/>
      <c r="H562" s="1">
        <v>137</v>
      </c>
      <c r="I562" s="565" t="s">
        <v>711</v>
      </c>
      <c r="J562" s="865">
        <v>0</v>
      </c>
      <c r="K562" s="467">
        <v>12</v>
      </c>
      <c r="L562" s="467">
        <v>10</v>
      </c>
      <c r="M562" s="1167"/>
      <c r="N562" s="1102"/>
      <c r="O562" s="1100"/>
      <c r="P562" s="865" t="s">
        <v>46</v>
      </c>
      <c r="Q562" s="9"/>
      <c r="R562" s="9"/>
      <c r="S562" s="9"/>
      <c r="T562" s="9"/>
      <c r="U562" s="9"/>
      <c r="V562" s="9"/>
      <c r="W562" s="9"/>
      <c r="X562" s="46">
        <v>56000000</v>
      </c>
      <c r="Y562" s="9"/>
      <c r="Z562" s="9"/>
      <c r="AA562" s="9"/>
      <c r="AB562" s="9"/>
      <c r="AC562" s="9"/>
      <c r="AD562" s="9"/>
      <c r="AE562" s="60">
        <v>0</v>
      </c>
      <c r="AF562" s="61"/>
      <c r="AG562" s="61"/>
      <c r="AH562" s="61"/>
      <c r="AI562" s="901">
        <f>+Q562+R562+S562+T562+U562+V562+W562+X562+Y562+Z562+AA562+AB562+AC562+AD562+AE562+AF562+AG562+AH562</f>
        <v>56000000</v>
      </c>
    </row>
    <row r="563" spans="1:35" ht="57" x14ac:dyDescent="0.25">
      <c r="A563" s="897"/>
      <c r="B563" s="144"/>
      <c r="C563" s="1165"/>
      <c r="D563" s="1162"/>
      <c r="E563" s="1162"/>
      <c r="F563" s="1159"/>
      <c r="G563" s="372"/>
      <c r="H563" s="1">
        <v>138</v>
      </c>
      <c r="I563" s="565" t="s">
        <v>712</v>
      </c>
      <c r="J563" s="865" t="s">
        <v>36</v>
      </c>
      <c r="K563" s="313">
        <v>12</v>
      </c>
      <c r="L563" s="313">
        <v>11</v>
      </c>
      <c r="M563" s="1168"/>
      <c r="N563" s="1149"/>
      <c r="O563" s="1148"/>
      <c r="P563" s="865" t="s">
        <v>46</v>
      </c>
      <c r="Q563" s="9"/>
      <c r="R563" s="9"/>
      <c r="S563" s="9"/>
      <c r="T563" s="9"/>
      <c r="U563" s="9"/>
      <c r="V563" s="9"/>
      <c r="W563" s="9"/>
      <c r="X563" s="46">
        <v>28000000</v>
      </c>
      <c r="Y563" s="9"/>
      <c r="Z563" s="9"/>
      <c r="AA563" s="9"/>
      <c r="AB563" s="9"/>
      <c r="AC563" s="9"/>
      <c r="AD563" s="9"/>
      <c r="AE563" s="60">
        <v>0</v>
      </c>
      <c r="AF563" s="61"/>
      <c r="AG563" s="61"/>
      <c r="AH563" s="61"/>
      <c r="AI563" s="901">
        <f>+Q563+R563+S563+T563+U563+V563+W563+X563+Y563+Z563+AA563+AB563+AC563+AD563+AE563+AF563+AG563+AH563</f>
        <v>28000000</v>
      </c>
    </row>
    <row r="564" spans="1:35" ht="15" x14ac:dyDescent="0.25">
      <c r="A564" s="897"/>
      <c r="B564" s="144"/>
      <c r="C564" s="846"/>
      <c r="D564" s="565"/>
      <c r="E564" s="865"/>
      <c r="F564" s="865"/>
      <c r="G564" s="299"/>
      <c r="H564" s="149"/>
      <c r="I564" s="147"/>
      <c r="J564" s="148"/>
      <c r="K564" s="196"/>
      <c r="L564" s="196"/>
      <c r="M564" s="149"/>
      <c r="N564" s="584"/>
      <c r="O564" s="362"/>
      <c r="P564" s="148"/>
      <c r="Q564" s="150"/>
      <c r="R564" s="150"/>
      <c r="S564" s="150"/>
      <c r="T564" s="150"/>
      <c r="U564" s="150"/>
      <c r="V564" s="150"/>
      <c r="W564" s="150"/>
      <c r="X564" s="150">
        <f>SUM(X561:X563)</f>
        <v>138000000</v>
      </c>
      <c r="Y564" s="150"/>
      <c r="Z564" s="150"/>
      <c r="AA564" s="150"/>
      <c r="AB564" s="150"/>
      <c r="AC564" s="150"/>
      <c r="AD564" s="150"/>
      <c r="AE564" s="54">
        <f>SUM(AE561:AE563)</f>
        <v>0</v>
      </c>
      <c r="AF564" s="150"/>
      <c r="AG564" s="150"/>
      <c r="AH564" s="150"/>
      <c r="AI564" s="904">
        <f>SUM(AI561:AI563)</f>
        <v>138000000</v>
      </c>
    </row>
    <row r="565" spans="1:35" ht="15" x14ac:dyDescent="0.25">
      <c r="A565" s="897"/>
      <c r="B565" s="144"/>
      <c r="C565" s="845"/>
      <c r="D565" s="161"/>
      <c r="E565" s="845"/>
      <c r="F565" s="845"/>
      <c r="G565" s="161"/>
      <c r="H565" s="845"/>
      <c r="I565" s="161"/>
      <c r="J565" s="845"/>
      <c r="K565" s="468"/>
      <c r="L565" s="578"/>
      <c r="M565" s="566"/>
      <c r="N565" s="57"/>
      <c r="O565" s="216"/>
      <c r="P565" s="845"/>
      <c r="Q565" s="12"/>
      <c r="R565" s="12"/>
      <c r="S565" s="12"/>
      <c r="T565" s="12"/>
      <c r="U565" s="12"/>
      <c r="V565" s="12"/>
      <c r="W565" s="12"/>
      <c r="X565" s="12"/>
      <c r="Y565" s="12"/>
      <c r="Z565" s="12"/>
      <c r="AA565" s="12"/>
      <c r="AB565" s="12"/>
      <c r="AC565" s="12"/>
      <c r="AD565" s="12"/>
      <c r="AE565" s="189"/>
      <c r="AF565" s="12"/>
      <c r="AG565" s="12"/>
      <c r="AH565" s="12"/>
      <c r="AI565" s="921"/>
    </row>
    <row r="566" spans="1:35" x14ac:dyDescent="0.25">
      <c r="A566" s="897"/>
      <c r="B566" s="144"/>
      <c r="C566" s="845"/>
      <c r="D566" s="565"/>
      <c r="E566" s="865"/>
      <c r="F566" s="865"/>
      <c r="G566" s="336">
        <v>39</v>
      </c>
      <c r="H566" s="78" t="s">
        <v>713</v>
      </c>
      <c r="I566" s="81"/>
      <c r="J566" s="81"/>
      <c r="K566" s="207"/>
      <c r="L566" s="207"/>
      <c r="M566" s="81"/>
      <c r="N566" s="588"/>
      <c r="O566" s="81"/>
      <c r="P566" s="81"/>
      <c r="Q566" s="176"/>
      <c r="R566" s="176"/>
      <c r="S566" s="176"/>
      <c r="T566" s="176"/>
      <c r="U566" s="176"/>
      <c r="V566" s="176"/>
      <c r="W566" s="176"/>
      <c r="X566" s="176"/>
      <c r="Y566" s="176"/>
      <c r="Z566" s="176"/>
      <c r="AA566" s="176"/>
      <c r="AB566" s="176"/>
      <c r="AC566" s="176"/>
      <c r="AD566" s="176"/>
      <c r="AE566" s="177"/>
      <c r="AF566" s="176"/>
      <c r="AG566" s="176"/>
      <c r="AH566" s="176"/>
      <c r="AI566" s="918"/>
    </row>
    <row r="567" spans="1:35" ht="57.75" customHeight="1" x14ac:dyDescent="0.25">
      <c r="A567" s="897"/>
      <c r="B567" s="144"/>
      <c r="C567" s="856">
        <v>36</v>
      </c>
      <c r="D567" s="469" t="s">
        <v>714</v>
      </c>
      <c r="E567" s="470">
        <v>0.4</v>
      </c>
      <c r="F567" s="471">
        <v>0.6</v>
      </c>
      <c r="G567" s="1158"/>
      <c r="H567" s="865">
        <v>139</v>
      </c>
      <c r="I567" s="565" t="s">
        <v>715</v>
      </c>
      <c r="J567" s="865">
        <v>0</v>
      </c>
      <c r="K567" s="222">
        <v>1</v>
      </c>
      <c r="L567" s="779">
        <v>0.8</v>
      </c>
      <c r="M567" s="1158"/>
      <c r="N567" s="1101" t="s">
        <v>716</v>
      </c>
      <c r="O567" s="1099" t="s">
        <v>717</v>
      </c>
      <c r="P567" s="865" t="s">
        <v>46</v>
      </c>
      <c r="Q567" s="9"/>
      <c r="R567" s="9"/>
      <c r="S567" s="9"/>
      <c r="T567" s="9"/>
      <c r="U567" s="9"/>
      <c r="V567" s="9"/>
      <c r="W567" s="9"/>
      <c r="X567" s="751">
        <f>112000000+7500000</f>
        <v>119500000</v>
      </c>
      <c r="Y567" s="9"/>
      <c r="Z567" s="9"/>
      <c r="AA567" s="9"/>
      <c r="AB567" s="9"/>
      <c r="AC567" s="9"/>
      <c r="AD567" s="9"/>
      <c r="AE567" s="60">
        <v>0</v>
      </c>
      <c r="AF567" s="61"/>
      <c r="AG567" s="61"/>
      <c r="AH567" s="61"/>
      <c r="AI567" s="901">
        <f>+Q567+R567+S567+T567+U567+V567+W567+X567+Y567+Z567+AA567+AB567+AC567+AD567+AE567+AF567+AG567+AH567</f>
        <v>119500000</v>
      </c>
    </row>
    <row r="568" spans="1:35" ht="63.75" customHeight="1" x14ac:dyDescent="0.25">
      <c r="A568" s="897"/>
      <c r="B568" s="144"/>
      <c r="C568" s="1157" t="s">
        <v>718</v>
      </c>
      <c r="D568" s="1173" t="s">
        <v>719</v>
      </c>
      <c r="E568" s="1175">
        <v>1</v>
      </c>
      <c r="F568" s="1177">
        <v>1</v>
      </c>
      <c r="G568" s="1158"/>
      <c r="H568" s="865">
        <v>140</v>
      </c>
      <c r="I568" s="565" t="s">
        <v>720</v>
      </c>
      <c r="J568" s="865">
        <v>1</v>
      </c>
      <c r="K568" s="222">
        <v>1</v>
      </c>
      <c r="L568" s="779">
        <v>0.8</v>
      </c>
      <c r="M568" s="1158"/>
      <c r="N568" s="1102"/>
      <c r="O568" s="1100"/>
      <c r="P568" s="865" t="s">
        <v>46</v>
      </c>
      <c r="Q568" s="9"/>
      <c r="R568" s="9"/>
      <c r="S568" s="9"/>
      <c r="T568" s="9"/>
      <c r="U568" s="9"/>
      <c r="V568" s="9"/>
      <c r="W568" s="9"/>
      <c r="X568" s="751">
        <v>28000000</v>
      </c>
      <c r="Y568" s="9"/>
      <c r="Z568" s="9"/>
      <c r="AA568" s="9"/>
      <c r="AB568" s="9"/>
      <c r="AC568" s="9"/>
      <c r="AD568" s="9"/>
      <c r="AE568" s="60">
        <v>0</v>
      </c>
      <c r="AF568" s="61"/>
      <c r="AG568" s="61"/>
      <c r="AH568" s="61"/>
      <c r="AI568" s="901">
        <f>+Q568+R568+S568+T568+U568+V568+W568+X568+Y568+Z568+AA568+AB568+AC568+AD568+AE568+AF568+AG568+AH568</f>
        <v>28000000</v>
      </c>
    </row>
    <row r="569" spans="1:35" ht="87" customHeight="1" x14ac:dyDescent="0.25">
      <c r="A569" s="897"/>
      <c r="B569" s="144"/>
      <c r="C569" s="1159"/>
      <c r="D569" s="1174"/>
      <c r="E569" s="1176"/>
      <c r="F569" s="1178"/>
      <c r="G569" s="1159"/>
      <c r="H569" s="865">
        <v>141</v>
      </c>
      <c r="I569" s="565" t="s">
        <v>721</v>
      </c>
      <c r="J569" s="865" t="s">
        <v>36</v>
      </c>
      <c r="K569" s="222">
        <v>1</v>
      </c>
      <c r="L569" s="779">
        <v>0.8</v>
      </c>
      <c r="M569" s="1159"/>
      <c r="N569" s="1149"/>
      <c r="O569" s="1148"/>
      <c r="P569" s="865" t="s">
        <v>46</v>
      </c>
      <c r="Q569" s="9"/>
      <c r="R569" s="9"/>
      <c r="S569" s="9"/>
      <c r="T569" s="9"/>
      <c r="U569" s="9"/>
      <c r="V569" s="9"/>
      <c r="W569" s="9"/>
      <c r="X569" s="751">
        <f>28000000+7500000</f>
        <v>35500000</v>
      </c>
      <c r="Y569" s="9"/>
      <c r="Z569" s="9"/>
      <c r="AA569" s="9"/>
      <c r="AB569" s="9"/>
      <c r="AC569" s="9"/>
      <c r="AD569" s="9"/>
      <c r="AE569" s="60">
        <v>0</v>
      </c>
      <c r="AF569" s="61"/>
      <c r="AG569" s="61"/>
      <c r="AH569" s="61"/>
      <c r="AI569" s="901">
        <f>+Q569+R569+S569+T569+U569+V569+W569+X569+Y569+Z569+AA569+AB569+AC569+AD569+AE569+AF569+AG569+AH569</f>
        <v>35500000</v>
      </c>
    </row>
    <row r="570" spans="1:35" ht="15" x14ac:dyDescent="0.25">
      <c r="A570" s="897"/>
      <c r="B570" s="144"/>
      <c r="C570" s="846"/>
      <c r="D570" s="565"/>
      <c r="E570" s="865"/>
      <c r="F570" s="865"/>
      <c r="G570" s="147"/>
      <c r="H570" s="148"/>
      <c r="I570" s="147"/>
      <c r="J570" s="148"/>
      <c r="K570" s="247"/>
      <c r="L570" s="247"/>
      <c r="M570" s="148"/>
      <c r="N570" s="584"/>
      <c r="O570" s="147"/>
      <c r="P570" s="148"/>
      <c r="Q570" s="150"/>
      <c r="R570" s="150"/>
      <c r="S570" s="150"/>
      <c r="T570" s="150"/>
      <c r="U570" s="150"/>
      <c r="V570" s="150"/>
      <c r="W570" s="150"/>
      <c r="X570" s="150">
        <f>SUM(X567:X569)</f>
        <v>183000000</v>
      </c>
      <c r="Y570" s="150"/>
      <c r="Z570" s="150"/>
      <c r="AA570" s="150"/>
      <c r="AB570" s="150"/>
      <c r="AC570" s="150"/>
      <c r="AD570" s="150"/>
      <c r="AE570" s="54">
        <f>SUM(AE567:AE569)</f>
        <v>0</v>
      </c>
      <c r="AF570" s="150"/>
      <c r="AG570" s="150"/>
      <c r="AH570" s="150"/>
      <c r="AI570" s="904">
        <f>SUM(AI567:AI569)</f>
        <v>183000000</v>
      </c>
    </row>
    <row r="571" spans="1:35" ht="15" x14ac:dyDescent="0.25">
      <c r="A571" s="897"/>
      <c r="B571" s="144"/>
      <c r="C571" s="845"/>
      <c r="D571" s="161"/>
      <c r="E571" s="845"/>
      <c r="F571" s="845"/>
      <c r="G571" s="161"/>
      <c r="H571" s="845"/>
      <c r="I571" s="161"/>
      <c r="J571" s="845"/>
      <c r="K571" s="260"/>
      <c r="L571" s="573"/>
      <c r="M571" s="566"/>
      <c r="N571" s="57"/>
      <c r="O571" s="216"/>
      <c r="P571" s="845"/>
      <c r="Q571" s="12"/>
      <c r="R571" s="12"/>
      <c r="S571" s="12"/>
      <c r="T571" s="12"/>
      <c r="U571" s="12"/>
      <c r="V571" s="12"/>
      <c r="W571" s="12"/>
      <c r="X571" s="12"/>
      <c r="Y571" s="12"/>
      <c r="Z571" s="12"/>
      <c r="AA571" s="12"/>
      <c r="AB571" s="12"/>
      <c r="AC571" s="12"/>
      <c r="AD571" s="12"/>
      <c r="AE571" s="189"/>
      <c r="AF571" s="12"/>
      <c r="AG571" s="12"/>
      <c r="AH571" s="163"/>
      <c r="AI571" s="921"/>
    </row>
    <row r="572" spans="1:35" ht="15" x14ac:dyDescent="0.25">
      <c r="A572" s="897"/>
      <c r="B572" s="144"/>
      <c r="C572" s="845"/>
      <c r="D572" s="565"/>
      <c r="E572" s="865"/>
      <c r="F572" s="865"/>
      <c r="G572" s="336">
        <v>40</v>
      </c>
      <c r="H572" s="81" t="s">
        <v>722</v>
      </c>
      <c r="I572" s="81"/>
      <c r="J572" s="81"/>
      <c r="K572" s="235"/>
      <c r="L572" s="235"/>
      <c r="M572" s="81"/>
      <c r="N572" s="88"/>
      <c r="O572" s="81"/>
      <c r="P572" s="81"/>
      <c r="Q572" s="176"/>
      <c r="R572" s="176"/>
      <c r="S572" s="176"/>
      <c r="T572" s="176"/>
      <c r="U572" s="176"/>
      <c r="V572" s="176"/>
      <c r="W572" s="176"/>
      <c r="X572" s="176"/>
      <c r="Y572" s="176"/>
      <c r="Z572" s="176"/>
      <c r="AA572" s="176"/>
      <c r="AB572" s="176"/>
      <c r="AC572" s="176"/>
      <c r="AD572" s="176"/>
      <c r="AE572" s="177"/>
      <c r="AF572" s="176"/>
      <c r="AG572" s="176"/>
      <c r="AH572" s="176"/>
      <c r="AI572" s="918"/>
    </row>
    <row r="573" spans="1:35" ht="93" customHeight="1" x14ac:dyDescent="0.25">
      <c r="A573" s="897"/>
      <c r="B573" s="144"/>
      <c r="C573" s="845">
        <v>26</v>
      </c>
      <c r="D573" s="473" t="s">
        <v>723</v>
      </c>
      <c r="E573" s="866" t="s">
        <v>724</v>
      </c>
      <c r="F573" s="866" t="s">
        <v>725</v>
      </c>
      <c r="G573" s="145"/>
      <c r="H573" s="846">
        <v>142</v>
      </c>
      <c r="I573" s="565" t="s">
        <v>726</v>
      </c>
      <c r="J573" s="865" t="s">
        <v>36</v>
      </c>
      <c r="K573" s="222">
        <v>12</v>
      </c>
      <c r="L573" s="222">
        <v>9</v>
      </c>
      <c r="M573" s="1157" t="s">
        <v>684</v>
      </c>
      <c r="N573" s="1101" t="s">
        <v>727</v>
      </c>
      <c r="O573" s="1099" t="s">
        <v>728</v>
      </c>
      <c r="P573" s="865" t="s">
        <v>46</v>
      </c>
      <c r="Q573" s="9"/>
      <c r="R573" s="9"/>
      <c r="S573" s="9"/>
      <c r="T573" s="9"/>
      <c r="U573" s="9"/>
      <c r="V573" s="9"/>
      <c r="W573" s="9"/>
      <c r="X573" s="48">
        <v>103702000</v>
      </c>
      <c r="Y573" s="9"/>
      <c r="Z573" s="9"/>
      <c r="AA573" s="9"/>
      <c r="AB573" s="9"/>
      <c r="AC573" s="9"/>
      <c r="AD573" s="9"/>
      <c r="AE573" s="60">
        <v>0</v>
      </c>
      <c r="AF573" s="61"/>
      <c r="AG573" s="61"/>
      <c r="AH573" s="267">
        <v>9000000</v>
      </c>
      <c r="AI573" s="901">
        <f>+Q573+R573+S573+T573+U573+V573+W573+X573+Y573+Z573+AA573+AB573+AC573+AD573+AE573+AF573+AG573+AH573</f>
        <v>112702000</v>
      </c>
    </row>
    <row r="574" spans="1:35" ht="107.25" customHeight="1" x14ac:dyDescent="0.25">
      <c r="A574" s="897"/>
      <c r="B574" s="144"/>
      <c r="C574" s="845">
        <v>30</v>
      </c>
      <c r="D574" s="473" t="s">
        <v>729</v>
      </c>
      <c r="E574" s="866" t="s">
        <v>730</v>
      </c>
      <c r="F574" s="866" t="s">
        <v>730</v>
      </c>
      <c r="G574" s="3"/>
      <c r="H574" s="846">
        <v>143</v>
      </c>
      <c r="I574" s="565" t="s">
        <v>731</v>
      </c>
      <c r="J574" s="865">
        <v>1</v>
      </c>
      <c r="K574" s="222">
        <v>1</v>
      </c>
      <c r="L574" s="222">
        <v>1</v>
      </c>
      <c r="M574" s="1159"/>
      <c r="N574" s="1149"/>
      <c r="O574" s="1148"/>
      <c r="P574" s="865" t="s">
        <v>46</v>
      </c>
      <c r="Q574" s="9"/>
      <c r="R574" s="9"/>
      <c r="S574" s="9"/>
      <c r="T574" s="9"/>
      <c r="U574" s="9"/>
      <c r="V574" s="9"/>
      <c r="W574" s="9"/>
      <c r="X574" s="48"/>
      <c r="Y574" s="9"/>
      <c r="Z574" s="9"/>
      <c r="AA574" s="9"/>
      <c r="AB574" s="9"/>
      <c r="AC574" s="9"/>
      <c r="AD574" s="9"/>
      <c r="AE574" s="63">
        <v>10000000</v>
      </c>
      <c r="AF574" s="61"/>
      <c r="AG574" s="61"/>
      <c r="AH574" s="61">
        <v>28403914</v>
      </c>
      <c r="AI574" s="901">
        <f>+Q574+R574+S574+T574+U574+V574+W574+X574+Y574+Z574+AA574+AB574+AC574+AD574+AE574+AF574+AG574+AH574</f>
        <v>38403914</v>
      </c>
    </row>
    <row r="575" spans="1:35" ht="73.5" customHeight="1" x14ac:dyDescent="0.25">
      <c r="A575" s="897"/>
      <c r="B575" s="144"/>
      <c r="C575" s="846" t="s">
        <v>718</v>
      </c>
      <c r="D575" s="849" t="s">
        <v>732</v>
      </c>
      <c r="E575" s="853">
        <v>10</v>
      </c>
      <c r="F575" s="853" t="s">
        <v>733</v>
      </c>
      <c r="G575" s="3"/>
      <c r="H575" s="846">
        <v>144</v>
      </c>
      <c r="I575" s="565" t="s">
        <v>734</v>
      </c>
      <c r="J575" s="865">
        <v>5</v>
      </c>
      <c r="K575" s="222">
        <v>5</v>
      </c>
      <c r="L575" s="222">
        <v>5</v>
      </c>
      <c r="M575" s="1157" t="s">
        <v>684</v>
      </c>
      <c r="N575" s="1101" t="s">
        <v>735</v>
      </c>
      <c r="O575" s="1100" t="s">
        <v>736</v>
      </c>
      <c r="P575" s="865" t="s">
        <v>46</v>
      </c>
      <c r="Q575" s="9"/>
      <c r="R575" s="9"/>
      <c r="S575" s="9"/>
      <c r="T575" s="9"/>
      <c r="U575" s="9"/>
      <c r="V575" s="9"/>
      <c r="W575" s="9"/>
      <c r="X575" s="48">
        <v>97200000</v>
      </c>
      <c r="Y575" s="9"/>
      <c r="Z575" s="254"/>
      <c r="AA575" s="9"/>
      <c r="AB575" s="9"/>
      <c r="AC575" s="9"/>
      <c r="AD575" s="9"/>
      <c r="AE575" s="60">
        <v>70000000</v>
      </c>
      <c r="AF575" s="9"/>
      <c r="AG575" s="9"/>
      <c r="AH575" s="546">
        <f>242840543+25631640+9557695+9693675</f>
        <v>287723553</v>
      </c>
      <c r="AI575" s="900">
        <f>+Q575+R575+S575+T575+U575+V575+W575+X575+Y575+Z575+AA575+AB575+AC575+AD575+AE575+AF575+AG575+AH575</f>
        <v>454923553</v>
      </c>
    </row>
    <row r="576" spans="1:35" ht="63.75" customHeight="1" x14ac:dyDescent="0.25">
      <c r="A576" s="897"/>
      <c r="B576" s="144"/>
      <c r="C576" s="846" t="s">
        <v>718</v>
      </c>
      <c r="D576" s="565" t="s">
        <v>737</v>
      </c>
      <c r="E576" s="865" t="s">
        <v>738</v>
      </c>
      <c r="F576" s="384">
        <v>0.8</v>
      </c>
      <c r="G576" s="3"/>
      <c r="H576" s="846">
        <v>145</v>
      </c>
      <c r="I576" s="565" t="s">
        <v>739</v>
      </c>
      <c r="J576" s="5" t="s">
        <v>36</v>
      </c>
      <c r="K576" s="264">
        <v>1</v>
      </c>
      <c r="L576" s="780">
        <v>0.7</v>
      </c>
      <c r="M576" s="1159"/>
      <c r="N576" s="1149"/>
      <c r="O576" s="1148"/>
      <c r="P576" s="865" t="s">
        <v>46</v>
      </c>
      <c r="Q576" s="9"/>
      <c r="R576" s="9"/>
      <c r="S576" s="9"/>
      <c r="T576" s="9"/>
      <c r="U576" s="9"/>
      <c r="V576" s="9"/>
      <c r="W576" s="9"/>
      <c r="X576" s="48">
        <v>99600000</v>
      </c>
      <c r="Y576" s="9"/>
      <c r="Z576" s="9"/>
      <c r="AA576" s="9"/>
      <c r="AB576" s="9"/>
      <c r="AC576" s="9"/>
      <c r="AD576" s="9"/>
      <c r="AE576" s="60">
        <v>0</v>
      </c>
      <c r="AF576" s="61"/>
      <c r="AG576" s="61"/>
      <c r="AH576" s="547">
        <f>0+17087760</f>
        <v>17087760</v>
      </c>
      <c r="AI576" s="900">
        <f>+Q576+R576+S576+T576+U576+V576+W576+X576+Y576+Z576+AA576+AB576+AC576+AD576+AE576+AF576+AG576+AH576</f>
        <v>116687760</v>
      </c>
    </row>
    <row r="577" spans="1:35" ht="57" customHeight="1" x14ac:dyDescent="0.25">
      <c r="A577" s="897"/>
      <c r="B577" s="144"/>
      <c r="C577" s="846" t="s">
        <v>718</v>
      </c>
      <c r="D577" s="565" t="s">
        <v>740</v>
      </c>
      <c r="E577" s="384">
        <v>0.68</v>
      </c>
      <c r="F577" s="384">
        <v>0.73</v>
      </c>
      <c r="G577" s="72"/>
      <c r="H577" s="846">
        <v>146</v>
      </c>
      <c r="I577" s="565" t="s">
        <v>741</v>
      </c>
      <c r="J577" s="865" t="s">
        <v>36</v>
      </c>
      <c r="K577" s="222">
        <v>1</v>
      </c>
      <c r="L577" s="779">
        <v>0.8</v>
      </c>
      <c r="M577" s="865" t="s">
        <v>684</v>
      </c>
      <c r="N577" s="568" t="s">
        <v>742</v>
      </c>
      <c r="O577" s="565" t="s">
        <v>743</v>
      </c>
      <c r="P577" s="865" t="s">
        <v>46</v>
      </c>
      <c r="Q577" s="9"/>
      <c r="R577" s="9"/>
      <c r="S577" s="9"/>
      <c r="T577" s="9"/>
      <c r="U577" s="9"/>
      <c r="V577" s="9"/>
      <c r="W577" s="9"/>
      <c r="X577" s="629">
        <f>42000000+3000000</f>
        <v>45000000</v>
      </c>
      <c r="Y577" s="9"/>
      <c r="Z577" s="9"/>
      <c r="AA577" s="9"/>
      <c r="AB577" s="9"/>
      <c r="AC577" s="9"/>
      <c r="AD577" s="9"/>
      <c r="AE577" s="60">
        <v>0</v>
      </c>
      <c r="AF577" s="61"/>
      <c r="AG577" s="61"/>
      <c r="AH577" s="547">
        <f>179605362-4541103-2035334</f>
        <v>173028925</v>
      </c>
      <c r="AI577" s="900">
        <f>+Q577+R577+S577+T577+U577+V577+W577+X577+Y577+Z577+AA577+AB577+AC577+AD577+AE577+AF577+AG577+AH577</f>
        <v>218028925</v>
      </c>
    </row>
    <row r="578" spans="1:35" ht="15" x14ac:dyDescent="0.25">
      <c r="A578" s="897"/>
      <c r="B578" s="144"/>
      <c r="C578" s="846"/>
      <c r="D578" s="565"/>
      <c r="E578" s="865"/>
      <c r="F578" s="865"/>
      <c r="G578" s="147"/>
      <c r="H578" s="148"/>
      <c r="I578" s="147"/>
      <c r="J578" s="148"/>
      <c r="K578" s="247"/>
      <c r="L578" s="247"/>
      <c r="M578" s="148"/>
      <c r="N578" s="584"/>
      <c r="O578" s="147"/>
      <c r="P578" s="148"/>
      <c r="Q578" s="150"/>
      <c r="R578" s="150"/>
      <c r="S578" s="150"/>
      <c r="T578" s="150"/>
      <c r="U578" s="150"/>
      <c r="V578" s="150"/>
      <c r="W578" s="150"/>
      <c r="X578" s="150">
        <f>SUM(X573:X577)</f>
        <v>345502000</v>
      </c>
      <c r="Y578" s="150"/>
      <c r="Z578" s="150"/>
      <c r="AA578" s="150"/>
      <c r="AB578" s="150">
        <f>SUM(AB573:AB577)</f>
        <v>0</v>
      </c>
      <c r="AC578" s="150"/>
      <c r="AD578" s="150"/>
      <c r="AE578" s="150">
        <f>SUM(AE573:AE577)</f>
        <v>80000000</v>
      </c>
      <c r="AF578" s="150"/>
      <c r="AG578" s="150"/>
      <c r="AH578" s="150">
        <f>SUM(AH573:AH577)</f>
        <v>515244152</v>
      </c>
      <c r="AI578" s="904">
        <f>SUM(AI573:AI577)</f>
        <v>940746152</v>
      </c>
    </row>
    <row r="579" spans="1:35" ht="15" x14ac:dyDescent="0.25">
      <c r="A579" s="897"/>
      <c r="B579" s="144"/>
      <c r="C579" s="845"/>
      <c r="D579" s="161"/>
      <c r="E579" s="845"/>
      <c r="F579" s="845"/>
      <c r="G579" s="161"/>
      <c r="H579" s="845"/>
      <c r="I579" s="161"/>
      <c r="J579" s="845"/>
      <c r="K579" s="260"/>
      <c r="L579" s="573"/>
      <c r="M579" s="566"/>
      <c r="N579" s="57"/>
      <c r="O579" s="216"/>
      <c r="P579" s="845"/>
      <c r="Q579" s="12"/>
      <c r="R579" s="12"/>
      <c r="S579" s="12"/>
      <c r="T579" s="12"/>
      <c r="U579" s="12"/>
      <c r="V579" s="12"/>
      <c r="W579" s="12"/>
      <c r="X579" s="12"/>
      <c r="Y579" s="12"/>
      <c r="Z579" s="12"/>
      <c r="AA579" s="12"/>
      <c r="AB579" s="12"/>
      <c r="AC579" s="12"/>
      <c r="AD579" s="12"/>
      <c r="AE579" s="189"/>
      <c r="AF579" s="12"/>
      <c r="AG579" s="12"/>
      <c r="AH579" s="163"/>
      <c r="AI579" s="921"/>
    </row>
    <row r="580" spans="1:35" ht="15" x14ac:dyDescent="0.25">
      <c r="A580" s="897"/>
      <c r="B580" s="144"/>
      <c r="C580" s="845"/>
      <c r="D580" s="565"/>
      <c r="E580" s="865"/>
      <c r="F580" s="865"/>
      <c r="G580" s="336">
        <v>41</v>
      </c>
      <c r="H580" s="81" t="s">
        <v>744</v>
      </c>
      <c r="I580" s="81"/>
      <c r="J580" s="81"/>
      <c r="K580" s="235"/>
      <c r="L580" s="235"/>
      <c r="M580" s="81"/>
      <c r="N580" s="88"/>
      <c r="O580" s="81"/>
      <c r="P580" s="81"/>
      <c r="Q580" s="176"/>
      <c r="R580" s="176"/>
      <c r="S580" s="176"/>
      <c r="T580" s="176"/>
      <c r="U580" s="176"/>
      <c r="V580" s="176"/>
      <c r="W580" s="176"/>
      <c r="X580" s="176"/>
      <c r="Y580" s="176"/>
      <c r="Z580" s="176"/>
      <c r="AA580" s="176"/>
      <c r="AB580" s="176"/>
      <c r="AC580" s="176"/>
      <c r="AD580" s="176"/>
      <c r="AE580" s="177"/>
      <c r="AF580" s="176"/>
      <c r="AG580" s="176"/>
      <c r="AH580" s="176"/>
      <c r="AI580" s="918"/>
    </row>
    <row r="581" spans="1:35" ht="42.75" customHeight="1" x14ac:dyDescent="0.25">
      <c r="A581" s="897"/>
      <c r="B581" s="144"/>
      <c r="C581" s="1163">
        <v>28</v>
      </c>
      <c r="D581" s="1169" t="s">
        <v>1069</v>
      </c>
      <c r="E581" s="1171">
        <v>0.5</v>
      </c>
      <c r="F581" s="1171">
        <v>1</v>
      </c>
      <c r="G581" s="1157"/>
      <c r="H581" s="846">
        <v>147</v>
      </c>
      <c r="I581" s="565" t="s">
        <v>745</v>
      </c>
      <c r="J581" s="865">
        <v>14</v>
      </c>
      <c r="K581" s="222">
        <v>14</v>
      </c>
      <c r="L581" s="222">
        <v>0</v>
      </c>
      <c r="M581" s="1157" t="s">
        <v>684</v>
      </c>
      <c r="N581" s="1101" t="s">
        <v>746</v>
      </c>
      <c r="O581" s="1099" t="s">
        <v>747</v>
      </c>
      <c r="P581" s="865" t="s">
        <v>46</v>
      </c>
      <c r="Q581" s="9"/>
      <c r="R581" s="9"/>
      <c r="S581" s="9"/>
      <c r="T581" s="9"/>
      <c r="U581" s="9"/>
      <c r="V581" s="9"/>
      <c r="W581" s="9"/>
      <c r="X581" s="629">
        <f>10000000+4000000</f>
        <v>14000000</v>
      </c>
      <c r="Y581" s="9"/>
      <c r="Z581" s="9"/>
      <c r="AA581" s="9"/>
      <c r="AB581" s="9"/>
      <c r="AC581" s="9"/>
      <c r="AD581" s="9"/>
      <c r="AE581" s="60">
        <v>0</v>
      </c>
      <c r="AF581" s="61"/>
      <c r="AG581" s="61"/>
      <c r="AH581" s="61"/>
      <c r="AI581" s="901">
        <f>+Q581+R581+S581+T581+U581+V581+W581+X581+Y581+Z581+AA581+AB581+AC581+AD581+AE581+AF581+AG581+AH581</f>
        <v>14000000</v>
      </c>
    </row>
    <row r="582" spans="1:35" ht="51" customHeight="1" x14ac:dyDescent="0.25">
      <c r="A582" s="897"/>
      <c r="B582" s="144"/>
      <c r="C582" s="1165"/>
      <c r="D582" s="1170"/>
      <c r="E582" s="1172"/>
      <c r="F582" s="1172"/>
      <c r="G582" s="1159"/>
      <c r="H582" s="846">
        <v>148</v>
      </c>
      <c r="I582" s="565" t="s">
        <v>748</v>
      </c>
      <c r="J582" s="865" t="s">
        <v>36</v>
      </c>
      <c r="K582" s="222">
        <v>11</v>
      </c>
      <c r="L582" s="222">
        <v>2</v>
      </c>
      <c r="M582" s="1159"/>
      <c r="N582" s="1149"/>
      <c r="O582" s="1148"/>
      <c r="P582" s="865" t="s">
        <v>46</v>
      </c>
      <c r="Q582" s="9"/>
      <c r="R582" s="9"/>
      <c r="S582" s="9"/>
      <c r="T582" s="9"/>
      <c r="U582" s="9"/>
      <c r="V582" s="9"/>
      <c r="W582" s="9"/>
      <c r="X582" s="629">
        <f>10000000+5000000</f>
        <v>15000000</v>
      </c>
      <c r="Y582" s="9"/>
      <c r="Z582" s="9"/>
      <c r="AA582" s="9"/>
      <c r="AB582" s="9"/>
      <c r="AC582" s="9"/>
      <c r="AD582" s="9"/>
      <c r="AE582" s="60">
        <v>0</v>
      </c>
      <c r="AF582" s="61"/>
      <c r="AG582" s="61"/>
      <c r="AH582" s="61"/>
      <c r="AI582" s="901">
        <f>+Q582+R582+S582+T582+U582+V582+W582+X582+Y582+Z582+AA582+AB582+AC582+AD582+AE582+AF582+AG582+AH582</f>
        <v>15000000</v>
      </c>
    </row>
    <row r="583" spans="1:35" ht="15" x14ac:dyDescent="0.25">
      <c r="A583" s="897"/>
      <c r="B583" s="144"/>
      <c r="C583" s="846"/>
      <c r="D583" s="565"/>
      <c r="E583" s="865"/>
      <c r="F583" s="865"/>
      <c r="G583" s="147"/>
      <c r="H583" s="148"/>
      <c r="I583" s="147"/>
      <c r="J583" s="148"/>
      <c r="K583" s="247"/>
      <c r="L583" s="247"/>
      <c r="M583" s="148"/>
      <c r="N583" s="584"/>
      <c r="O583" s="147"/>
      <c r="P583" s="148"/>
      <c r="Q583" s="150"/>
      <c r="R583" s="150"/>
      <c r="S583" s="150"/>
      <c r="T583" s="150"/>
      <c r="U583" s="150"/>
      <c r="V583" s="150"/>
      <c r="W583" s="150"/>
      <c r="X583" s="150">
        <f>SUM(X581:X582)</f>
        <v>29000000</v>
      </c>
      <c r="Y583" s="150"/>
      <c r="Z583" s="150"/>
      <c r="AA583" s="150"/>
      <c r="AB583" s="150"/>
      <c r="AC583" s="150"/>
      <c r="AD583" s="150"/>
      <c r="AE583" s="54">
        <f>SUM(AE581:AE582)</f>
        <v>0</v>
      </c>
      <c r="AF583" s="150"/>
      <c r="AG583" s="150"/>
      <c r="AH583" s="150"/>
      <c r="AI583" s="904">
        <f>SUM(AI581:AI582)</f>
        <v>29000000</v>
      </c>
    </row>
    <row r="584" spans="1:35" ht="15" x14ac:dyDescent="0.25">
      <c r="A584" s="897"/>
      <c r="B584" s="144"/>
      <c r="C584" s="845"/>
      <c r="D584" s="161"/>
      <c r="E584" s="845"/>
      <c r="F584" s="845"/>
      <c r="G584" s="161"/>
      <c r="H584" s="845"/>
      <c r="I584" s="161"/>
      <c r="J584" s="845"/>
      <c r="K584" s="260"/>
      <c r="L584" s="573"/>
      <c r="M584" s="566"/>
      <c r="N584" s="57"/>
      <c r="O584" s="216"/>
      <c r="P584" s="845"/>
      <c r="Q584" s="12"/>
      <c r="R584" s="12"/>
      <c r="S584" s="12"/>
      <c r="T584" s="12"/>
      <c r="U584" s="12"/>
      <c r="V584" s="12"/>
      <c r="W584" s="12"/>
      <c r="X584" s="12"/>
      <c r="Y584" s="12"/>
      <c r="Z584" s="12"/>
      <c r="AA584" s="12"/>
      <c r="AB584" s="12"/>
      <c r="AC584" s="12"/>
      <c r="AD584" s="12"/>
      <c r="AE584" s="189"/>
      <c r="AF584" s="12"/>
      <c r="AG584" s="12"/>
      <c r="AH584" s="12"/>
      <c r="AI584" s="921"/>
    </row>
    <row r="585" spans="1:35" ht="15" x14ac:dyDescent="0.25">
      <c r="A585" s="897"/>
      <c r="B585" s="144"/>
      <c r="C585" s="845"/>
      <c r="D585" s="565"/>
      <c r="E585" s="865"/>
      <c r="F585" s="865"/>
      <c r="G585" s="336">
        <v>42</v>
      </c>
      <c r="H585" s="81" t="s">
        <v>749</v>
      </c>
      <c r="I585" s="81"/>
      <c r="J585" s="81"/>
      <c r="K585" s="235"/>
      <c r="L585" s="235"/>
      <c r="M585" s="81"/>
      <c r="N585" s="88"/>
      <c r="O585" s="81"/>
      <c r="P585" s="81"/>
      <c r="Q585" s="176"/>
      <c r="R585" s="176"/>
      <c r="S585" s="176"/>
      <c r="T585" s="176"/>
      <c r="U585" s="176"/>
      <c r="V585" s="176"/>
      <c r="W585" s="176"/>
      <c r="X585" s="176"/>
      <c r="Y585" s="176"/>
      <c r="Z585" s="176"/>
      <c r="AA585" s="176"/>
      <c r="AB585" s="176"/>
      <c r="AC585" s="176"/>
      <c r="AD585" s="176"/>
      <c r="AE585" s="177"/>
      <c r="AF585" s="176"/>
      <c r="AG585" s="176"/>
      <c r="AH585" s="176"/>
      <c r="AI585" s="918"/>
    </row>
    <row r="586" spans="1:35" ht="66" customHeight="1" x14ac:dyDescent="0.25">
      <c r="A586" s="897"/>
      <c r="B586" s="144"/>
      <c r="C586" s="851" t="s">
        <v>718</v>
      </c>
      <c r="D586" s="7" t="s">
        <v>750</v>
      </c>
      <c r="E586" s="7" t="s">
        <v>751</v>
      </c>
      <c r="F586" s="7" t="s">
        <v>752</v>
      </c>
      <c r="G586" s="1179"/>
      <c r="H586" s="1">
        <v>149</v>
      </c>
      <c r="I586" s="565" t="s">
        <v>753</v>
      </c>
      <c r="J586" s="865" t="s">
        <v>36</v>
      </c>
      <c r="K586" s="222">
        <v>8</v>
      </c>
      <c r="L586" s="222">
        <v>6</v>
      </c>
      <c r="M586" s="1157" t="s">
        <v>684</v>
      </c>
      <c r="N586" s="1101" t="s">
        <v>754</v>
      </c>
      <c r="O586" s="1100" t="s">
        <v>755</v>
      </c>
      <c r="P586" s="865" t="s">
        <v>46</v>
      </c>
      <c r="Q586" s="9"/>
      <c r="R586" s="9"/>
      <c r="S586" s="9"/>
      <c r="T586" s="9"/>
      <c r="U586" s="9"/>
      <c r="V586" s="9"/>
      <c r="W586" s="9"/>
      <c r="X586" s="48">
        <v>48000000</v>
      </c>
      <c r="Y586" s="9"/>
      <c r="Z586" s="9"/>
      <c r="AA586" s="9"/>
      <c r="AB586" s="9"/>
      <c r="AC586" s="9"/>
      <c r="AD586" s="9"/>
      <c r="AE586" s="60">
        <v>0</v>
      </c>
      <c r="AF586" s="61"/>
      <c r="AG586" s="61"/>
      <c r="AH586" s="61"/>
      <c r="AI586" s="901">
        <f>+Q586+R586+S586+T586+U586+V586+W586+X586+Y586+Z586+AA586+AB586+AC586+AD586+AE586+AF586+AG586+AH586</f>
        <v>48000000</v>
      </c>
    </row>
    <row r="587" spans="1:35" ht="42.75" x14ac:dyDescent="0.25">
      <c r="A587" s="897"/>
      <c r="B587" s="144"/>
      <c r="C587" s="865">
        <v>28</v>
      </c>
      <c r="D587" s="7" t="s">
        <v>756</v>
      </c>
      <c r="E587" s="384">
        <v>0.5</v>
      </c>
      <c r="F587" s="384">
        <v>1</v>
      </c>
      <c r="G587" s="1180"/>
      <c r="H587" s="1">
        <v>150</v>
      </c>
      <c r="I587" s="565" t="s">
        <v>757</v>
      </c>
      <c r="J587" s="865">
        <v>0</v>
      </c>
      <c r="K587" s="222">
        <v>14</v>
      </c>
      <c r="L587" s="222">
        <v>14</v>
      </c>
      <c r="M587" s="1159"/>
      <c r="N587" s="1149"/>
      <c r="O587" s="1148"/>
      <c r="P587" s="865" t="s">
        <v>46</v>
      </c>
      <c r="Q587" s="9"/>
      <c r="R587" s="9"/>
      <c r="S587" s="9"/>
      <c r="T587" s="9"/>
      <c r="U587" s="9"/>
      <c r="V587" s="9"/>
      <c r="W587" s="9"/>
      <c r="X587" s="48">
        <v>28000000</v>
      </c>
      <c r="Y587" s="9"/>
      <c r="Z587" s="9"/>
      <c r="AA587" s="9"/>
      <c r="AB587" s="9"/>
      <c r="AC587" s="9"/>
      <c r="AD587" s="9"/>
      <c r="AE587" s="60">
        <v>0</v>
      </c>
      <c r="AF587" s="61"/>
      <c r="AG587" s="61"/>
      <c r="AH587" s="61"/>
      <c r="AI587" s="901">
        <f>+Q587+R587+S587+T587+U587+V587+W587+X587+Y587+Z587+AA587+AB587+AC587+AD587+AE587+AF587+AG587+AH587</f>
        <v>28000000</v>
      </c>
    </row>
    <row r="588" spans="1:35" ht="15" x14ac:dyDescent="0.25">
      <c r="A588" s="897"/>
      <c r="B588" s="144"/>
      <c r="C588" s="846"/>
      <c r="D588" s="565"/>
      <c r="E588" s="865"/>
      <c r="F588" s="865"/>
      <c r="G588" s="299"/>
      <c r="H588" s="149"/>
      <c r="I588" s="147"/>
      <c r="J588" s="148"/>
      <c r="K588" s="247"/>
      <c r="L588" s="247"/>
      <c r="M588" s="148"/>
      <c r="N588" s="584"/>
      <c r="O588" s="147"/>
      <c r="P588" s="148"/>
      <c r="Q588" s="150"/>
      <c r="R588" s="150"/>
      <c r="S588" s="150"/>
      <c r="T588" s="150"/>
      <c r="U588" s="150"/>
      <c r="V588" s="150"/>
      <c r="W588" s="150"/>
      <c r="X588" s="150">
        <f>SUM(X586:X587)</f>
        <v>76000000</v>
      </c>
      <c r="Y588" s="150"/>
      <c r="Z588" s="150"/>
      <c r="AA588" s="150"/>
      <c r="AB588" s="150"/>
      <c r="AC588" s="150"/>
      <c r="AD588" s="150"/>
      <c r="AE588" s="54">
        <f>SUM(AE586:AE587)</f>
        <v>0</v>
      </c>
      <c r="AF588" s="150"/>
      <c r="AG588" s="150"/>
      <c r="AH588" s="150"/>
      <c r="AI588" s="904">
        <f>SUM(AI586:AI587)</f>
        <v>76000000</v>
      </c>
    </row>
    <row r="589" spans="1:35" ht="15" x14ac:dyDescent="0.25">
      <c r="A589" s="897"/>
      <c r="B589" s="144"/>
      <c r="C589" s="845"/>
      <c r="D589" s="161"/>
      <c r="E589" s="845"/>
      <c r="F589" s="845"/>
      <c r="G589" s="161"/>
      <c r="H589" s="845"/>
      <c r="I589" s="161"/>
      <c r="J589" s="845"/>
      <c r="K589" s="260"/>
      <c r="L589" s="573"/>
      <c r="M589" s="566"/>
      <c r="N589" s="57"/>
      <c r="O589" s="216"/>
      <c r="P589" s="845"/>
      <c r="Q589" s="12"/>
      <c r="R589" s="12"/>
      <c r="S589" s="12"/>
      <c r="T589" s="12"/>
      <c r="U589" s="12"/>
      <c r="V589" s="12"/>
      <c r="W589" s="12"/>
      <c r="X589" s="12"/>
      <c r="Y589" s="12"/>
      <c r="Z589" s="12"/>
      <c r="AA589" s="12"/>
      <c r="AB589" s="12"/>
      <c r="AC589" s="12"/>
      <c r="AD589" s="12"/>
      <c r="AE589" s="189"/>
      <c r="AF589" s="12"/>
      <c r="AG589" s="12"/>
      <c r="AH589" s="163"/>
      <c r="AI589" s="921"/>
    </row>
    <row r="590" spans="1:35" ht="15" x14ac:dyDescent="0.25">
      <c r="A590" s="897"/>
      <c r="B590" s="325"/>
      <c r="C590" s="851"/>
      <c r="D590" s="832"/>
      <c r="E590" s="851"/>
      <c r="F590" s="851"/>
      <c r="G590" s="336">
        <v>43</v>
      </c>
      <c r="H590" s="81" t="s">
        <v>758</v>
      </c>
      <c r="I590" s="81"/>
      <c r="J590" s="81"/>
      <c r="K590" s="235"/>
      <c r="L590" s="235"/>
      <c r="M590" s="81"/>
      <c r="N590" s="88"/>
      <c r="O590" s="81"/>
      <c r="P590" s="81"/>
      <c r="Q590" s="176"/>
      <c r="R590" s="176"/>
      <c r="S590" s="176"/>
      <c r="T590" s="176"/>
      <c r="U590" s="176"/>
      <c r="V590" s="176"/>
      <c r="W590" s="176"/>
      <c r="X590" s="176"/>
      <c r="Y590" s="176"/>
      <c r="Z590" s="176"/>
      <c r="AA590" s="176"/>
      <c r="AB590" s="176"/>
      <c r="AC590" s="176"/>
      <c r="AD590" s="176"/>
      <c r="AE590" s="177"/>
      <c r="AF590" s="176"/>
      <c r="AG590" s="176"/>
      <c r="AH590" s="176"/>
      <c r="AI590" s="918"/>
    </row>
    <row r="591" spans="1:35" ht="113.25" customHeight="1" x14ac:dyDescent="0.25">
      <c r="A591" s="897"/>
      <c r="B591" s="325"/>
      <c r="C591" s="852" t="s">
        <v>718</v>
      </c>
      <c r="D591" s="1100" t="s">
        <v>759</v>
      </c>
      <c r="E591" s="1184">
        <v>0</v>
      </c>
      <c r="F591" s="1184">
        <v>1</v>
      </c>
      <c r="G591" s="1163"/>
      <c r="H591" s="865">
        <v>151</v>
      </c>
      <c r="I591" s="565" t="s">
        <v>760</v>
      </c>
      <c r="J591" s="865" t="s">
        <v>36</v>
      </c>
      <c r="K591" s="222">
        <v>12</v>
      </c>
      <c r="L591" s="222">
        <v>12</v>
      </c>
      <c r="M591" s="1157" t="s">
        <v>684</v>
      </c>
      <c r="N591" s="1101" t="s">
        <v>761</v>
      </c>
      <c r="O591" s="1157" t="s">
        <v>762</v>
      </c>
      <c r="P591" s="266" t="s">
        <v>46</v>
      </c>
      <c r="Q591" s="9"/>
      <c r="R591" s="9"/>
      <c r="S591" s="9"/>
      <c r="T591" s="9"/>
      <c r="U591" s="9"/>
      <c r="V591" s="9"/>
      <c r="W591" s="399"/>
      <c r="X591" s="750">
        <f>48000000+32000000</f>
        <v>80000000</v>
      </c>
      <c r="Y591" s="9"/>
      <c r="Z591" s="9"/>
      <c r="AA591" s="9"/>
      <c r="AB591" s="9"/>
      <c r="AC591" s="9"/>
      <c r="AD591" s="9"/>
      <c r="AE591" s="60">
        <v>36000000</v>
      </c>
      <c r="AF591" s="9"/>
      <c r="AG591" s="9"/>
      <c r="AH591" s="9"/>
      <c r="AI591" s="901">
        <f>+Q591+R591+S591+T591+U591+V591+W591+X591+Y591+Z591+AA591+AB591+AC591+AD591+AE591+AF591+AG591+AH591</f>
        <v>116000000</v>
      </c>
    </row>
    <row r="592" spans="1:35" ht="77.25" customHeight="1" x14ac:dyDescent="0.25">
      <c r="A592" s="897"/>
      <c r="B592" s="325"/>
      <c r="C592" s="852"/>
      <c r="D592" s="1148"/>
      <c r="E592" s="1185"/>
      <c r="F592" s="1185"/>
      <c r="G592" s="1164"/>
      <c r="H592" s="865">
        <v>152</v>
      </c>
      <c r="I592" s="565" t="s">
        <v>763</v>
      </c>
      <c r="J592" s="865" t="s">
        <v>36</v>
      </c>
      <c r="K592" s="222">
        <v>1</v>
      </c>
      <c r="L592" s="222">
        <v>1</v>
      </c>
      <c r="M592" s="1158"/>
      <c r="N592" s="1102"/>
      <c r="O592" s="1158"/>
      <c r="P592" s="266" t="s">
        <v>46</v>
      </c>
      <c r="Q592" s="9"/>
      <c r="R592" s="9"/>
      <c r="S592" s="9"/>
      <c r="T592" s="9"/>
      <c r="U592" s="9"/>
      <c r="V592" s="9"/>
      <c r="W592" s="9"/>
      <c r="X592" s="629">
        <f>48000000+18000000</f>
        <v>66000000</v>
      </c>
      <c r="Y592" s="9"/>
      <c r="Z592" s="9"/>
      <c r="AA592" s="9"/>
      <c r="AB592" s="9"/>
      <c r="AC592" s="9"/>
      <c r="AD592" s="9"/>
      <c r="AE592" s="60">
        <v>0</v>
      </c>
      <c r="AF592" s="61"/>
      <c r="AG592" s="61"/>
      <c r="AH592" s="61"/>
      <c r="AI592" s="901">
        <f>+Q592+R592+S592+T592+U592+V592+W592+X592+Y592+Z592+AA592+AB592+AC592+AD592+AE592+AF592+AG592+AH592</f>
        <v>66000000</v>
      </c>
    </row>
    <row r="593" spans="1:35" ht="88.5" customHeight="1" x14ac:dyDescent="0.25">
      <c r="A593" s="897"/>
      <c r="B593" s="325"/>
      <c r="C593" s="852" t="s">
        <v>718</v>
      </c>
      <c r="D593" s="849" t="s">
        <v>764</v>
      </c>
      <c r="E593" s="862">
        <v>0</v>
      </c>
      <c r="F593" s="862">
        <v>1</v>
      </c>
      <c r="G593" s="857"/>
      <c r="H593" s="865">
        <v>153</v>
      </c>
      <c r="I593" s="565" t="s">
        <v>765</v>
      </c>
      <c r="J593" s="865" t="s">
        <v>36</v>
      </c>
      <c r="K593" s="222">
        <v>150</v>
      </c>
      <c r="L593" s="222">
        <v>295</v>
      </c>
      <c r="M593" s="1159"/>
      <c r="N593" s="1149"/>
      <c r="O593" s="1159"/>
      <c r="P593" s="266" t="s">
        <v>46</v>
      </c>
      <c r="Q593" s="9"/>
      <c r="R593" s="9"/>
      <c r="S593" s="9"/>
      <c r="T593" s="9"/>
      <c r="U593" s="9"/>
      <c r="V593" s="9"/>
      <c r="W593" s="9"/>
      <c r="X593" s="48">
        <v>20000000</v>
      </c>
      <c r="Y593" s="9"/>
      <c r="Z593" s="546">
        <f>820000000+2800528+590675459</f>
        <v>1413475987</v>
      </c>
      <c r="AA593" s="546"/>
      <c r="AB593" s="9"/>
      <c r="AC593" s="9"/>
      <c r="AD593" s="9"/>
      <c r="AE593" s="60">
        <v>0</v>
      </c>
      <c r="AF593" s="61"/>
      <c r="AG593" s="61"/>
      <c r="AH593" s="61"/>
      <c r="AI593" s="901">
        <f>+Q593+R593+S593+T593+U593+V593+W593+X593+Y593+Z593+AA593+AB593+AC593+AD593+AE593+AF593+AG593+AH593</f>
        <v>1433475987</v>
      </c>
    </row>
    <row r="594" spans="1:35" ht="19.5" customHeight="1" x14ac:dyDescent="0.25">
      <c r="A594" s="897"/>
      <c r="B594" s="144"/>
      <c r="C594" s="846"/>
      <c r="D594" s="565"/>
      <c r="E594" s="865"/>
      <c r="F594" s="865"/>
      <c r="G594" s="147"/>
      <c r="H594" s="148"/>
      <c r="I594" s="147"/>
      <c r="J594" s="148"/>
      <c r="K594" s="389"/>
      <c r="L594" s="389"/>
      <c r="M594" s="149"/>
      <c r="N594" s="584"/>
      <c r="O594" s="147"/>
      <c r="P594" s="148"/>
      <c r="Q594" s="150"/>
      <c r="R594" s="150"/>
      <c r="S594" s="150"/>
      <c r="T594" s="150"/>
      <c r="U594" s="150"/>
      <c r="V594" s="150"/>
      <c r="W594" s="150"/>
      <c r="X594" s="150">
        <f>SUM(X591:X593)</f>
        <v>166000000</v>
      </c>
      <c r="Y594" s="150">
        <f>SUM(Y591:Y593)</f>
        <v>0</v>
      </c>
      <c r="Z594" s="150">
        <f>SUM(Z591:Z593)</f>
        <v>1413475987</v>
      </c>
      <c r="AA594" s="150"/>
      <c r="AB594" s="150">
        <f>SUM(AB591:AB593)</f>
        <v>0</v>
      </c>
      <c r="AC594" s="150"/>
      <c r="AD594" s="150"/>
      <c r="AE594" s="150">
        <f>SUM(AE591:AE593)</f>
        <v>36000000</v>
      </c>
      <c r="AF594" s="150"/>
      <c r="AG594" s="150"/>
      <c r="AH594" s="150"/>
      <c r="AI594" s="904">
        <f>SUM(AI591:AI593)</f>
        <v>1615475987</v>
      </c>
    </row>
    <row r="595" spans="1:35" ht="22.5" customHeight="1" x14ac:dyDescent="0.25">
      <c r="A595" s="897"/>
      <c r="B595" s="144"/>
      <c r="C595" s="845"/>
      <c r="D595" s="161"/>
      <c r="E595" s="845"/>
      <c r="F595" s="845"/>
      <c r="G595" s="161"/>
      <c r="H595" s="845"/>
      <c r="I595" s="161"/>
      <c r="J595" s="845"/>
      <c r="K595" s="260"/>
      <c r="L595" s="573"/>
      <c r="M595" s="566"/>
      <c r="N595" s="57"/>
      <c r="O595" s="216"/>
      <c r="P595" s="845"/>
      <c r="Q595" s="12"/>
      <c r="R595" s="12"/>
      <c r="S595" s="12"/>
      <c r="T595" s="12"/>
      <c r="U595" s="12"/>
      <c r="V595" s="12"/>
      <c r="W595" s="12"/>
      <c r="X595" s="12"/>
      <c r="Y595" s="12"/>
      <c r="Z595" s="12"/>
      <c r="AA595" s="12"/>
      <c r="AB595" s="12"/>
      <c r="AC595" s="12"/>
      <c r="AD595" s="12"/>
      <c r="AE595" s="189"/>
      <c r="AF595" s="12"/>
      <c r="AG595" s="12"/>
      <c r="AH595" s="12"/>
      <c r="AI595" s="921"/>
    </row>
    <row r="596" spans="1:35" ht="15" x14ac:dyDescent="0.25">
      <c r="A596" s="897"/>
      <c r="B596" s="144"/>
      <c r="C596" s="566"/>
      <c r="D596" s="832"/>
      <c r="E596" s="851"/>
      <c r="F596" s="851"/>
      <c r="G596" s="398">
        <v>44</v>
      </c>
      <c r="H596" s="81" t="s">
        <v>766</v>
      </c>
      <c r="I596" s="81"/>
      <c r="J596" s="81"/>
      <c r="K596" s="235"/>
      <c r="L596" s="235"/>
      <c r="M596" s="81"/>
      <c r="N596" s="88"/>
      <c r="O596" s="81"/>
      <c r="P596" s="81"/>
      <c r="Q596" s="176"/>
      <c r="R596" s="176"/>
      <c r="S596" s="176"/>
      <c r="T596" s="176"/>
      <c r="U596" s="176"/>
      <c r="V596" s="176"/>
      <c r="W596" s="176"/>
      <c r="X596" s="176"/>
      <c r="Y596" s="176"/>
      <c r="Z596" s="176"/>
      <c r="AA596" s="176"/>
      <c r="AB596" s="176"/>
      <c r="AC596" s="176"/>
      <c r="AD596" s="176"/>
      <c r="AE596" s="177"/>
      <c r="AF596" s="176"/>
      <c r="AG596" s="176"/>
      <c r="AH596" s="176"/>
      <c r="AI596" s="918"/>
    </row>
    <row r="597" spans="1:35" ht="94.5" customHeight="1" x14ac:dyDescent="0.25">
      <c r="A597" s="897"/>
      <c r="B597" s="325"/>
      <c r="C597" s="865">
        <v>37</v>
      </c>
      <c r="D597" s="565" t="s">
        <v>677</v>
      </c>
      <c r="E597" s="865" t="s">
        <v>61</v>
      </c>
      <c r="F597" s="384">
        <v>0.6</v>
      </c>
      <c r="G597" s="7"/>
      <c r="H597" s="865">
        <v>154</v>
      </c>
      <c r="I597" s="565" t="s">
        <v>767</v>
      </c>
      <c r="J597" s="865" t="s">
        <v>36</v>
      </c>
      <c r="K597" s="59">
        <v>5</v>
      </c>
      <c r="L597" s="59">
        <v>5</v>
      </c>
      <c r="M597" s="1181" t="s">
        <v>684</v>
      </c>
      <c r="N597" s="1101" t="s">
        <v>768</v>
      </c>
      <c r="O597" s="1099" t="s">
        <v>769</v>
      </c>
      <c r="P597" s="865" t="s">
        <v>46</v>
      </c>
      <c r="Q597" s="9"/>
      <c r="R597" s="9"/>
      <c r="S597" s="9"/>
      <c r="T597" s="9"/>
      <c r="U597" s="9"/>
      <c r="V597" s="9"/>
      <c r="W597" s="9"/>
      <c r="X597" s="629">
        <f>44000000+14000000</f>
        <v>58000000</v>
      </c>
      <c r="Y597" s="9"/>
      <c r="Z597" s="9"/>
      <c r="AA597" s="9"/>
      <c r="AB597" s="9"/>
      <c r="AC597" s="9"/>
      <c r="AD597" s="9"/>
      <c r="AE597" s="60">
        <v>0</v>
      </c>
      <c r="AF597" s="61"/>
      <c r="AG597" s="61"/>
      <c r="AH597" s="61"/>
      <c r="AI597" s="901">
        <f>+Q597+R597+S597+T597+U597+V597+W597+X597+Y597+Z597+AA597+AB597+AC597+AD597+AE597+AF597+AG597+AH597</f>
        <v>58000000</v>
      </c>
    </row>
    <row r="598" spans="1:35" ht="68.25" customHeight="1" x14ac:dyDescent="0.25">
      <c r="A598" s="897"/>
      <c r="B598" s="325"/>
      <c r="C598" s="853">
        <v>13</v>
      </c>
      <c r="D598" s="860" t="s">
        <v>1070</v>
      </c>
      <c r="E598" s="866">
        <v>71.040000000000006</v>
      </c>
      <c r="F598" s="446">
        <v>0.88170000000000004</v>
      </c>
      <c r="G598" s="7"/>
      <c r="H598" s="865">
        <v>155</v>
      </c>
      <c r="I598" s="565" t="s">
        <v>770</v>
      </c>
      <c r="J598" s="865">
        <v>0</v>
      </c>
      <c r="K598" s="59">
        <v>1</v>
      </c>
      <c r="L598" s="59">
        <v>1</v>
      </c>
      <c r="M598" s="1179"/>
      <c r="N598" s="1102"/>
      <c r="O598" s="1100"/>
      <c r="P598" s="266" t="s">
        <v>46</v>
      </c>
      <c r="Q598" s="9"/>
      <c r="R598" s="9"/>
      <c r="S598" s="9"/>
      <c r="T598" s="9"/>
      <c r="U598" s="9"/>
      <c r="V598" s="9"/>
      <c r="W598" s="9"/>
      <c r="X598" s="629">
        <f>84000000+15500000</f>
        <v>99500000</v>
      </c>
      <c r="Y598" s="9"/>
      <c r="Z598" s="9"/>
      <c r="AA598" s="9"/>
      <c r="AB598" s="9"/>
      <c r="AC598" s="9"/>
      <c r="AD598" s="9"/>
      <c r="AE598" s="60">
        <v>0</v>
      </c>
      <c r="AF598" s="61"/>
      <c r="AG598" s="61"/>
      <c r="AH598" s="61"/>
      <c r="AI598" s="901">
        <f>+Q598+R598+S598+T598+U598+V598+W598+X598+Y598+Z598+AA598+AB598+AC598+AD598+AE598+AF598+AG598+AH598</f>
        <v>99500000</v>
      </c>
    </row>
    <row r="599" spans="1:35" ht="188.25" customHeight="1" x14ac:dyDescent="0.25">
      <c r="A599" s="897"/>
      <c r="B599" s="325"/>
      <c r="C599" s="853" t="s">
        <v>771</v>
      </c>
      <c r="D599" s="849" t="s">
        <v>772</v>
      </c>
      <c r="E599" s="853" t="s">
        <v>773</v>
      </c>
      <c r="F599" s="853" t="s">
        <v>774</v>
      </c>
      <c r="G599" s="6"/>
      <c r="H599" s="865">
        <v>156</v>
      </c>
      <c r="I599" s="565" t="s">
        <v>775</v>
      </c>
      <c r="J599" s="865">
        <v>12</v>
      </c>
      <c r="K599" s="59">
        <v>12</v>
      </c>
      <c r="L599" s="59">
        <v>12</v>
      </c>
      <c r="M599" s="1179"/>
      <c r="N599" s="1102"/>
      <c r="O599" s="1100"/>
      <c r="P599" s="266" t="s">
        <v>46</v>
      </c>
      <c r="Q599" s="9"/>
      <c r="R599" s="9"/>
      <c r="S599" s="9"/>
      <c r="T599" s="9"/>
      <c r="U599" s="9"/>
      <c r="V599" s="9"/>
      <c r="W599" s="9"/>
      <c r="X599" s="629">
        <f>92000000+11916251</f>
        <v>103916251</v>
      </c>
      <c r="Y599" s="9"/>
      <c r="Z599" s="9"/>
      <c r="AA599" s="9"/>
      <c r="AB599" s="9"/>
      <c r="AC599" s="9"/>
      <c r="AD599" s="9"/>
      <c r="AE599" s="60">
        <v>0</v>
      </c>
      <c r="AF599" s="61"/>
      <c r="AG599" s="61"/>
      <c r="AH599" s="61"/>
      <c r="AI599" s="901">
        <f>+Q599+R599+S599+T599+U599+V599+W599+X599+Y599+Z599+AA599+AB599+AC599+AD599+AE599+AF599+AG599+AH599</f>
        <v>103916251</v>
      </c>
    </row>
    <row r="600" spans="1:35" ht="54.75" customHeight="1" x14ac:dyDescent="0.25">
      <c r="A600" s="897"/>
      <c r="B600" s="325"/>
      <c r="C600" s="865">
        <v>34</v>
      </c>
      <c r="D600" s="265" t="s">
        <v>1071</v>
      </c>
      <c r="E600" s="866" t="s">
        <v>36</v>
      </c>
      <c r="F600" s="384">
        <v>0.4</v>
      </c>
      <c r="G600" s="6"/>
      <c r="H600" s="865">
        <v>157</v>
      </c>
      <c r="I600" s="565" t="s">
        <v>776</v>
      </c>
      <c r="J600" s="865">
        <v>12</v>
      </c>
      <c r="K600" s="59">
        <v>12</v>
      </c>
      <c r="L600" s="59">
        <v>9</v>
      </c>
      <c r="M600" s="1180"/>
      <c r="N600" s="1149"/>
      <c r="O600" s="1148"/>
      <c r="P600" s="266" t="s">
        <v>46</v>
      </c>
      <c r="Q600" s="9"/>
      <c r="R600" s="9"/>
      <c r="S600" s="9"/>
      <c r="T600" s="9"/>
      <c r="U600" s="9"/>
      <c r="V600" s="9"/>
      <c r="W600" s="9"/>
      <c r="X600" s="48">
        <v>56000000</v>
      </c>
      <c r="Y600" s="9"/>
      <c r="Z600" s="9"/>
      <c r="AA600" s="9"/>
      <c r="AB600" s="9"/>
      <c r="AC600" s="9"/>
      <c r="AD600" s="9"/>
      <c r="AE600" s="60">
        <v>0</v>
      </c>
      <c r="AF600" s="61"/>
      <c r="AG600" s="61"/>
      <c r="AH600" s="61"/>
      <c r="AI600" s="901">
        <f>+Q600+R600+S600+T600+U600+V600+W600+X600+Y600+Z600+AA600+AB600+AC600+AD600+AE600+AF600+AG600+AH600</f>
        <v>56000000</v>
      </c>
    </row>
    <row r="601" spans="1:35" ht="15" x14ac:dyDescent="0.25">
      <c r="A601" s="897"/>
      <c r="B601" s="144"/>
      <c r="C601" s="858"/>
      <c r="D601" s="849"/>
      <c r="E601" s="853"/>
      <c r="F601" s="853"/>
      <c r="G601" s="147"/>
      <c r="H601" s="148"/>
      <c r="I601" s="147"/>
      <c r="J601" s="148"/>
      <c r="K601" s="389"/>
      <c r="L601" s="389"/>
      <c r="M601" s="149"/>
      <c r="N601" s="584"/>
      <c r="O601" s="147"/>
      <c r="P601" s="148"/>
      <c r="Q601" s="150"/>
      <c r="R601" s="150"/>
      <c r="S601" s="150"/>
      <c r="T601" s="150"/>
      <c r="U601" s="150"/>
      <c r="V601" s="150"/>
      <c r="W601" s="150"/>
      <c r="X601" s="150">
        <f>SUM(X597:X600)</f>
        <v>317416251</v>
      </c>
      <c r="Y601" s="150"/>
      <c r="Z601" s="150"/>
      <c r="AA601" s="150"/>
      <c r="AB601" s="150"/>
      <c r="AC601" s="150"/>
      <c r="AD601" s="150"/>
      <c r="AE601" s="54">
        <f>SUM(AE597:AE600)</f>
        <v>0</v>
      </c>
      <c r="AF601" s="150"/>
      <c r="AG601" s="150"/>
      <c r="AH601" s="150"/>
      <c r="AI601" s="904">
        <f>SUM(AI597:AI600)</f>
        <v>317416251</v>
      </c>
    </row>
    <row r="602" spans="1:35" ht="15" x14ac:dyDescent="0.25">
      <c r="A602" s="897"/>
      <c r="B602" s="144"/>
      <c r="C602" s="845"/>
      <c r="D602" s="161"/>
      <c r="E602" s="845"/>
      <c r="F602" s="845"/>
      <c r="G602" s="161"/>
      <c r="H602" s="845"/>
      <c r="I602" s="161"/>
      <c r="J602" s="845"/>
      <c r="K602" s="260"/>
      <c r="L602" s="573"/>
      <c r="M602" s="566"/>
      <c r="N602" s="57"/>
      <c r="O602" s="216"/>
      <c r="P602" s="845"/>
      <c r="Q602" s="12"/>
      <c r="R602" s="12"/>
      <c r="S602" s="12"/>
      <c r="T602" s="12"/>
      <c r="U602" s="12"/>
      <c r="V602" s="12"/>
      <c r="W602" s="12"/>
      <c r="X602" s="12"/>
      <c r="Y602" s="12"/>
      <c r="Z602" s="12"/>
      <c r="AA602" s="12"/>
      <c r="AB602" s="12"/>
      <c r="AC602" s="12"/>
      <c r="AD602" s="12"/>
      <c r="AE602" s="189"/>
      <c r="AF602" s="12"/>
      <c r="AG602" s="12"/>
      <c r="AH602" s="12"/>
      <c r="AI602" s="921"/>
    </row>
    <row r="603" spans="1:35" ht="15" x14ac:dyDescent="0.25">
      <c r="A603" s="897"/>
      <c r="B603" s="144"/>
      <c r="C603" s="845"/>
      <c r="D603" s="565"/>
      <c r="E603" s="865"/>
      <c r="F603" s="865"/>
      <c r="G603" s="336">
        <v>45</v>
      </c>
      <c r="H603" s="81" t="s">
        <v>777</v>
      </c>
      <c r="I603" s="81"/>
      <c r="J603" s="81"/>
      <c r="K603" s="235"/>
      <c r="L603" s="235"/>
      <c r="M603" s="81"/>
      <c r="N603" s="88"/>
      <c r="O603" s="81"/>
      <c r="P603" s="81"/>
      <c r="Q603" s="176"/>
      <c r="R603" s="176"/>
      <c r="S603" s="176"/>
      <c r="T603" s="176"/>
      <c r="U603" s="176"/>
      <c r="V603" s="176"/>
      <c r="W603" s="176"/>
      <c r="X603" s="176"/>
      <c r="Y603" s="176"/>
      <c r="Z603" s="176"/>
      <c r="AA603" s="176"/>
      <c r="AB603" s="176"/>
      <c r="AC603" s="176"/>
      <c r="AD603" s="176"/>
      <c r="AE603" s="177"/>
      <c r="AF603" s="176"/>
      <c r="AG603" s="176"/>
      <c r="AH603" s="176"/>
      <c r="AI603" s="918"/>
    </row>
    <row r="604" spans="1:35" ht="110.25" customHeight="1" x14ac:dyDescent="0.25">
      <c r="A604" s="897"/>
      <c r="B604" s="144"/>
      <c r="C604" s="1182" t="s">
        <v>778</v>
      </c>
      <c r="D604" s="1099" t="s">
        <v>779</v>
      </c>
      <c r="E604" s="1157" t="s">
        <v>780</v>
      </c>
      <c r="F604" s="1157" t="s">
        <v>781</v>
      </c>
      <c r="G604" s="1181"/>
      <c r="H604" s="1">
        <v>158</v>
      </c>
      <c r="I604" s="565" t="s">
        <v>782</v>
      </c>
      <c r="J604" s="1" t="s">
        <v>36</v>
      </c>
      <c r="K604" s="222">
        <v>11</v>
      </c>
      <c r="L604" s="222">
        <v>11</v>
      </c>
      <c r="M604" s="1157" t="s">
        <v>684</v>
      </c>
      <c r="N604" s="1101" t="s">
        <v>783</v>
      </c>
      <c r="O604" s="1099" t="s">
        <v>784</v>
      </c>
      <c r="P604" s="865" t="s">
        <v>46</v>
      </c>
      <c r="Q604" s="9"/>
      <c r="R604" s="9"/>
      <c r="S604" s="9"/>
      <c r="T604" s="9"/>
      <c r="U604" s="9"/>
      <c r="V604" s="9"/>
      <c r="W604" s="9"/>
      <c r="X604" s="629">
        <f>1222110000+160097111+102300000+33000000</f>
        <v>1517507111</v>
      </c>
      <c r="Y604" s="9"/>
      <c r="Z604" s="9"/>
      <c r="AA604" s="9"/>
      <c r="AB604" s="9"/>
      <c r="AC604" s="9"/>
      <c r="AD604" s="9"/>
      <c r="AE604" s="60">
        <v>0</v>
      </c>
      <c r="AF604" s="61"/>
      <c r="AG604" s="61"/>
      <c r="AH604" s="61"/>
      <c r="AI604" s="901">
        <f>+Q604+R604+S604+T604+U604+V604+W604+X604+Y604+Z604+AA604+AB604+AC604+AD604+AE604+AF604+AG604+AH604</f>
        <v>1517507111</v>
      </c>
    </row>
    <row r="605" spans="1:35" ht="110.25" customHeight="1" x14ac:dyDescent="0.25">
      <c r="A605" s="897"/>
      <c r="B605" s="144"/>
      <c r="C605" s="1183"/>
      <c r="D605" s="1148"/>
      <c r="E605" s="1159"/>
      <c r="F605" s="1159"/>
      <c r="G605" s="1180"/>
      <c r="H605" s="1">
        <v>159</v>
      </c>
      <c r="I605" s="565" t="s">
        <v>785</v>
      </c>
      <c r="J605" s="1" t="s">
        <v>36</v>
      </c>
      <c r="K605" s="222">
        <v>8</v>
      </c>
      <c r="L605" s="222">
        <v>8</v>
      </c>
      <c r="M605" s="1159"/>
      <c r="N605" s="1149"/>
      <c r="O605" s="1148"/>
      <c r="P605" s="865" t="s">
        <v>46</v>
      </c>
      <c r="Q605" s="9"/>
      <c r="R605" s="9"/>
      <c r="S605" s="9"/>
      <c r="T605" s="9"/>
      <c r="U605" s="9"/>
      <c r="V605" s="9"/>
      <c r="W605" s="9"/>
      <c r="X605" s="546">
        <v>21200000</v>
      </c>
      <c r="Y605" s="9"/>
      <c r="Z605" s="9"/>
      <c r="AA605" s="9"/>
      <c r="AB605" s="9"/>
      <c r="AC605" s="9"/>
      <c r="AD605" s="9"/>
      <c r="AE605" s="63">
        <v>0</v>
      </c>
      <c r="AF605" s="61"/>
      <c r="AG605" s="61"/>
      <c r="AH605" s="61"/>
      <c r="AI605" s="901">
        <f>+Q605+R605+S605+T605+U605+V605+W605+X605+Y605+Z605+AA605+AB605+AC605+AD605+AE605+AF605+AG605+AH605</f>
        <v>21200000</v>
      </c>
    </row>
    <row r="606" spans="1:35" ht="15" x14ac:dyDescent="0.25">
      <c r="A606" s="897"/>
      <c r="B606" s="144"/>
      <c r="C606" s="846"/>
      <c r="D606" s="565"/>
      <c r="E606" s="865"/>
      <c r="F606" s="865"/>
      <c r="G606" s="299"/>
      <c r="H606" s="149"/>
      <c r="I606" s="147"/>
      <c r="J606" s="149"/>
      <c r="K606" s="247"/>
      <c r="L606" s="247"/>
      <c r="M606" s="148"/>
      <c r="N606" s="584"/>
      <c r="O606" s="147"/>
      <c r="P606" s="148"/>
      <c r="Q606" s="150"/>
      <c r="R606" s="150"/>
      <c r="S606" s="150"/>
      <c r="T606" s="150"/>
      <c r="U606" s="150"/>
      <c r="V606" s="150"/>
      <c r="W606" s="150"/>
      <c r="X606" s="150">
        <f>SUM(X604:X605)</f>
        <v>1538707111</v>
      </c>
      <c r="Y606" s="150"/>
      <c r="Z606" s="150"/>
      <c r="AA606" s="150"/>
      <c r="AB606" s="150"/>
      <c r="AC606" s="150"/>
      <c r="AD606" s="150"/>
      <c r="AE606" s="54">
        <f>SUM(AE604:AE605)</f>
        <v>0</v>
      </c>
      <c r="AF606" s="150"/>
      <c r="AG606" s="150"/>
      <c r="AH606" s="150"/>
      <c r="AI606" s="904">
        <f>SUM(AI604:AI605)</f>
        <v>1538707111</v>
      </c>
    </row>
    <row r="607" spans="1:35" ht="15" x14ac:dyDescent="0.25">
      <c r="A607" s="897"/>
      <c r="B607" s="144"/>
      <c r="C607" s="845"/>
      <c r="D607" s="161"/>
      <c r="E607" s="845"/>
      <c r="F607" s="845"/>
      <c r="G607" s="161"/>
      <c r="H607" s="845"/>
      <c r="I607" s="161"/>
      <c r="J607" s="845"/>
      <c r="K607" s="260"/>
      <c r="L607" s="573"/>
      <c r="M607" s="566"/>
      <c r="N607" s="57"/>
      <c r="O607" s="216"/>
      <c r="P607" s="845"/>
      <c r="Q607" s="12"/>
      <c r="R607" s="12"/>
      <c r="S607" s="12"/>
      <c r="T607" s="12"/>
      <c r="U607" s="12"/>
      <c r="V607" s="12"/>
      <c r="W607" s="12"/>
      <c r="X607" s="12"/>
      <c r="Y607" s="12"/>
      <c r="Z607" s="12"/>
      <c r="AA607" s="12"/>
      <c r="AB607" s="12"/>
      <c r="AC607" s="12"/>
      <c r="AD607" s="12"/>
      <c r="AE607" s="189"/>
      <c r="AF607" s="12"/>
      <c r="AG607" s="12"/>
      <c r="AH607" s="12"/>
      <c r="AI607" s="921"/>
    </row>
    <row r="608" spans="1:35" ht="15" x14ac:dyDescent="0.25">
      <c r="A608" s="897"/>
      <c r="B608" s="144"/>
      <c r="C608" s="845"/>
      <c r="D608" s="565"/>
      <c r="E608" s="865"/>
      <c r="F608" s="865"/>
      <c r="G608" s="336">
        <v>46</v>
      </c>
      <c r="H608" s="78" t="s">
        <v>786</v>
      </c>
      <c r="I608" s="78"/>
      <c r="J608" s="78"/>
      <c r="K608" s="474"/>
      <c r="L608" s="474"/>
      <c r="M608" s="78"/>
      <c r="N608" s="88"/>
      <c r="O608" s="78"/>
      <c r="P608" s="78"/>
      <c r="Q608" s="445"/>
      <c r="R608" s="445"/>
      <c r="S608" s="176"/>
      <c r="T608" s="176"/>
      <c r="U608" s="176"/>
      <c r="V608" s="176"/>
      <c r="W608" s="176"/>
      <c r="X608" s="176"/>
      <c r="Y608" s="176"/>
      <c r="Z608" s="176"/>
      <c r="AA608" s="176"/>
      <c r="AB608" s="176"/>
      <c r="AC608" s="176"/>
      <c r="AD608" s="176"/>
      <c r="AE608" s="177"/>
      <c r="AF608" s="176"/>
      <c r="AG608" s="176"/>
      <c r="AH608" s="176"/>
      <c r="AI608" s="918"/>
    </row>
    <row r="609" spans="1:35" ht="42.75" x14ac:dyDescent="0.25">
      <c r="A609" s="897"/>
      <c r="B609" s="144"/>
      <c r="C609" s="846">
        <v>26</v>
      </c>
      <c r="D609" s="849" t="s">
        <v>787</v>
      </c>
      <c r="E609" s="853" t="s">
        <v>724</v>
      </c>
      <c r="F609" s="853" t="s">
        <v>788</v>
      </c>
      <c r="G609" s="145"/>
      <c r="H609" s="865">
        <v>160</v>
      </c>
      <c r="I609" s="73" t="s">
        <v>789</v>
      </c>
      <c r="J609" s="865">
        <v>250</v>
      </c>
      <c r="K609" s="222">
        <v>300</v>
      </c>
      <c r="L609" s="222">
        <v>584</v>
      </c>
      <c r="M609" s="865" t="s">
        <v>684</v>
      </c>
      <c r="N609" s="568" t="s">
        <v>790</v>
      </c>
      <c r="O609" s="565" t="s">
        <v>791</v>
      </c>
      <c r="P609" s="865" t="s">
        <v>46</v>
      </c>
      <c r="Q609" s="9"/>
      <c r="R609" s="9"/>
      <c r="S609" s="9"/>
      <c r="T609" s="9"/>
      <c r="U609" s="9"/>
      <c r="V609" s="9"/>
      <c r="W609" s="9"/>
      <c r="X609" s="661">
        <f>644588000+31470000+220000000+15000000</f>
        <v>911058000</v>
      </c>
      <c r="Y609" s="546">
        <v>57233390</v>
      </c>
      <c r="Z609" s="9"/>
      <c r="AA609" s="9"/>
      <c r="AB609" s="9"/>
      <c r="AC609" s="9"/>
      <c r="AD609" s="9"/>
      <c r="AE609" s="550">
        <f>223942000-12000000+30000000</f>
        <v>241942000</v>
      </c>
      <c r="AF609" s="61"/>
      <c r="AG609" s="61"/>
      <c r="AH609" s="61"/>
      <c r="AI609" s="901">
        <f>+Q609+R609+S609+T609+U609+V609+W609+X609+Y609+Z609+AA609+AB609+AC609+AD609+AE609+AF609+AG609+AH609</f>
        <v>1210233390</v>
      </c>
    </row>
    <row r="610" spans="1:35" ht="107.25" customHeight="1" x14ac:dyDescent="0.25">
      <c r="A610" s="897"/>
      <c r="B610" s="144"/>
      <c r="C610" s="1157" t="s">
        <v>792</v>
      </c>
      <c r="D610" s="1099" t="s">
        <v>793</v>
      </c>
      <c r="E610" s="1157" t="s">
        <v>794</v>
      </c>
      <c r="F610" s="1157" t="s">
        <v>795</v>
      </c>
      <c r="G610" s="3"/>
      <c r="H610" s="865">
        <v>161</v>
      </c>
      <c r="I610" s="565" t="s">
        <v>796</v>
      </c>
      <c r="J610" s="865">
        <v>90</v>
      </c>
      <c r="K610" s="222">
        <v>100</v>
      </c>
      <c r="L610" s="222">
        <v>127</v>
      </c>
      <c r="M610" s="1157" t="s">
        <v>684</v>
      </c>
      <c r="N610" s="1101" t="s">
        <v>797</v>
      </c>
      <c r="O610" s="1099" t="s">
        <v>798</v>
      </c>
      <c r="P610" s="865" t="s">
        <v>46</v>
      </c>
      <c r="Q610" s="9"/>
      <c r="R610" s="9"/>
      <c r="S610" s="9"/>
      <c r="T610" s="9"/>
      <c r="U610" s="9"/>
      <c r="V610" s="9"/>
      <c r="W610" s="9"/>
      <c r="X610" s="661">
        <f>76000000+28900970</f>
        <v>104900970</v>
      </c>
      <c r="Y610" s="9"/>
      <c r="Z610" s="9"/>
      <c r="AA610" s="9"/>
      <c r="AB610" s="9"/>
      <c r="AC610" s="9"/>
      <c r="AD610" s="9"/>
      <c r="AE610" s="60">
        <v>0</v>
      </c>
      <c r="AF610" s="61"/>
      <c r="AG610" s="61"/>
      <c r="AH610" s="61"/>
      <c r="AI610" s="901">
        <f>+Q610+R610+S610+T610+U610+V610+W610+X610+Y610+Z610+AA610+AB610+AC610+AD610+AE610+AF610+AG610+AH610</f>
        <v>104900970</v>
      </c>
    </row>
    <row r="611" spans="1:35" ht="99.75" customHeight="1" x14ac:dyDescent="0.25">
      <c r="A611" s="897"/>
      <c r="B611" s="144"/>
      <c r="C611" s="1159"/>
      <c r="D611" s="1148"/>
      <c r="E611" s="1159"/>
      <c r="F611" s="1159"/>
      <c r="G611" s="72"/>
      <c r="H611" s="865">
        <v>162</v>
      </c>
      <c r="I611" s="565" t="s">
        <v>799</v>
      </c>
      <c r="J611" s="865">
        <v>83</v>
      </c>
      <c r="K611" s="222">
        <v>83</v>
      </c>
      <c r="L611" s="222">
        <v>80</v>
      </c>
      <c r="M611" s="1159"/>
      <c r="N611" s="1149"/>
      <c r="O611" s="1148"/>
      <c r="P611" s="865" t="s">
        <v>46</v>
      </c>
      <c r="Q611" s="9"/>
      <c r="R611" s="9"/>
      <c r="S611" s="9"/>
      <c r="T611" s="9"/>
      <c r="U611" s="9"/>
      <c r="V611" s="9"/>
      <c r="W611" s="9"/>
      <c r="X611" s="661">
        <f>243800000+5915987+37849428+20000000</f>
        <v>307565415</v>
      </c>
      <c r="Y611" s="9"/>
      <c r="Z611" s="9"/>
      <c r="AA611" s="9"/>
      <c r="AB611" s="9"/>
      <c r="AC611" s="9"/>
      <c r="AD611" s="9"/>
      <c r="AE611" s="60">
        <v>0</v>
      </c>
      <c r="AF611" s="61"/>
      <c r="AG611" s="61"/>
      <c r="AH611" s="61"/>
      <c r="AI611" s="901">
        <f>+Q611+R611+S611+T611+U611+V611+W611+X611+Y611+Z611+AA611+AB611+AC611+AD611+AE611+AF611+AG611+AH611</f>
        <v>307565415</v>
      </c>
    </row>
    <row r="612" spans="1:35" ht="15" x14ac:dyDescent="0.25">
      <c r="A612" s="917"/>
      <c r="B612" s="146"/>
      <c r="C612" s="846"/>
      <c r="D612" s="565"/>
      <c r="E612" s="865"/>
      <c r="F612" s="865"/>
      <c r="G612" s="147"/>
      <c r="H612" s="148"/>
      <c r="I612" s="147"/>
      <c r="J612" s="148"/>
      <c r="K612" s="247"/>
      <c r="L612" s="247"/>
      <c r="M612" s="148"/>
      <c r="N612" s="584"/>
      <c r="O612" s="147"/>
      <c r="P612" s="148"/>
      <c r="Q612" s="150">
        <f t="shared" ref="Q612:AI612" si="37">SUM(Q609:Q611)</f>
        <v>0</v>
      </c>
      <c r="R612" s="150">
        <f t="shared" si="37"/>
        <v>0</v>
      </c>
      <c r="S612" s="150">
        <f t="shared" si="37"/>
        <v>0</v>
      </c>
      <c r="T612" s="150">
        <f t="shared" si="37"/>
        <v>0</v>
      </c>
      <c r="U612" s="150">
        <f t="shared" si="37"/>
        <v>0</v>
      </c>
      <c r="V612" s="150">
        <f t="shared" si="37"/>
        <v>0</v>
      </c>
      <c r="W612" s="150">
        <f t="shared" si="37"/>
        <v>0</v>
      </c>
      <c r="X612" s="150">
        <f t="shared" si="37"/>
        <v>1323524385</v>
      </c>
      <c r="Y612" s="150">
        <f t="shared" si="37"/>
        <v>57233390</v>
      </c>
      <c r="Z612" s="150">
        <f t="shared" si="37"/>
        <v>0</v>
      </c>
      <c r="AA612" s="150">
        <f t="shared" si="37"/>
        <v>0</v>
      </c>
      <c r="AB612" s="150">
        <f t="shared" si="37"/>
        <v>0</v>
      </c>
      <c r="AC612" s="150">
        <f t="shared" si="37"/>
        <v>0</v>
      </c>
      <c r="AD612" s="150">
        <f t="shared" si="37"/>
        <v>0</v>
      </c>
      <c r="AE612" s="150">
        <f t="shared" si="37"/>
        <v>241942000</v>
      </c>
      <c r="AF612" s="150">
        <f t="shared" si="37"/>
        <v>0</v>
      </c>
      <c r="AG612" s="150">
        <f t="shared" si="37"/>
        <v>0</v>
      </c>
      <c r="AH612" s="150">
        <f t="shared" si="37"/>
        <v>0</v>
      </c>
      <c r="AI612" s="904">
        <f t="shared" si="37"/>
        <v>1622699775</v>
      </c>
    </row>
    <row r="613" spans="1:35" ht="15" x14ac:dyDescent="0.25">
      <c r="A613" s="917"/>
      <c r="B613" s="210"/>
      <c r="C613" s="152"/>
      <c r="D613" s="151"/>
      <c r="E613" s="152"/>
      <c r="F613" s="152"/>
      <c r="G613" s="151"/>
      <c r="H613" s="152"/>
      <c r="I613" s="151"/>
      <c r="J613" s="152"/>
      <c r="K613" s="257"/>
      <c r="L613" s="257"/>
      <c r="M613" s="152"/>
      <c r="N613" s="585"/>
      <c r="O613" s="151"/>
      <c r="P613" s="152"/>
      <c r="Q613" s="154">
        <f t="shared" ref="Q613:AE613" si="38">Q612+Q606+Q601+Q594+Q588+Q583+Q578+Q570+Q564+Q558+Q551</f>
        <v>0</v>
      </c>
      <c r="R613" s="154">
        <f t="shared" si="38"/>
        <v>0</v>
      </c>
      <c r="S613" s="154">
        <f t="shared" si="38"/>
        <v>0</v>
      </c>
      <c r="T613" s="154">
        <f t="shared" si="38"/>
        <v>0</v>
      </c>
      <c r="U613" s="154">
        <f t="shared" si="38"/>
        <v>0</v>
      </c>
      <c r="V613" s="154">
        <f t="shared" si="38"/>
        <v>0</v>
      </c>
      <c r="W613" s="154">
        <f t="shared" si="38"/>
        <v>0</v>
      </c>
      <c r="X613" s="154">
        <f t="shared" si="38"/>
        <v>4517149747</v>
      </c>
      <c r="Y613" s="154">
        <f t="shared" si="38"/>
        <v>57233390</v>
      </c>
      <c r="Z613" s="154">
        <f t="shared" si="38"/>
        <v>1413475987</v>
      </c>
      <c r="AA613" s="154">
        <f t="shared" si="38"/>
        <v>0</v>
      </c>
      <c r="AB613" s="154">
        <f t="shared" si="38"/>
        <v>0</v>
      </c>
      <c r="AC613" s="154">
        <f t="shared" si="38"/>
        <v>0</v>
      </c>
      <c r="AD613" s="154">
        <f t="shared" si="38"/>
        <v>0</v>
      </c>
      <c r="AE613" s="238">
        <f t="shared" si="38"/>
        <v>357942000</v>
      </c>
      <c r="AF613" s="154"/>
      <c r="AG613" s="154"/>
      <c r="AH613" s="154">
        <f>AH612+AH606+AH601+AH594+AH588+AH583+AH578+AH570+AH564+AH558+AH551</f>
        <v>515244152</v>
      </c>
      <c r="AI613" s="906">
        <f>AI612+AI606+AI601+AI594+AI588+AI583+AI578+AI570+AI564+AI558+AI551</f>
        <v>6861045276</v>
      </c>
    </row>
    <row r="614" spans="1:35" ht="15" x14ac:dyDescent="0.25">
      <c r="A614" s="917"/>
      <c r="B614" s="161"/>
      <c r="C614" s="845"/>
      <c r="D614" s="161"/>
      <c r="E614" s="845"/>
      <c r="F614" s="845"/>
      <c r="G614" s="161"/>
      <c r="H614" s="845"/>
      <c r="I614" s="161"/>
      <c r="J614" s="845"/>
      <c r="K614" s="260"/>
      <c r="L614" s="573"/>
      <c r="M614" s="566"/>
      <c r="N614" s="57"/>
      <c r="O614" s="216"/>
      <c r="P614" s="845"/>
      <c r="Q614" s="12"/>
      <c r="R614" s="12"/>
      <c r="S614" s="12"/>
      <c r="T614" s="12"/>
      <c r="U614" s="12"/>
      <c r="V614" s="12"/>
      <c r="W614" s="12"/>
      <c r="X614" s="12"/>
      <c r="Y614" s="12"/>
      <c r="Z614" s="12"/>
      <c r="AA614" s="12"/>
      <c r="AB614" s="12"/>
      <c r="AC614" s="12"/>
      <c r="AD614" s="12"/>
      <c r="AE614" s="189"/>
      <c r="AF614" s="12"/>
      <c r="AG614" s="12"/>
      <c r="AH614" s="163"/>
      <c r="AI614" s="921"/>
    </row>
    <row r="615" spans="1:35" x14ac:dyDescent="0.25">
      <c r="A615" s="917"/>
      <c r="B615" s="462">
        <v>13</v>
      </c>
      <c r="C615" s="837" t="s">
        <v>800</v>
      </c>
      <c r="D615" s="87"/>
      <c r="E615" s="87"/>
      <c r="F615" s="87"/>
      <c r="G615" s="87"/>
      <c r="H615" s="838"/>
      <c r="I615" s="87"/>
      <c r="J615" s="87"/>
      <c r="K615" s="233"/>
      <c r="L615" s="233"/>
      <c r="M615" s="87"/>
      <c r="N615" s="15"/>
      <c r="O615" s="87"/>
      <c r="P615" s="87"/>
      <c r="Q615" s="169"/>
      <c r="R615" s="169"/>
      <c r="S615" s="169"/>
      <c r="T615" s="169"/>
      <c r="U615" s="169"/>
      <c r="V615" s="169"/>
      <c r="W615" s="169"/>
      <c r="X615" s="169"/>
      <c r="Y615" s="169"/>
      <c r="Z615" s="169"/>
      <c r="AA615" s="169"/>
      <c r="AB615" s="169"/>
      <c r="AC615" s="169"/>
      <c r="AD615" s="169"/>
      <c r="AE615" s="170"/>
      <c r="AF615" s="169"/>
      <c r="AG615" s="169"/>
      <c r="AH615" s="169"/>
      <c r="AI615" s="916"/>
    </row>
    <row r="616" spans="1:35" ht="15" x14ac:dyDescent="0.25">
      <c r="A616" s="897"/>
      <c r="B616" s="144"/>
      <c r="C616" s="845"/>
      <c r="D616" s="161"/>
      <c r="E616" s="845"/>
      <c r="F616" s="846"/>
      <c r="G616" s="336">
        <v>47</v>
      </c>
      <c r="H616" s="78" t="s">
        <v>801</v>
      </c>
      <c r="I616" s="78"/>
      <c r="J616" s="78"/>
      <c r="K616" s="474"/>
      <c r="L616" s="474"/>
      <c r="M616" s="78"/>
      <c r="N616" s="88"/>
      <c r="O616" s="78"/>
      <c r="P616" s="78"/>
      <c r="Q616" s="176"/>
      <c r="R616" s="176"/>
      <c r="S616" s="176"/>
      <c r="T616" s="176"/>
      <c r="U616" s="176"/>
      <c r="V616" s="176"/>
      <c r="W616" s="176"/>
      <c r="X616" s="176"/>
      <c r="Y616" s="176"/>
      <c r="Z616" s="176"/>
      <c r="AA616" s="176"/>
      <c r="AB616" s="176"/>
      <c r="AC616" s="176"/>
      <c r="AD616" s="176"/>
      <c r="AE616" s="177"/>
      <c r="AF616" s="176"/>
      <c r="AG616" s="176"/>
      <c r="AH616" s="176"/>
      <c r="AI616" s="918"/>
    </row>
    <row r="617" spans="1:35" ht="88.5" customHeight="1" x14ac:dyDescent="0.25">
      <c r="A617" s="897"/>
      <c r="B617" s="144"/>
      <c r="C617" s="846">
        <v>27</v>
      </c>
      <c r="D617" s="473" t="s">
        <v>802</v>
      </c>
      <c r="E617" s="446">
        <v>0.89949999999999997</v>
      </c>
      <c r="F617" s="384">
        <v>0.92</v>
      </c>
      <c r="G617" s="565"/>
      <c r="H617" s="865">
        <v>163</v>
      </c>
      <c r="I617" s="565" t="s">
        <v>803</v>
      </c>
      <c r="J617" s="865">
        <v>12</v>
      </c>
      <c r="K617" s="222">
        <v>12</v>
      </c>
      <c r="L617" s="222">
        <v>7</v>
      </c>
      <c r="M617" s="865" t="s">
        <v>684</v>
      </c>
      <c r="N617" s="568" t="s">
        <v>804</v>
      </c>
      <c r="O617" s="565" t="s">
        <v>805</v>
      </c>
      <c r="P617" s="865" t="s">
        <v>46</v>
      </c>
      <c r="Q617" s="9"/>
      <c r="R617" s="9"/>
      <c r="S617" s="9"/>
      <c r="T617" s="9"/>
      <c r="U617" s="9"/>
      <c r="V617" s="9"/>
      <c r="W617" s="9"/>
      <c r="X617" s="9"/>
      <c r="Y617" s="249"/>
      <c r="Z617" s="9"/>
      <c r="AA617" s="9"/>
      <c r="AB617" s="9"/>
      <c r="AC617" s="9"/>
      <c r="AD617" s="9"/>
      <c r="AE617" s="60">
        <v>30800000</v>
      </c>
      <c r="AF617" s="61"/>
      <c r="AG617" s="61"/>
      <c r="AH617" s="61"/>
      <c r="AI617" s="901">
        <f>+Q617+R617+S617+T617+U617+V617+W617+X617+Y617+Z617+AA617+AB617+AC617+AD617+AE617+AF617+AG617+AH617</f>
        <v>30800000</v>
      </c>
    </row>
    <row r="618" spans="1:35" ht="15" x14ac:dyDescent="0.25">
      <c r="A618" s="897"/>
      <c r="B618" s="144"/>
      <c r="C618" s="858"/>
      <c r="D618" s="849"/>
      <c r="E618" s="853"/>
      <c r="F618" s="853"/>
      <c r="G618" s="147"/>
      <c r="H618" s="148"/>
      <c r="I618" s="147"/>
      <c r="J618" s="148"/>
      <c r="K618" s="247"/>
      <c r="L618" s="247"/>
      <c r="M618" s="148"/>
      <c r="N618" s="584"/>
      <c r="O618" s="148"/>
      <c r="P618" s="148"/>
      <c r="Q618" s="150"/>
      <c r="R618" s="150"/>
      <c r="S618" s="150"/>
      <c r="T618" s="150"/>
      <c r="U618" s="150"/>
      <c r="V618" s="150"/>
      <c r="W618" s="150"/>
      <c r="X618" s="150"/>
      <c r="Y618" s="150"/>
      <c r="Z618" s="150"/>
      <c r="AA618" s="150"/>
      <c r="AB618" s="150"/>
      <c r="AC618" s="150"/>
      <c r="AD618" s="150"/>
      <c r="AE618" s="54">
        <f>SUM(AE617)</f>
        <v>30800000</v>
      </c>
      <c r="AF618" s="150"/>
      <c r="AG618" s="150"/>
      <c r="AH618" s="150"/>
      <c r="AI618" s="904">
        <f>SUM(AI617)</f>
        <v>30800000</v>
      </c>
    </row>
    <row r="619" spans="1:35" ht="15" x14ac:dyDescent="0.25">
      <c r="A619" s="897"/>
      <c r="B619" s="144"/>
      <c r="C619" s="845"/>
      <c r="D619" s="161"/>
      <c r="E619" s="845"/>
      <c r="F619" s="845"/>
      <c r="G619" s="161"/>
      <c r="H619" s="845"/>
      <c r="I619" s="161"/>
      <c r="J619" s="845"/>
      <c r="K619" s="260"/>
      <c r="L619" s="573"/>
      <c r="M619" s="566"/>
      <c r="N619" s="57"/>
      <c r="O619" s="566"/>
      <c r="P619" s="845"/>
      <c r="Q619" s="12"/>
      <c r="R619" s="163"/>
      <c r="S619" s="12"/>
      <c r="T619" s="12"/>
      <c r="U619" s="12"/>
      <c r="V619" s="12"/>
      <c r="W619" s="12"/>
      <c r="X619" s="12"/>
      <c r="Y619" s="12"/>
      <c r="Z619" s="12"/>
      <c r="AA619" s="12"/>
      <c r="AB619" s="12"/>
      <c r="AC619" s="12"/>
      <c r="AD619" s="12"/>
      <c r="AE619" s="189"/>
      <c r="AF619" s="12"/>
      <c r="AG619" s="12"/>
      <c r="AH619" s="12"/>
      <c r="AI619" s="921"/>
    </row>
    <row r="620" spans="1:35" ht="15" x14ac:dyDescent="0.25">
      <c r="A620" s="897"/>
      <c r="B620" s="144"/>
      <c r="C620" s="845"/>
      <c r="D620" s="565"/>
      <c r="E620" s="865"/>
      <c r="F620" s="865"/>
      <c r="G620" s="336">
        <v>48</v>
      </c>
      <c r="H620" s="78" t="s">
        <v>806</v>
      </c>
      <c r="I620" s="78"/>
      <c r="J620" s="78"/>
      <c r="K620" s="474"/>
      <c r="L620" s="474"/>
      <c r="M620" s="78"/>
      <c r="N620" s="88"/>
      <c r="O620" s="78"/>
      <c r="P620" s="78"/>
      <c r="Q620" s="176"/>
      <c r="R620" s="176"/>
      <c r="S620" s="176"/>
      <c r="T620" s="176"/>
      <c r="U620" s="176"/>
      <c r="V620" s="176"/>
      <c r="W620" s="176"/>
      <c r="X620" s="176"/>
      <c r="Y620" s="445"/>
      <c r="Z620" s="445"/>
      <c r="AA620" s="176"/>
      <c r="AB620" s="176"/>
      <c r="AC620" s="176"/>
      <c r="AD620" s="176"/>
      <c r="AE620" s="177"/>
      <c r="AF620" s="176"/>
      <c r="AG620" s="176"/>
      <c r="AH620" s="176"/>
      <c r="AI620" s="918"/>
    </row>
    <row r="621" spans="1:35" ht="96.75" customHeight="1" x14ac:dyDescent="0.25">
      <c r="A621" s="897"/>
      <c r="B621" s="144"/>
      <c r="C621" s="846">
        <v>27</v>
      </c>
      <c r="D621" s="473" t="s">
        <v>802</v>
      </c>
      <c r="E621" s="446">
        <v>0.89949999999999997</v>
      </c>
      <c r="F621" s="384">
        <v>0.92</v>
      </c>
      <c r="G621" s="565"/>
      <c r="H621" s="865">
        <v>164</v>
      </c>
      <c r="I621" s="565" t="s">
        <v>807</v>
      </c>
      <c r="J621" s="865">
        <v>12</v>
      </c>
      <c r="K621" s="222">
        <v>12</v>
      </c>
      <c r="L621" s="222">
        <v>5</v>
      </c>
      <c r="M621" s="865" t="s">
        <v>684</v>
      </c>
      <c r="N621" s="568" t="s">
        <v>804</v>
      </c>
      <c r="O621" s="565" t="s">
        <v>805</v>
      </c>
      <c r="P621" s="865" t="s">
        <v>46</v>
      </c>
      <c r="Q621" s="9"/>
      <c r="R621" s="9"/>
      <c r="S621" s="9"/>
      <c r="T621" s="9"/>
      <c r="U621" s="9"/>
      <c r="V621" s="9"/>
      <c r="W621" s="9"/>
      <c r="X621" s="9"/>
      <c r="Y621" s="546">
        <f>12148266316+78204384+369642986+180012439+314128486+6500000000+1674579475+383250000</f>
        <v>21648084086</v>
      </c>
      <c r="Z621" s="9"/>
      <c r="AA621" s="9"/>
      <c r="AB621" s="9">
        <v>0</v>
      </c>
      <c r="AC621" s="9"/>
      <c r="AD621" s="9"/>
      <c r="AE621" s="60">
        <v>0</v>
      </c>
      <c r="AF621" s="61"/>
      <c r="AG621" s="61"/>
      <c r="AH621" s="61"/>
      <c r="AI621" s="901">
        <f>+Q621+R621+S621+T621+U621+V621+W621+X621+Y621+Z621+AA621+AB621+AC621+AD621+AE621+AF621+AG621+AH621</f>
        <v>21648084086</v>
      </c>
    </row>
    <row r="622" spans="1:35" ht="21" customHeight="1" x14ac:dyDescent="0.25">
      <c r="A622" s="897"/>
      <c r="B622" s="144"/>
      <c r="C622" s="846"/>
      <c r="D622" s="565"/>
      <c r="E622" s="865"/>
      <c r="F622" s="865"/>
      <c r="G622" s="147"/>
      <c r="H622" s="148"/>
      <c r="I622" s="147"/>
      <c r="J622" s="148"/>
      <c r="K622" s="247"/>
      <c r="L622" s="247"/>
      <c r="M622" s="148"/>
      <c r="N622" s="584"/>
      <c r="O622" s="147"/>
      <c r="P622" s="148"/>
      <c r="Q622" s="150"/>
      <c r="R622" s="150"/>
      <c r="S622" s="150"/>
      <c r="T622" s="150"/>
      <c r="U622" s="150"/>
      <c r="V622" s="150"/>
      <c r="W622" s="150"/>
      <c r="X622" s="150">
        <f>SUM(X621)</f>
        <v>0</v>
      </c>
      <c r="Y622" s="150">
        <f>SUM(Y621)</f>
        <v>21648084086</v>
      </c>
      <c r="Z622" s="150">
        <f>SUM(Z621)</f>
        <v>0</v>
      </c>
      <c r="AA622" s="150"/>
      <c r="AB622" s="150"/>
      <c r="AC622" s="150"/>
      <c r="AD622" s="150"/>
      <c r="AE622" s="54">
        <f>SUM(AE621)</f>
        <v>0</v>
      </c>
      <c r="AF622" s="150"/>
      <c r="AG622" s="150"/>
      <c r="AH622" s="150"/>
      <c r="AI622" s="904">
        <f>SUM(AI621)</f>
        <v>21648084086</v>
      </c>
    </row>
    <row r="623" spans="1:35" ht="15" x14ac:dyDescent="0.25">
      <c r="A623" s="897"/>
      <c r="B623" s="144"/>
      <c r="C623" s="845"/>
      <c r="D623" s="161"/>
      <c r="E623" s="845"/>
      <c r="F623" s="845"/>
      <c r="G623" s="161"/>
      <c r="H623" s="845"/>
      <c r="I623" s="161"/>
      <c r="J623" s="845"/>
      <c r="K623" s="260"/>
      <c r="L623" s="573"/>
      <c r="M623" s="566"/>
      <c r="N623" s="57"/>
      <c r="O623" s="216"/>
      <c r="P623" s="845"/>
      <c r="Q623" s="12"/>
      <c r="R623" s="163"/>
      <c r="S623" s="12"/>
      <c r="T623" s="12"/>
      <c r="U623" s="12"/>
      <c r="V623" s="12"/>
      <c r="W623" s="12"/>
      <c r="X623" s="12"/>
      <c r="Y623" s="12"/>
      <c r="Z623" s="12"/>
      <c r="AA623" s="12"/>
      <c r="AB623" s="12"/>
      <c r="AC623" s="12"/>
      <c r="AD623" s="12"/>
      <c r="AE623" s="189"/>
      <c r="AF623" s="12"/>
      <c r="AG623" s="12"/>
      <c r="AH623" s="12"/>
      <c r="AI623" s="921"/>
    </row>
    <row r="624" spans="1:35" ht="15" x14ac:dyDescent="0.25">
      <c r="A624" s="897"/>
      <c r="B624" s="144"/>
      <c r="C624" s="845"/>
      <c r="D624" s="565"/>
      <c r="E624" s="865"/>
      <c r="F624" s="865"/>
      <c r="G624" s="336">
        <v>49</v>
      </c>
      <c r="H624" s="78" t="s">
        <v>808</v>
      </c>
      <c r="I624" s="78"/>
      <c r="J624" s="78"/>
      <c r="K624" s="474"/>
      <c r="L624" s="474"/>
      <c r="M624" s="78"/>
      <c r="N624" s="88"/>
      <c r="O624" s="78"/>
      <c r="P624" s="78"/>
      <c r="Q624" s="176"/>
      <c r="R624" s="176"/>
      <c r="S624" s="176"/>
      <c r="T624" s="176"/>
      <c r="U624" s="176"/>
      <c r="V624" s="176"/>
      <c r="W624" s="176"/>
      <c r="X624" s="176"/>
      <c r="Y624" s="176"/>
      <c r="Z624" s="176"/>
      <c r="AA624" s="176"/>
      <c r="AB624" s="176"/>
      <c r="AC624" s="176"/>
      <c r="AD624" s="176"/>
      <c r="AE624" s="177"/>
      <c r="AF624" s="176"/>
      <c r="AG624" s="176"/>
      <c r="AH624" s="176"/>
      <c r="AI624" s="918"/>
    </row>
    <row r="625" spans="1:35" ht="88.5" customHeight="1" x14ac:dyDescent="0.25">
      <c r="A625" s="897"/>
      <c r="B625" s="144"/>
      <c r="C625" s="846">
        <v>27</v>
      </c>
      <c r="D625" s="473" t="s">
        <v>802</v>
      </c>
      <c r="E625" s="446">
        <v>0.89949999999999997</v>
      </c>
      <c r="F625" s="384">
        <v>0.92</v>
      </c>
      <c r="G625" s="565"/>
      <c r="H625" s="865">
        <v>165</v>
      </c>
      <c r="I625" s="565" t="s">
        <v>809</v>
      </c>
      <c r="J625" s="222">
        <v>12</v>
      </c>
      <c r="K625" s="222">
        <v>12</v>
      </c>
      <c r="L625" s="222">
        <v>6</v>
      </c>
      <c r="M625" s="222" t="s">
        <v>684</v>
      </c>
      <c r="N625" s="568" t="s">
        <v>804</v>
      </c>
      <c r="O625" s="565" t="s">
        <v>805</v>
      </c>
      <c r="P625" s="865" t="s">
        <v>46</v>
      </c>
      <c r="Q625" s="9"/>
      <c r="R625" s="9"/>
      <c r="S625" s="9"/>
      <c r="T625" s="9"/>
      <c r="U625" s="9"/>
      <c r="V625" s="9"/>
      <c r="W625" s="9"/>
      <c r="X625" s="9"/>
      <c r="Y625" s="661">
        <v>52000000</v>
      </c>
      <c r="Z625" s="9"/>
      <c r="AA625" s="9"/>
      <c r="AB625" s="9"/>
      <c r="AC625" s="9"/>
      <c r="AD625" s="9"/>
      <c r="AE625" s="60">
        <v>21000000</v>
      </c>
      <c r="AF625" s="61"/>
      <c r="AG625" s="61"/>
      <c r="AH625" s="61"/>
      <c r="AI625" s="901">
        <f>+Q625+R625+S625+T625+U625+V625+W625+X625+Y625+Z625+AA625+AB625+AC625+AD625+AE625+AF625+AG625+AH625</f>
        <v>73000000</v>
      </c>
    </row>
    <row r="626" spans="1:35" ht="15" x14ac:dyDescent="0.25">
      <c r="A626" s="897"/>
      <c r="B626" s="144"/>
      <c r="C626" s="846"/>
      <c r="D626" s="565"/>
      <c r="E626" s="865"/>
      <c r="F626" s="865"/>
      <c r="G626" s="147"/>
      <c r="H626" s="148"/>
      <c r="I626" s="147"/>
      <c r="J626" s="247"/>
      <c r="K626" s="247"/>
      <c r="L626" s="247"/>
      <c r="M626" s="247"/>
      <c r="N626" s="584"/>
      <c r="O626" s="147"/>
      <c r="P626" s="148"/>
      <c r="Q626" s="150"/>
      <c r="R626" s="150"/>
      <c r="S626" s="150"/>
      <c r="T626" s="150"/>
      <c r="U626" s="150"/>
      <c r="V626" s="150"/>
      <c r="W626" s="150"/>
      <c r="X626" s="150">
        <f>SUM(X625)</f>
        <v>0</v>
      </c>
      <c r="Y626" s="150">
        <f>SUM(Y625)</f>
        <v>52000000</v>
      </c>
      <c r="Z626" s="150">
        <f>SUM(Z625)</f>
        <v>0</v>
      </c>
      <c r="AA626" s="150"/>
      <c r="AB626" s="150"/>
      <c r="AC626" s="150"/>
      <c r="AD626" s="150"/>
      <c r="AE626" s="54">
        <f>SUM(AE625)</f>
        <v>21000000</v>
      </c>
      <c r="AF626" s="150"/>
      <c r="AG626" s="150"/>
      <c r="AH626" s="150">
        <f>SUM(AH625)</f>
        <v>0</v>
      </c>
      <c r="AI626" s="904">
        <f>SUM(AI625)</f>
        <v>73000000</v>
      </c>
    </row>
    <row r="627" spans="1:35" ht="15" x14ac:dyDescent="0.25">
      <c r="A627" s="917"/>
      <c r="B627" s="411"/>
      <c r="C627" s="152"/>
      <c r="D627" s="151"/>
      <c r="E627" s="152"/>
      <c r="F627" s="152"/>
      <c r="G627" s="151"/>
      <c r="H627" s="152"/>
      <c r="I627" s="151"/>
      <c r="J627" s="257"/>
      <c r="K627" s="257"/>
      <c r="L627" s="257"/>
      <c r="M627" s="257"/>
      <c r="N627" s="585"/>
      <c r="O627" s="151"/>
      <c r="P627" s="152"/>
      <c r="Q627" s="154"/>
      <c r="R627" s="154"/>
      <c r="S627" s="154"/>
      <c r="T627" s="154"/>
      <c r="U627" s="154"/>
      <c r="V627" s="154"/>
      <c r="W627" s="154"/>
      <c r="X627" s="154">
        <f>X626+X622+X618</f>
        <v>0</v>
      </c>
      <c r="Y627" s="154">
        <f>Y626+Y622+Y618</f>
        <v>21700084086</v>
      </c>
      <c r="Z627" s="154">
        <f>Z626+Z622+Z618</f>
        <v>0</v>
      </c>
      <c r="AA627" s="154"/>
      <c r="AB627" s="154"/>
      <c r="AC627" s="154"/>
      <c r="AD627" s="154"/>
      <c r="AE627" s="238">
        <f>AE626+AE622+AE618</f>
        <v>51800000</v>
      </c>
      <c r="AF627" s="154"/>
      <c r="AG627" s="154"/>
      <c r="AH627" s="154">
        <f>AH626+AH622+AH618</f>
        <v>0</v>
      </c>
      <c r="AI627" s="906">
        <f>AI626+AI622+AI618</f>
        <v>21751884086</v>
      </c>
    </row>
    <row r="628" spans="1:35" ht="15" x14ac:dyDescent="0.25">
      <c r="A628" s="917"/>
      <c r="B628" s="161"/>
      <c r="C628" s="845"/>
      <c r="D628" s="161"/>
      <c r="E628" s="845"/>
      <c r="F628" s="845"/>
      <c r="G628" s="161"/>
      <c r="H628" s="845"/>
      <c r="I628" s="161"/>
      <c r="J628" s="845"/>
      <c r="K628" s="260"/>
      <c r="L628" s="573"/>
      <c r="M628" s="566"/>
      <c r="N628" s="57"/>
      <c r="O628" s="216"/>
      <c r="P628" s="845"/>
      <c r="Q628" s="12"/>
      <c r="R628" s="12"/>
      <c r="S628" s="12"/>
      <c r="T628" s="12"/>
      <c r="U628" s="12"/>
      <c r="V628" s="12"/>
      <c r="W628" s="12"/>
      <c r="X628" s="12"/>
      <c r="Y628" s="12"/>
      <c r="Z628" s="12"/>
      <c r="AA628" s="12"/>
      <c r="AB628" s="12"/>
      <c r="AC628" s="12"/>
      <c r="AD628" s="12"/>
      <c r="AE628" s="189"/>
      <c r="AF628" s="12"/>
      <c r="AG628" s="12"/>
      <c r="AH628" s="12"/>
      <c r="AI628" s="921"/>
    </row>
    <row r="629" spans="1:35" x14ac:dyDescent="0.25">
      <c r="A629" s="917"/>
      <c r="B629" s="462">
        <v>14</v>
      </c>
      <c r="C629" s="837" t="s">
        <v>810</v>
      </c>
      <c r="D629" s="87"/>
      <c r="E629" s="87"/>
      <c r="F629" s="87"/>
      <c r="G629" s="87"/>
      <c r="H629" s="838"/>
      <c r="I629" s="87"/>
      <c r="J629" s="87"/>
      <c r="K629" s="233"/>
      <c r="L629" s="233"/>
      <c r="M629" s="87"/>
      <c r="N629" s="15"/>
      <c r="O629" s="87"/>
      <c r="P629" s="87"/>
      <c r="Q629" s="169"/>
      <c r="R629" s="169"/>
      <c r="S629" s="169"/>
      <c r="T629" s="169"/>
      <c r="U629" s="169"/>
      <c r="V629" s="169"/>
      <c r="W629" s="169"/>
      <c r="X629" s="169"/>
      <c r="Y629" s="169"/>
      <c r="Z629" s="169"/>
      <c r="AA629" s="169"/>
      <c r="AB629" s="169"/>
      <c r="AC629" s="169"/>
      <c r="AD629" s="169"/>
      <c r="AE629" s="170"/>
      <c r="AF629" s="169"/>
      <c r="AG629" s="169"/>
      <c r="AH629" s="169"/>
      <c r="AI629" s="916"/>
    </row>
    <row r="630" spans="1:35" ht="15" x14ac:dyDescent="0.25">
      <c r="A630" s="897"/>
      <c r="B630" s="144"/>
      <c r="C630" s="845"/>
      <c r="D630" s="161"/>
      <c r="E630" s="845"/>
      <c r="F630" s="846"/>
      <c r="G630" s="336">
        <v>50</v>
      </c>
      <c r="H630" s="78" t="s">
        <v>811</v>
      </c>
      <c r="I630" s="78"/>
      <c r="J630" s="78"/>
      <c r="K630" s="474"/>
      <c r="L630" s="474"/>
      <c r="M630" s="78"/>
      <c r="N630" s="88"/>
      <c r="O630" s="78"/>
      <c r="P630" s="78"/>
      <c r="Q630" s="176"/>
      <c r="R630" s="176"/>
      <c r="S630" s="176"/>
      <c r="T630" s="176"/>
      <c r="U630" s="176"/>
      <c r="V630" s="176"/>
      <c r="W630" s="176"/>
      <c r="X630" s="176"/>
      <c r="Y630" s="176"/>
      <c r="Z630" s="176"/>
      <c r="AA630" s="176"/>
      <c r="AB630" s="176"/>
      <c r="AC630" s="176"/>
      <c r="AD630" s="176"/>
      <c r="AE630" s="177"/>
      <c r="AF630" s="176"/>
      <c r="AG630" s="176"/>
      <c r="AH630" s="176"/>
      <c r="AI630" s="918"/>
    </row>
    <row r="631" spans="1:35" ht="108" customHeight="1" x14ac:dyDescent="0.25">
      <c r="A631" s="897"/>
      <c r="B631" s="833"/>
      <c r="C631" s="1163">
        <v>27</v>
      </c>
      <c r="D631" s="1173" t="s">
        <v>802</v>
      </c>
      <c r="E631" s="1188">
        <v>0.89949999999999997</v>
      </c>
      <c r="F631" s="1186">
        <v>0.92</v>
      </c>
      <c r="G631" s="1157"/>
      <c r="H631" s="865">
        <v>166</v>
      </c>
      <c r="I631" s="565" t="s">
        <v>812</v>
      </c>
      <c r="J631" s="222">
        <v>1</v>
      </c>
      <c r="K631" s="222">
        <v>1</v>
      </c>
      <c r="L631" s="779">
        <v>0.4</v>
      </c>
      <c r="M631" s="1191" t="s">
        <v>684</v>
      </c>
      <c r="N631" s="1101" t="s">
        <v>813</v>
      </c>
      <c r="O631" s="1099" t="s">
        <v>814</v>
      </c>
      <c r="P631" s="865" t="s">
        <v>46</v>
      </c>
      <c r="Q631" s="9"/>
      <c r="R631" s="9"/>
      <c r="S631" s="9"/>
      <c r="T631" s="9"/>
      <c r="U631" s="9"/>
      <c r="V631" s="9"/>
      <c r="W631" s="9"/>
      <c r="X631" s="546"/>
      <c r="Y631" s="9"/>
      <c r="Z631" s="9"/>
      <c r="AA631" s="9"/>
      <c r="AB631" s="9"/>
      <c r="AC631" s="9"/>
      <c r="AD631" s="9"/>
      <c r="AE631" s="63">
        <v>0</v>
      </c>
      <c r="AF631" s="61"/>
      <c r="AG631" s="61"/>
      <c r="AH631" s="554"/>
      <c r="AI631" s="901">
        <f>+Q631+R631+S631+T631+U631+V631+W631+X631+Y631+Z631+AA631+AB631+AC631+AD631+AE631+AF631+AG631+AH631</f>
        <v>0</v>
      </c>
    </row>
    <row r="632" spans="1:35" ht="84" customHeight="1" x14ac:dyDescent="0.25">
      <c r="A632" s="897"/>
      <c r="B632" s="833"/>
      <c r="C632" s="1164"/>
      <c r="D632" s="1187"/>
      <c r="E632" s="1189"/>
      <c r="F632" s="1184"/>
      <c r="G632" s="1158"/>
      <c r="H632" s="865">
        <v>167</v>
      </c>
      <c r="I632" s="565" t="s">
        <v>815</v>
      </c>
      <c r="J632" s="222">
        <v>15</v>
      </c>
      <c r="K632" s="222">
        <v>15</v>
      </c>
      <c r="L632" s="222">
        <v>14</v>
      </c>
      <c r="M632" s="1192"/>
      <c r="N632" s="1102"/>
      <c r="O632" s="1100"/>
      <c r="P632" s="865" t="s">
        <v>46</v>
      </c>
      <c r="Q632" s="9"/>
      <c r="R632" s="9"/>
      <c r="S632" s="9"/>
      <c r="T632" s="9"/>
      <c r="U632" s="9"/>
      <c r="V632" s="9"/>
      <c r="W632" s="9"/>
      <c r="X632" s="546">
        <f>8024000000+27056704+573833621+1353644949</f>
        <v>9978535274</v>
      </c>
      <c r="Y632" s="9">
        <f>3114728803+81073317+905255315+151028573</f>
        <v>4252086008</v>
      </c>
      <c r="Z632" s="9"/>
      <c r="AA632" s="9"/>
      <c r="AB632" s="9"/>
      <c r="AC632" s="9"/>
      <c r="AD632" s="9"/>
      <c r="AE632" s="60">
        <v>0</v>
      </c>
      <c r="AF632" s="61"/>
      <c r="AG632" s="61"/>
      <c r="AH632" s="547">
        <f>1097554095+6866202+134128260+68256639+130836198+445930014+903327</f>
        <v>1884474735</v>
      </c>
      <c r="AI632" s="900">
        <f>+Q632+R632+S632+T632+U632+V632+W632+X632+Y632+Z632+AA632+AB632+AC632+AD632+AE632+AF632+AG632+AH632</f>
        <v>16115096017</v>
      </c>
    </row>
    <row r="633" spans="1:35" ht="87.75" customHeight="1" x14ac:dyDescent="0.25">
      <c r="A633" s="897"/>
      <c r="B633" s="833"/>
      <c r="C633" s="1165"/>
      <c r="D633" s="1174"/>
      <c r="E633" s="1190"/>
      <c r="F633" s="1185"/>
      <c r="G633" s="1159"/>
      <c r="H633" s="865">
        <v>168</v>
      </c>
      <c r="I633" s="565" t="s">
        <v>816</v>
      </c>
      <c r="J633" s="222">
        <v>7</v>
      </c>
      <c r="K633" s="222">
        <v>14</v>
      </c>
      <c r="L633" s="222">
        <v>4</v>
      </c>
      <c r="M633" s="1193"/>
      <c r="N633" s="1149"/>
      <c r="O633" s="1148"/>
      <c r="P633" s="865" t="s">
        <v>46</v>
      </c>
      <c r="Q633" s="9"/>
      <c r="R633" s="9"/>
      <c r="S633" s="9"/>
      <c r="T633" s="9"/>
      <c r="U633" s="9"/>
      <c r="V633" s="9"/>
      <c r="W633" s="9"/>
      <c r="X633" s="9"/>
      <c r="Y633" s="9"/>
      <c r="Z633" s="9"/>
      <c r="AA633" s="9"/>
      <c r="AB633" s="9"/>
      <c r="AC633" s="9"/>
      <c r="AD633" s="9"/>
      <c r="AE633" s="63">
        <v>0</v>
      </c>
      <c r="AF633" s="61"/>
      <c r="AG633" s="61"/>
      <c r="AH633" s="547"/>
      <c r="AI633" s="900">
        <f>+Q633+R633+S633+T633+U633+V633+W633+X633+Y633+Z633+AA633+AB633+AC633+AD633+AE633+AF633+AG633+AH633</f>
        <v>0</v>
      </c>
    </row>
    <row r="634" spans="1:35" ht="15" x14ac:dyDescent="0.25">
      <c r="A634" s="897"/>
      <c r="B634" s="833"/>
      <c r="C634" s="846"/>
      <c r="D634" s="565"/>
      <c r="E634" s="865"/>
      <c r="F634" s="865"/>
      <c r="G634" s="147"/>
      <c r="H634" s="148"/>
      <c r="I634" s="147"/>
      <c r="J634" s="247"/>
      <c r="K634" s="247"/>
      <c r="L634" s="247"/>
      <c r="M634" s="247"/>
      <c r="N634" s="584"/>
      <c r="O634" s="147"/>
      <c r="P634" s="148"/>
      <c r="Q634" s="150"/>
      <c r="R634" s="150"/>
      <c r="S634" s="150"/>
      <c r="T634" s="150"/>
      <c r="U634" s="150"/>
      <c r="V634" s="150"/>
      <c r="W634" s="150"/>
      <c r="X634" s="150">
        <f t="shared" ref="X634:Y634" si="39">SUM(X631:X633)</f>
        <v>9978535274</v>
      </c>
      <c r="Y634" s="150">
        <f t="shared" si="39"/>
        <v>4252086008</v>
      </c>
      <c r="Z634" s="150"/>
      <c r="AA634" s="150"/>
      <c r="AB634" s="150"/>
      <c r="AC634" s="150"/>
      <c r="AD634" s="150"/>
      <c r="AE634" s="54">
        <f>SUM(AE631:AE633)</f>
        <v>0</v>
      </c>
      <c r="AF634" s="393"/>
      <c r="AG634" s="393"/>
      <c r="AH634" s="393">
        <f>SUM(AH631:AH633)</f>
        <v>1884474735</v>
      </c>
      <c r="AI634" s="904">
        <f t="shared" ref="AI634" si="40">SUM(AI631:AI633)</f>
        <v>16115096017</v>
      </c>
    </row>
    <row r="635" spans="1:35" ht="15" x14ac:dyDescent="0.25">
      <c r="A635" s="897"/>
      <c r="B635" s="833"/>
      <c r="C635" s="845"/>
      <c r="D635" s="161"/>
      <c r="E635" s="845"/>
      <c r="F635" s="845"/>
      <c r="G635" s="161"/>
      <c r="H635" s="845"/>
      <c r="I635" s="161"/>
      <c r="J635" s="845"/>
      <c r="K635" s="260"/>
      <c r="L635" s="573"/>
      <c r="M635" s="566"/>
      <c r="N635" s="57"/>
      <c r="O635" s="216"/>
      <c r="P635" s="845"/>
      <c r="Q635" s="12"/>
      <c r="R635" s="163"/>
      <c r="S635" s="12"/>
      <c r="T635" s="12"/>
      <c r="U635" s="12"/>
      <c r="V635" s="12"/>
      <c r="W635" s="12"/>
      <c r="X635" s="12"/>
      <c r="Y635" s="12"/>
      <c r="Z635" s="12"/>
      <c r="AA635" s="12"/>
      <c r="AB635" s="12"/>
      <c r="AC635" s="12"/>
      <c r="AD635" s="12"/>
      <c r="AE635" s="189"/>
      <c r="AF635" s="12"/>
      <c r="AG635" s="12"/>
      <c r="AH635" s="163"/>
      <c r="AI635" s="991" t="s">
        <v>0</v>
      </c>
    </row>
    <row r="636" spans="1:35" ht="15" x14ac:dyDescent="0.25">
      <c r="A636" s="897"/>
      <c r="B636" s="833"/>
      <c r="C636" s="845"/>
      <c r="D636" s="565"/>
      <c r="E636" s="865"/>
      <c r="F636" s="865"/>
      <c r="G636" s="336">
        <v>51</v>
      </c>
      <c r="H636" s="78" t="s">
        <v>817</v>
      </c>
      <c r="I636" s="78"/>
      <c r="J636" s="78"/>
      <c r="K636" s="474"/>
      <c r="L636" s="474"/>
      <c r="M636" s="78"/>
      <c r="N636" s="88"/>
      <c r="O636" s="78"/>
      <c r="P636" s="78"/>
      <c r="Q636" s="176"/>
      <c r="R636" s="176"/>
      <c r="S636" s="176"/>
      <c r="T636" s="176"/>
      <c r="U636" s="176"/>
      <c r="V636" s="176"/>
      <c r="W636" s="176"/>
      <c r="X636" s="176"/>
      <c r="Y636" s="176"/>
      <c r="Z636" s="176"/>
      <c r="AA636" s="176"/>
      <c r="AB636" s="176"/>
      <c r="AC636" s="176"/>
      <c r="AD636" s="176"/>
      <c r="AE636" s="177"/>
      <c r="AF636" s="176"/>
      <c r="AG636" s="176"/>
      <c r="AH636" s="176"/>
      <c r="AI636" s="992"/>
    </row>
    <row r="637" spans="1:35" ht="108" customHeight="1" x14ac:dyDescent="0.25">
      <c r="A637" s="897"/>
      <c r="B637" s="833"/>
      <c r="C637" s="846" t="s">
        <v>718</v>
      </c>
      <c r="D637" s="849" t="s">
        <v>818</v>
      </c>
      <c r="E637" s="862">
        <v>0.6</v>
      </c>
      <c r="F637" s="862">
        <v>1</v>
      </c>
      <c r="G637" s="565"/>
      <c r="H637" s="865">
        <v>169</v>
      </c>
      <c r="I637" s="565" t="s">
        <v>819</v>
      </c>
      <c r="J637" s="222">
        <v>8</v>
      </c>
      <c r="K637" s="222">
        <v>12</v>
      </c>
      <c r="L637" s="222">
        <v>12</v>
      </c>
      <c r="M637" s="222" t="s">
        <v>684</v>
      </c>
      <c r="N637" s="568" t="s">
        <v>820</v>
      </c>
      <c r="O637" s="565" t="s">
        <v>821</v>
      </c>
      <c r="P637" s="865" t="s">
        <v>46</v>
      </c>
      <c r="Q637" s="9"/>
      <c r="R637" s="9"/>
      <c r="S637" s="9"/>
      <c r="T637" s="9"/>
      <c r="U637" s="9"/>
      <c r="V637" s="9"/>
      <c r="W637" s="9"/>
      <c r="X637" s="9"/>
      <c r="Y637" s="249"/>
      <c r="Z637" s="9"/>
      <c r="AA637" s="9"/>
      <c r="AB637" s="9"/>
      <c r="AC637" s="9"/>
      <c r="AD637" s="9"/>
      <c r="AE637" s="60">
        <v>58080000</v>
      </c>
      <c r="AF637" s="61"/>
      <c r="AG637" s="61"/>
      <c r="AH637" s="61"/>
      <c r="AI637" s="901">
        <f>+Q637+R637+S637+T637+U637+V637+W637+X637+Y637+Z637+AA637+AB637+AC637+AD637+AE637+AF637+AG637+AH637</f>
        <v>58080000</v>
      </c>
    </row>
    <row r="638" spans="1:35" ht="15" x14ac:dyDescent="0.25">
      <c r="A638" s="897"/>
      <c r="B638" s="833"/>
      <c r="C638" s="846"/>
      <c r="D638" s="565"/>
      <c r="E638" s="865"/>
      <c r="F638" s="865"/>
      <c r="G638" s="147"/>
      <c r="H638" s="148"/>
      <c r="I638" s="147"/>
      <c r="J638" s="247"/>
      <c r="K638" s="247"/>
      <c r="L638" s="247"/>
      <c r="M638" s="247"/>
      <c r="N638" s="584"/>
      <c r="O638" s="147"/>
      <c r="P638" s="148"/>
      <c r="Q638" s="150"/>
      <c r="R638" s="150"/>
      <c r="S638" s="150"/>
      <c r="T638" s="150"/>
      <c r="U638" s="150"/>
      <c r="V638" s="150"/>
      <c r="W638" s="150"/>
      <c r="X638" s="150"/>
      <c r="Y638" s="150">
        <f>Y637</f>
        <v>0</v>
      </c>
      <c r="Z638" s="150"/>
      <c r="AA638" s="150"/>
      <c r="AB638" s="150">
        <f>AB637</f>
        <v>0</v>
      </c>
      <c r="AC638" s="150"/>
      <c r="AD638" s="150"/>
      <c r="AE638" s="150">
        <f>AE637</f>
        <v>58080000</v>
      </c>
      <c r="AF638" s="150"/>
      <c r="AG638" s="150"/>
      <c r="AH638" s="150"/>
      <c r="AI638" s="904">
        <f>AI637</f>
        <v>58080000</v>
      </c>
    </row>
    <row r="639" spans="1:35" ht="15" x14ac:dyDescent="0.25">
      <c r="A639" s="897"/>
      <c r="B639" s="833"/>
      <c r="C639" s="845"/>
      <c r="D639" s="161"/>
      <c r="E639" s="845"/>
      <c r="F639" s="845"/>
      <c r="G639" s="161"/>
      <c r="H639" s="845"/>
      <c r="I639" s="161"/>
      <c r="J639" s="845"/>
      <c r="K639" s="260"/>
      <c r="L639" s="573"/>
      <c r="M639" s="566"/>
      <c r="N639" s="57"/>
      <c r="O639" s="216"/>
      <c r="P639" s="845"/>
      <c r="Q639" s="12"/>
      <c r="R639" s="12"/>
      <c r="S639" s="12"/>
      <c r="T639" s="12"/>
      <c r="U639" s="12"/>
      <c r="V639" s="12"/>
      <c r="W639" s="12"/>
      <c r="X639" s="12"/>
      <c r="Y639" s="12"/>
      <c r="Z639" s="12"/>
      <c r="AA639" s="12"/>
      <c r="AB639" s="12"/>
      <c r="AC639" s="12"/>
      <c r="AD639" s="12"/>
      <c r="AE639" s="189"/>
      <c r="AF639" s="12"/>
      <c r="AG639" s="12"/>
      <c r="AH639" s="12"/>
      <c r="AI639" s="942"/>
    </row>
    <row r="640" spans="1:35" ht="15" x14ac:dyDescent="0.25">
      <c r="A640" s="897"/>
      <c r="B640" s="833"/>
      <c r="C640" s="845"/>
      <c r="D640" s="565"/>
      <c r="E640" s="865"/>
      <c r="F640" s="865"/>
      <c r="G640" s="336">
        <v>52</v>
      </c>
      <c r="H640" s="78" t="s">
        <v>822</v>
      </c>
      <c r="I640" s="78"/>
      <c r="J640" s="78"/>
      <c r="K640" s="474"/>
      <c r="L640" s="474"/>
      <c r="M640" s="78"/>
      <c r="N640" s="88"/>
      <c r="O640" s="78"/>
      <c r="P640" s="78"/>
      <c r="Q640" s="176"/>
      <c r="R640" s="176"/>
      <c r="S640" s="176"/>
      <c r="T640" s="176"/>
      <c r="U640" s="176"/>
      <c r="V640" s="176"/>
      <c r="W640" s="176"/>
      <c r="X640" s="176"/>
      <c r="Y640" s="176"/>
      <c r="Z640" s="176"/>
      <c r="AA640" s="176"/>
      <c r="AB640" s="176"/>
      <c r="AC640" s="176"/>
      <c r="AD640" s="176"/>
      <c r="AE640" s="177"/>
      <c r="AF640" s="176"/>
      <c r="AG640" s="176"/>
      <c r="AH640" s="176"/>
      <c r="AI640" s="992"/>
    </row>
    <row r="641" spans="1:35" ht="82.5" customHeight="1" x14ac:dyDescent="0.25">
      <c r="A641" s="897"/>
      <c r="B641" s="833"/>
      <c r="C641" s="1163">
        <v>28</v>
      </c>
      <c r="D641" s="1099" t="s">
        <v>823</v>
      </c>
      <c r="E641" s="1186">
        <v>0.5</v>
      </c>
      <c r="F641" s="1186">
        <v>1</v>
      </c>
      <c r="G641" s="145"/>
      <c r="H641" s="865">
        <v>170</v>
      </c>
      <c r="I641" s="565" t="s">
        <v>824</v>
      </c>
      <c r="J641" s="475">
        <v>14</v>
      </c>
      <c r="K641" s="475">
        <v>14</v>
      </c>
      <c r="L641" s="475">
        <v>0</v>
      </c>
      <c r="M641" s="1166" t="s">
        <v>684</v>
      </c>
      <c r="N641" s="1101" t="s">
        <v>825</v>
      </c>
      <c r="O641" s="1099" t="s">
        <v>826</v>
      </c>
      <c r="P641" s="865" t="s">
        <v>46</v>
      </c>
      <c r="Q641" s="9"/>
      <c r="R641" s="9"/>
      <c r="S641" s="9"/>
      <c r="T641" s="9"/>
      <c r="U641" s="9"/>
      <c r="V641" s="9"/>
      <c r="W641" s="9"/>
      <c r="X641" s="9"/>
      <c r="Y641" s="262"/>
      <c r="Z641" s="9"/>
      <c r="AA641" s="9"/>
      <c r="AB641" s="9"/>
      <c r="AC641" s="9"/>
      <c r="AD641" s="9"/>
      <c r="AE641" s="63">
        <v>10000000</v>
      </c>
      <c r="AF641" s="61"/>
      <c r="AG641" s="61"/>
      <c r="AH641" s="61"/>
      <c r="AI641" s="901">
        <f>+Q641+R641+S641+T641+U641+V641+W641+X641+Y641+Z641+AA641+AB641+AC641+AD641+AE641+AF641+AG641+AH641</f>
        <v>10000000</v>
      </c>
    </row>
    <row r="642" spans="1:35" ht="67.5" customHeight="1" x14ac:dyDescent="0.25">
      <c r="A642" s="897"/>
      <c r="B642" s="833"/>
      <c r="C642" s="1165"/>
      <c r="D642" s="1148"/>
      <c r="E642" s="1185"/>
      <c r="F642" s="1185"/>
      <c r="G642" s="3"/>
      <c r="H642" s="865">
        <v>171</v>
      </c>
      <c r="I642" s="565" t="s">
        <v>827</v>
      </c>
      <c r="J642" s="475">
        <v>1</v>
      </c>
      <c r="K642" s="475">
        <v>1</v>
      </c>
      <c r="L642" s="475">
        <v>1</v>
      </c>
      <c r="M642" s="1168"/>
      <c r="N642" s="1149"/>
      <c r="O642" s="1148"/>
      <c r="P642" s="865" t="s">
        <v>46</v>
      </c>
      <c r="Q642" s="9"/>
      <c r="R642" s="9"/>
      <c r="S642" s="9"/>
      <c r="T642" s="9"/>
      <c r="U642" s="9"/>
      <c r="V642" s="9"/>
      <c r="W642" s="9"/>
      <c r="X642" s="9"/>
      <c r="Y642" s="262"/>
      <c r="Z642" s="9"/>
      <c r="AA642" s="9"/>
      <c r="AB642" s="9"/>
      <c r="AC642" s="9"/>
      <c r="AD642" s="9"/>
      <c r="AE642" s="63">
        <v>10000000</v>
      </c>
      <c r="AF642" s="61"/>
      <c r="AG642" s="61"/>
      <c r="AH642" s="61"/>
      <c r="AI642" s="901">
        <f>+Q642+R642+S642+T642+U642+V642+W642+X642+Y642+Z642+AA642+AB642+AC642+AD642+AE642+AF642+AG642+AH642</f>
        <v>10000000</v>
      </c>
    </row>
    <row r="643" spans="1:35" ht="86.25" customHeight="1" x14ac:dyDescent="0.25">
      <c r="A643" s="897"/>
      <c r="B643" s="833"/>
      <c r="C643" s="846">
        <v>28</v>
      </c>
      <c r="D643" s="565" t="s">
        <v>823</v>
      </c>
      <c r="E643" s="384">
        <v>0.5</v>
      </c>
      <c r="F643" s="384">
        <v>1</v>
      </c>
      <c r="G643" s="72"/>
      <c r="H643" s="865">
        <v>172</v>
      </c>
      <c r="I643" s="565" t="s">
        <v>828</v>
      </c>
      <c r="J643" s="222">
        <v>12</v>
      </c>
      <c r="K643" s="222">
        <v>12</v>
      </c>
      <c r="L643" s="222">
        <v>6</v>
      </c>
      <c r="M643" s="222" t="s">
        <v>684</v>
      </c>
      <c r="N643" s="568" t="s">
        <v>829</v>
      </c>
      <c r="O643" s="565" t="s">
        <v>830</v>
      </c>
      <c r="P643" s="865" t="s">
        <v>46</v>
      </c>
      <c r="Q643" s="9"/>
      <c r="R643" s="9"/>
      <c r="S643" s="9"/>
      <c r="T643" s="9"/>
      <c r="U643" s="9"/>
      <c r="V643" s="9"/>
      <c r="W643" s="9"/>
      <c r="X643" s="9"/>
      <c r="Y643" s="476">
        <v>114000000</v>
      </c>
      <c r="Z643" s="9"/>
      <c r="AA643" s="9"/>
      <c r="AB643" s="9"/>
      <c r="AC643" s="9"/>
      <c r="AD643" s="9"/>
      <c r="AE643" s="550">
        <f>160441641+400000000</f>
        <v>560441641</v>
      </c>
      <c r="AF643" s="61"/>
      <c r="AG643" s="61"/>
      <c r="AH643" s="61"/>
      <c r="AI643" s="901">
        <f>+Q643+R643+S643+T643+U643+V643+W643+X643+Y643+Z643+AA643+AB643+AC643+AD643+AE643+AF643+AG643+AH643</f>
        <v>674441641</v>
      </c>
    </row>
    <row r="644" spans="1:35" ht="15" x14ac:dyDescent="0.25">
      <c r="A644" s="897"/>
      <c r="B644" s="833"/>
      <c r="C644" s="846"/>
      <c r="D644" s="565"/>
      <c r="E644" s="865"/>
      <c r="F644" s="865"/>
      <c r="G644" s="147"/>
      <c r="H644" s="148"/>
      <c r="I644" s="147"/>
      <c r="J644" s="247"/>
      <c r="K644" s="378"/>
      <c r="L644" s="378"/>
      <c r="M644" s="247"/>
      <c r="N644" s="584"/>
      <c r="O644" s="147"/>
      <c r="P644" s="148"/>
      <c r="Q644" s="150">
        <f t="shared" ref="Q644:AI644" si="41">SUM(Q641:Q643)</f>
        <v>0</v>
      </c>
      <c r="R644" s="150">
        <f t="shared" si="41"/>
        <v>0</v>
      </c>
      <c r="S644" s="150">
        <f t="shared" si="41"/>
        <v>0</v>
      </c>
      <c r="T644" s="150">
        <f t="shared" si="41"/>
        <v>0</v>
      </c>
      <c r="U644" s="150">
        <f t="shared" si="41"/>
        <v>0</v>
      </c>
      <c r="V644" s="150">
        <f t="shared" si="41"/>
        <v>0</v>
      </c>
      <c r="W644" s="150">
        <f t="shared" si="41"/>
        <v>0</v>
      </c>
      <c r="X644" s="150">
        <f t="shared" si="41"/>
        <v>0</v>
      </c>
      <c r="Y644" s="150">
        <f t="shared" si="41"/>
        <v>114000000</v>
      </c>
      <c r="Z644" s="150">
        <f t="shared" si="41"/>
        <v>0</v>
      </c>
      <c r="AA644" s="150">
        <f t="shared" si="41"/>
        <v>0</v>
      </c>
      <c r="AB644" s="150">
        <f t="shared" si="41"/>
        <v>0</v>
      </c>
      <c r="AC644" s="150">
        <f t="shared" si="41"/>
        <v>0</v>
      </c>
      <c r="AD644" s="150">
        <f t="shared" si="41"/>
        <v>0</v>
      </c>
      <c r="AE644" s="54">
        <f t="shared" si="41"/>
        <v>580441641</v>
      </c>
      <c r="AF644" s="54">
        <f t="shared" si="41"/>
        <v>0</v>
      </c>
      <c r="AG644" s="54">
        <f t="shared" si="41"/>
        <v>0</v>
      </c>
      <c r="AH644" s="54">
        <f t="shared" si="41"/>
        <v>0</v>
      </c>
      <c r="AI644" s="904">
        <f t="shared" si="41"/>
        <v>694441641</v>
      </c>
    </row>
    <row r="645" spans="1:35" ht="15" x14ac:dyDescent="0.25">
      <c r="A645" s="897"/>
      <c r="B645" s="833"/>
      <c r="C645" s="845"/>
      <c r="D645" s="161"/>
      <c r="E645" s="845"/>
      <c r="F645" s="845"/>
      <c r="G645" s="161"/>
      <c r="H645" s="845"/>
      <c r="I645" s="161"/>
      <c r="J645" s="845"/>
      <c r="K645" s="468"/>
      <c r="L645" s="578"/>
      <c r="M645" s="566"/>
      <c r="N645" s="57"/>
      <c r="O645" s="216"/>
      <c r="P645" s="845"/>
      <c r="Q645" s="12"/>
      <c r="R645" s="12"/>
      <c r="S645" s="12"/>
      <c r="T645" s="12"/>
      <c r="U645" s="12"/>
      <c r="V645" s="12"/>
      <c r="W645" s="12"/>
      <c r="X645" s="12"/>
      <c r="Y645" s="12"/>
      <c r="Z645" s="12"/>
      <c r="AA645" s="12"/>
      <c r="AB645" s="12"/>
      <c r="AC645" s="12"/>
      <c r="AD645" s="12"/>
      <c r="AE645" s="189"/>
      <c r="AF645" s="12"/>
      <c r="AG645" s="12"/>
      <c r="AH645" s="12"/>
      <c r="AI645" s="921"/>
    </row>
    <row r="646" spans="1:35" ht="15" x14ac:dyDescent="0.25">
      <c r="A646" s="897"/>
      <c r="B646" s="833"/>
      <c r="C646" s="845"/>
      <c r="D646" s="565"/>
      <c r="E646" s="865"/>
      <c r="F646" s="865"/>
      <c r="G646" s="336">
        <v>53</v>
      </c>
      <c r="H646" s="81" t="s">
        <v>831</v>
      </c>
      <c r="I646" s="81"/>
      <c r="J646" s="81"/>
      <c r="K646" s="207"/>
      <c r="L646" s="207"/>
      <c r="M646" s="81"/>
      <c r="N646" s="88"/>
      <c r="O646" s="81"/>
      <c r="P646" s="81"/>
      <c r="Q646" s="176"/>
      <c r="R646" s="176"/>
      <c r="S646" s="176"/>
      <c r="T646" s="176"/>
      <c r="U646" s="176"/>
      <c r="V646" s="176"/>
      <c r="W646" s="176"/>
      <c r="X646" s="176"/>
      <c r="Y646" s="176"/>
      <c r="Z646" s="176"/>
      <c r="AA646" s="176"/>
      <c r="AB646" s="176"/>
      <c r="AC646" s="176"/>
      <c r="AD646" s="176"/>
      <c r="AE646" s="177"/>
      <c r="AF646" s="176"/>
      <c r="AG646" s="176"/>
      <c r="AH646" s="176"/>
      <c r="AI646" s="918"/>
    </row>
    <row r="647" spans="1:35" ht="132.75" customHeight="1" x14ac:dyDescent="0.25">
      <c r="A647" s="897"/>
      <c r="B647" s="833"/>
      <c r="C647" s="1163">
        <v>28</v>
      </c>
      <c r="D647" s="1099" t="s">
        <v>823</v>
      </c>
      <c r="E647" s="1186">
        <v>0.5</v>
      </c>
      <c r="F647" s="1186">
        <v>1</v>
      </c>
      <c r="G647" s="1157"/>
      <c r="H647" s="865">
        <v>173</v>
      </c>
      <c r="I647" s="565" t="s">
        <v>832</v>
      </c>
      <c r="J647" s="475" t="s">
        <v>36</v>
      </c>
      <c r="K647" s="475">
        <v>7</v>
      </c>
      <c r="L647" s="475">
        <v>4</v>
      </c>
      <c r="M647" s="1166" t="s">
        <v>684</v>
      </c>
      <c r="N647" s="1101" t="s">
        <v>833</v>
      </c>
      <c r="O647" s="1099" t="s">
        <v>834</v>
      </c>
      <c r="P647" s="865" t="s">
        <v>46</v>
      </c>
      <c r="Q647" s="9"/>
      <c r="R647" s="9"/>
      <c r="S647" s="9"/>
      <c r="T647" s="9"/>
      <c r="U647" s="9"/>
      <c r="V647" s="9"/>
      <c r="W647" s="9"/>
      <c r="X647" s="9"/>
      <c r="Y647" s="661">
        <v>7500000</v>
      </c>
      <c r="Z647" s="9"/>
      <c r="AA647" s="9"/>
      <c r="AB647" s="9"/>
      <c r="AC647" s="9"/>
      <c r="AD647" s="9"/>
      <c r="AE647" s="60">
        <v>18600000</v>
      </c>
      <c r="AF647" s="61"/>
      <c r="AG647" s="61"/>
      <c r="AH647" s="61"/>
      <c r="AI647" s="901">
        <f>+Q647+R647+S647+T647+U647+V647+W647+X647+Y647+Z647+AA647+AB647+AC647+AD647+AE647+AF647+AG647+AH647</f>
        <v>26100000</v>
      </c>
    </row>
    <row r="648" spans="1:35" ht="79.5" customHeight="1" x14ac:dyDescent="0.25">
      <c r="A648" s="897"/>
      <c r="B648" s="833"/>
      <c r="C648" s="1165"/>
      <c r="D648" s="1148"/>
      <c r="E648" s="1185"/>
      <c r="F648" s="1185"/>
      <c r="G648" s="1159"/>
      <c r="H648" s="865">
        <v>174</v>
      </c>
      <c r="I648" s="565" t="s">
        <v>835</v>
      </c>
      <c r="J648" s="865">
        <v>100</v>
      </c>
      <c r="K648" s="222">
        <v>150</v>
      </c>
      <c r="L648" s="222">
        <v>49</v>
      </c>
      <c r="M648" s="1168"/>
      <c r="N648" s="1149"/>
      <c r="O648" s="1148"/>
      <c r="P648" s="865" t="s">
        <v>46</v>
      </c>
      <c r="Q648" s="9"/>
      <c r="R648" s="9"/>
      <c r="S648" s="9"/>
      <c r="T648" s="9"/>
      <c r="U648" s="9"/>
      <c r="V648" s="9"/>
      <c r="W648" s="9"/>
      <c r="X648" s="9"/>
      <c r="Y648" s="9"/>
      <c r="Z648" s="9"/>
      <c r="AA648" s="9"/>
      <c r="AB648" s="9"/>
      <c r="AC648" s="9"/>
      <c r="AD648" s="9"/>
      <c r="AE648" s="63">
        <v>30000000</v>
      </c>
      <c r="AF648" s="61"/>
      <c r="AG648" s="61"/>
      <c r="AH648" s="61"/>
      <c r="AI648" s="901">
        <f>+Q648+R648+S648+T648+U648+V648+W648+X648+Y648+Z648+AA648+AB648+AC648+AD648+AE648+AF648+AG648+AH648</f>
        <v>30000000</v>
      </c>
    </row>
    <row r="649" spans="1:35" ht="15" x14ac:dyDescent="0.25">
      <c r="A649" s="897"/>
      <c r="B649" s="833"/>
      <c r="C649" s="846"/>
      <c r="D649" s="565"/>
      <c r="E649" s="865"/>
      <c r="F649" s="865"/>
      <c r="G649" s="147"/>
      <c r="H649" s="148"/>
      <c r="I649" s="147"/>
      <c r="J649" s="148"/>
      <c r="K649" s="247"/>
      <c r="L649" s="247"/>
      <c r="M649" s="148"/>
      <c r="N649" s="584"/>
      <c r="O649" s="147"/>
      <c r="P649" s="148"/>
      <c r="Q649" s="150">
        <f t="shared" ref="Q649:AI649" si="42">SUM(Q647:Q648)</f>
        <v>0</v>
      </c>
      <c r="R649" s="150">
        <f t="shared" si="42"/>
        <v>0</v>
      </c>
      <c r="S649" s="150">
        <f t="shared" si="42"/>
        <v>0</v>
      </c>
      <c r="T649" s="150">
        <f t="shared" si="42"/>
        <v>0</v>
      </c>
      <c r="U649" s="150">
        <f t="shared" si="42"/>
        <v>0</v>
      </c>
      <c r="V649" s="150">
        <f t="shared" si="42"/>
        <v>0</v>
      </c>
      <c r="W649" s="150">
        <f t="shared" si="42"/>
        <v>0</v>
      </c>
      <c r="X649" s="150">
        <f t="shared" si="42"/>
        <v>0</v>
      </c>
      <c r="Y649" s="150">
        <f t="shared" si="42"/>
        <v>7500000</v>
      </c>
      <c r="Z649" s="150">
        <f t="shared" si="42"/>
        <v>0</v>
      </c>
      <c r="AA649" s="150">
        <f t="shared" si="42"/>
        <v>0</v>
      </c>
      <c r="AB649" s="150">
        <f t="shared" si="42"/>
        <v>0</v>
      </c>
      <c r="AC649" s="150">
        <f t="shared" si="42"/>
        <v>0</v>
      </c>
      <c r="AD649" s="150">
        <f t="shared" si="42"/>
        <v>0</v>
      </c>
      <c r="AE649" s="150">
        <f t="shared" si="42"/>
        <v>48600000</v>
      </c>
      <c r="AF649" s="150">
        <f t="shared" si="42"/>
        <v>0</v>
      </c>
      <c r="AG649" s="150">
        <f t="shared" si="42"/>
        <v>0</v>
      </c>
      <c r="AH649" s="150">
        <f t="shared" si="42"/>
        <v>0</v>
      </c>
      <c r="AI649" s="904">
        <f t="shared" si="42"/>
        <v>56100000</v>
      </c>
    </row>
    <row r="650" spans="1:35" ht="15" x14ac:dyDescent="0.25">
      <c r="A650" s="897"/>
      <c r="B650" s="833"/>
      <c r="C650" s="845"/>
      <c r="D650" s="161"/>
      <c r="E650" s="845"/>
      <c r="F650" s="845"/>
      <c r="G650" s="161"/>
      <c r="H650" s="845"/>
      <c r="I650" s="161"/>
      <c r="J650" s="845"/>
      <c r="K650" s="260"/>
      <c r="L650" s="573"/>
      <c r="M650" s="566"/>
      <c r="N650" s="57"/>
      <c r="O650" s="216"/>
      <c r="P650" s="845"/>
      <c r="Q650" s="12"/>
      <c r="R650" s="12"/>
      <c r="S650" s="12"/>
      <c r="T650" s="12"/>
      <c r="U650" s="12"/>
      <c r="V650" s="12"/>
      <c r="W650" s="12"/>
      <c r="X650" s="12"/>
      <c r="Y650" s="12"/>
      <c r="Z650" s="12"/>
      <c r="AA650" s="12"/>
      <c r="AB650" s="12"/>
      <c r="AC650" s="12"/>
      <c r="AD650" s="12"/>
      <c r="AE650" s="189"/>
      <c r="AF650" s="12"/>
      <c r="AG650" s="12"/>
      <c r="AH650" s="12"/>
      <c r="AI650" s="921"/>
    </row>
    <row r="651" spans="1:35" ht="15" x14ac:dyDescent="0.25">
      <c r="A651" s="897"/>
      <c r="B651" s="833"/>
      <c r="C651" s="845"/>
      <c r="D651" s="565"/>
      <c r="E651" s="865"/>
      <c r="F651" s="865"/>
      <c r="G651" s="336">
        <v>54</v>
      </c>
      <c r="H651" s="81" t="s">
        <v>836</v>
      </c>
      <c r="I651" s="81"/>
      <c r="J651" s="81"/>
      <c r="K651" s="235"/>
      <c r="L651" s="579"/>
      <c r="M651" s="271"/>
      <c r="N651" s="595"/>
      <c r="O651" s="271"/>
      <c r="P651" s="81"/>
      <c r="Q651" s="176"/>
      <c r="R651" s="176"/>
      <c r="S651" s="176"/>
      <c r="T651" s="176"/>
      <c r="U651" s="176"/>
      <c r="V651" s="176"/>
      <c r="W651" s="176"/>
      <c r="X651" s="176"/>
      <c r="Y651" s="176"/>
      <c r="Z651" s="176"/>
      <c r="AA651" s="176"/>
      <c r="AB651" s="176"/>
      <c r="AC651" s="176"/>
      <c r="AD651" s="176"/>
      <c r="AE651" s="177"/>
      <c r="AF651" s="176"/>
      <c r="AG651" s="176"/>
      <c r="AH651" s="176"/>
      <c r="AI651" s="918"/>
    </row>
    <row r="652" spans="1:35" ht="59.25" customHeight="1" x14ac:dyDescent="0.25">
      <c r="A652" s="897"/>
      <c r="B652" s="833"/>
      <c r="C652" s="1163">
        <v>28</v>
      </c>
      <c r="D652" s="1099" t="s">
        <v>823</v>
      </c>
      <c r="E652" s="1186">
        <v>0.5</v>
      </c>
      <c r="F652" s="1186">
        <v>1</v>
      </c>
      <c r="G652" s="1157"/>
      <c r="H652" s="865">
        <v>175</v>
      </c>
      <c r="I652" s="565" t="s">
        <v>837</v>
      </c>
      <c r="J652" s="865">
        <v>10</v>
      </c>
      <c r="K652" s="540">
        <v>14</v>
      </c>
      <c r="L652" s="222">
        <v>10</v>
      </c>
      <c r="M652" s="1194" t="s">
        <v>684</v>
      </c>
      <c r="N652" s="1195" t="s">
        <v>838</v>
      </c>
      <c r="O652" s="1196" t="s">
        <v>839</v>
      </c>
      <c r="P652" s="846" t="s">
        <v>46</v>
      </c>
      <c r="Q652" s="9"/>
      <c r="R652" s="9"/>
      <c r="S652" s="9"/>
      <c r="T652" s="9"/>
      <c r="U652" s="9"/>
      <c r="V652" s="9"/>
      <c r="W652" s="9"/>
      <c r="X652" s="9"/>
      <c r="Y652" s="249"/>
      <c r="Z652" s="9"/>
      <c r="AA652" s="9"/>
      <c r="AB652" s="9"/>
      <c r="AC652" s="9"/>
      <c r="AD652" s="9"/>
      <c r="AE652" s="550">
        <f>28080000+300000000</f>
        <v>328080000</v>
      </c>
      <c r="AF652" s="61"/>
      <c r="AG652" s="61"/>
      <c r="AH652" s="61"/>
      <c r="AI652" s="901">
        <f>+Q652+R652+S652+T652+U652+V652+W652+X652+Y652+Z652+AA652+AB652+AC652+AD652+AE652+AF652+AG652+AH652</f>
        <v>328080000</v>
      </c>
    </row>
    <row r="653" spans="1:35" ht="71.25" customHeight="1" x14ac:dyDescent="0.25">
      <c r="A653" s="897"/>
      <c r="B653" s="833"/>
      <c r="C653" s="1165"/>
      <c r="D653" s="1148"/>
      <c r="E653" s="1185"/>
      <c r="F653" s="1185"/>
      <c r="G653" s="1159"/>
      <c r="H653" s="865">
        <v>176</v>
      </c>
      <c r="I653" s="565" t="s">
        <v>840</v>
      </c>
      <c r="J653" s="865">
        <v>2</v>
      </c>
      <c r="K653" s="540">
        <v>2</v>
      </c>
      <c r="L653" s="779">
        <v>1.9</v>
      </c>
      <c r="M653" s="1194"/>
      <c r="N653" s="1195"/>
      <c r="O653" s="1196"/>
      <c r="P653" s="846" t="s">
        <v>46</v>
      </c>
      <c r="Q653" s="9"/>
      <c r="R653" s="9"/>
      <c r="S653" s="9"/>
      <c r="T653" s="9"/>
      <c r="U653" s="9"/>
      <c r="V653" s="9"/>
      <c r="W653" s="9"/>
      <c r="X653" s="9"/>
      <c r="Y653" s="9"/>
      <c r="Z653" s="9"/>
      <c r="AA653" s="9"/>
      <c r="AB653" s="9"/>
      <c r="AC653" s="9"/>
      <c r="AD653" s="9"/>
      <c r="AE653" s="63">
        <v>12000000</v>
      </c>
      <c r="AF653" s="61"/>
      <c r="AG653" s="61"/>
      <c r="AH653" s="61"/>
      <c r="AI653" s="901">
        <f>+Q653+R653+S653+T653+U653+V653+W653+X653+Y653+Z653+AA653+AB653+AC653+AD653+AE653+AF653+AG653+AH653</f>
        <v>12000000</v>
      </c>
    </row>
    <row r="654" spans="1:35" ht="21.75" customHeight="1" x14ac:dyDescent="0.25">
      <c r="A654" s="897"/>
      <c r="B654" s="833"/>
      <c r="C654" s="846"/>
      <c r="D654" s="565"/>
      <c r="E654" s="865"/>
      <c r="F654" s="865"/>
      <c r="G654" s="147"/>
      <c r="H654" s="148"/>
      <c r="I654" s="147"/>
      <c r="J654" s="148"/>
      <c r="K654" s="247"/>
      <c r="L654" s="580"/>
      <c r="M654" s="407"/>
      <c r="N654" s="603"/>
      <c r="O654" s="406"/>
      <c r="P654" s="148"/>
      <c r="Q654" s="150"/>
      <c r="R654" s="150"/>
      <c r="S654" s="150"/>
      <c r="T654" s="150"/>
      <c r="U654" s="150"/>
      <c r="V654" s="150"/>
      <c r="W654" s="150"/>
      <c r="X654" s="150">
        <f>SUM(X652:X653)</f>
        <v>0</v>
      </c>
      <c r="Y654" s="150">
        <f>SUM(Y652:Y653)</f>
        <v>0</v>
      </c>
      <c r="Z654" s="150">
        <f>SUM(Z652:Z653)</f>
        <v>0</v>
      </c>
      <c r="AA654" s="150"/>
      <c r="AB654" s="150">
        <f>SUM(AB652:AB653)</f>
        <v>0</v>
      </c>
      <c r="AC654" s="150"/>
      <c r="AD654" s="150"/>
      <c r="AE654" s="150">
        <f>SUM(AE652:AE653)</f>
        <v>340080000</v>
      </c>
      <c r="AF654" s="150"/>
      <c r="AG654" s="150"/>
      <c r="AH654" s="150">
        <f>SUM(AH652:AH653)</f>
        <v>0</v>
      </c>
      <c r="AI654" s="904">
        <f t="shared" ref="AI654" si="43">SUM(AI652:AI653)</f>
        <v>340080000</v>
      </c>
    </row>
    <row r="655" spans="1:35" ht="15" x14ac:dyDescent="0.25">
      <c r="A655" s="917"/>
      <c r="B655" s="411"/>
      <c r="C655" s="152"/>
      <c r="D655" s="151"/>
      <c r="E655" s="152"/>
      <c r="F655" s="152"/>
      <c r="G655" s="151"/>
      <c r="H655" s="152"/>
      <c r="I655" s="151"/>
      <c r="J655" s="152"/>
      <c r="K655" s="257"/>
      <c r="L655" s="257"/>
      <c r="M655" s="152"/>
      <c r="N655" s="585"/>
      <c r="O655" s="151"/>
      <c r="P655" s="152"/>
      <c r="Q655" s="154"/>
      <c r="R655" s="154"/>
      <c r="S655" s="154"/>
      <c r="T655" s="154"/>
      <c r="U655" s="154"/>
      <c r="V655" s="154"/>
      <c r="W655" s="154"/>
      <c r="X655" s="154">
        <f>X654+X649+X644+X638+X634</f>
        <v>9978535274</v>
      </c>
      <c r="Y655" s="154">
        <f>Y654+Y649+Y644+Y638+Y634</f>
        <v>4373586008</v>
      </c>
      <c r="Z655" s="154">
        <f>Z654+Z649+Z644+Z638+Z634</f>
        <v>0</v>
      </c>
      <c r="AA655" s="154"/>
      <c r="AB655" s="154">
        <f>AB654+AB649+AB644+AB638+AB634</f>
        <v>0</v>
      </c>
      <c r="AC655" s="154"/>
      <c r="AD655" s="154"/>
      <c r="AE655" s="154">
        <f>AE654+AE649+AE644+AE638+AE634</f>
        <v>1027201641</v>
      </c>
      <c r="AF655" s="154"/>
      <c r="AG655" s="154"/>
      <c r="AH655" s="154">
        <f>AH654+AH649+AH644+AH638+AH634</f>
        <v>1884474735</v>
      </c>
      <c r="AI655" s="906">
        <f t="shared" ref="AI655" si="44">AI654+AI649+AI644+AI638+AI634</f>
        <v>17263797658</v>
      </c>
    </row>
    <row r="656" spans="1:35" ht="15" x14ac:dyDescent="0.25">
      <c r="A656" s="917"/>
      <c r="B656" s="161"/>
      <c r="C656" s="845"/>
      <c r="D656" s="161"/>
      <c r="E656" s="845"/>
      <c r="F656" s="845"/>
      <c r="G656" s="161"/>
      <c r="H656" s="845"/>
      <c r="I656" s="161"/>
      <c r="J656" s="845"/>
      <c r="K656" s="260"/>
      <c r="L656" s="573"/>
      <c r="M656" s="566"/>
      <c r="N656" s="57"/>
      <c r="O656" s="216"/>
      <c r="P656" s="845"/>
      <c r="Q656" s="12"/>
      <c r="R656" s="12"/>
      <c r="S656" s="12"/>
      <c r="T656" s="12"/>
      <c r="U656" s="12"/>
      <c r="V656" s="12"/>
      <c r="W656" s="12"/>
      <c r="X656" s="12"/>
      <c r="Y656" s="12"/>
      <c r="Z656" s="12"/>
      <c r="AA656" s="12"/>
      <c r="AB656" s="12"/>
      <c r="AC656" s="12"/>
      <c r="AD656" s="12"/>
      <c r="AE656" s="189"/>
      <c r="AF656" s="12"/>
      <c r="AG656" s="12"/>
      <c r="AH656" s="163"/>
      <c r="AI656" s="942"/>
    </row>
    <row r="657" spans="1:35" x14ac:dyDescent="0.25">
      <c r="A657" s="917"/>
      <c r="B657" s="462">
        <v>15</v>
      </c>
      <c r="C657" s="837" t="s">
        <v>841</v>
      </c>
      <c r="D657" s="87"/>
      <c r="E657" s="87"/>
      <c r="F657" s="87"/>
      <c r="G657" s="87"/>
      <c r="H657" s="838"/>
      <c r="I657" s="87"/>
      <c r="J657" s="87"/>
      <c r="K657" s="233"/>
      <c r="L657" s="233"/>
      <c r="M657" s="87"/>
      <c r="N657" s="15"/>
      <c r="O657" s="87"/>
      <c r="P657" s="87"/>
      <c r="Q657" s="169"/>
      <c r="R657" s="169"/>
      <c r="S657" s="169"/>
      <c r="T657" s="169"/>
      <c r="U657" s="169"/>
      <c r="V657" s="169"/>
      <c r="W657" s="169"/>
      <c r="X657" s="169"/>
      <c r="Y657" s="169"/>
      <c r="Z657" s="169"/>
      <c r="AA657" s="169"/>
      <c r="AB657" s="169"/>
      <c r="AC657" s="169"/>
      <c r="AD657" s="169"/>
      <c r="AE657" s="170"/>
      <c r="AF657" s="169"/>
      <c r="AG657" s="169"/>
      <c r="AH657" s="169"/>
      <c r="AI657" s="993"/>
    </row>
    <row r="658" spans="1:35" ht="15" x14ac:dyDescent="0.25">
      <c r="A658" s="897"/>
      <c r="B658" s="144"/>
      <c r="C658" s="845"/>
      <c r="D658" s="161"/>
      <c r="E658" s="845"/>
      <c r="F658" s="846"/>
      <c r="G658" s="336">
        <v>55</v>
      </c>
      <c r="H658" s="81" t="s">
        <v>842</v>
      </c>
      <c r="I658" s="81"/>
      <c r="J658" s="81"/>
      <c r="K658" s="235"/>
      <c r="L658" s="235"/>
      <c r="M658" s="81"/>
      <c r="N658" s="88"/>
      <c r="O658" s="81"/>
      <c r="P658" s="81"/>
      <c r="Q658" s="176"/>
      <c r="R658" s="176"/>
      <c r="S658" s="176"/>
      <c r="T658" s="176"/>
      <c r="U658" s="176"/>
      <c r="V658" s="176"/>
      <c r="W658" s="176"/>
      <c r="X658" s="176"/>
      <c r="Y658" s="176"/>
      <c r="Z658" s="176"/>
      <c r="AA658" s="176"/>
      <c r="AB658" s="176"/>
      <c r="AC658" s="176"/>
      <c r="AD658" s="176"/>
      <c r="AE658" s="177"/>
      <c r="AF658" s="176"/>
      <c r="AG658" s="176"/>
      <c r="AH658" s="176"/>
      <c r="AI658" s="992"/>
    </row>
    <row r="659" spans="1:35" ht="74.25" customHeight="1" x14ac:dyDescent="0.25">
      <c r="A659" s="897"/>
      <c r="B659" s="833"/>
      <c r="C659" s="846" t="s">
        <v>718</v>
      </c>
      <c r="D659" s="265" t="s">
        <v>843</v>
      </c>
      <c r="E659" s="477">
        <v>2</v>
      </c>
      <c r="F659" s="222">
        <v>2</v>
      </c>
      <c r="G659" s="1157"/>
      <c r="H659" s="865">
        <v>177</v>
      </c>
      <c r="I659" s="565" t="s">
        <v>844</v>
      </c>
      <c r="J659" s="865">
        <v>2</v>
      </c>
      <c r="K659" s="222">
        <v>2</v>
      </c>
      <c r="L659" s="222">
        <v>2</v>
      </c>
      <c r="M659" s="1157" t="s">
        <v>684</v>
      </c>
      <c r="N659" s="1101" t="s">
        <v>845</v>
      </c>
      <c r="O659" s="1099" t="s">
        <v>846</v>
      </c>
      <c r="P659" s="266" t="s">
        <v>46</v>
      </c>
      <c r="Q659" s="9"/>
      <c r="R659" s="9"/>
      <c r="S659" s="9"/>
      <c r="T659" s="9"/>
      <c r="U659" s="9"/>
      <c r="V659" s="9"/>
      <c r="W659" s="9"/>
      <c r="X659" s="9"/>
      <c r="Y659" s="9"/>
      <c r="Z659" s="9"/>
      <c r="AA659" s="9"/>
      <c r="AB659" s="9"/>
      <c r="AC659" s="9"/>
      <c r="AD659" s="9"/>
      <c r="AE659" s="63">
        <v>0</v>
      </c>
      <c r="AF659" s="61"/>
      <c r="AG659" s="61"/>
      <c r="AH659" s="61"/>
      <c r="AI659" s="901">
        <f>+Q659+R659+S659+T659+U659+V659+W659+X659+Y659+Z659+AA659+AB659+AC659+AD659+AE659+AF659+AG659+AH659</f>
        <v>0</v>
      </c>
    </row>
    <row r="660" spans="1:35" ht="90.75" customHeight="1" x14ac:dyDescent="0.25">
      <c r="A660" s="897"/>
      <c r="B660" s="833"/>
      <c r="C660" s="846" t="s">
        <v>718</v>
      </c>
      <c r="D660" s="565" t="s">
        <v>847</v>
      </c>
      <c r="E660" s="414">
        <v>0</v>
      </c>
      <c r="F660" s="414">
        <v>0.8</v>
      </c>
      <c r="G660" s="1158"/>
      <c r="H660" s="865">
        <v>178</v>
      </c>
      <c r="I660" s="565" t="s">
        <v>848</v>
      </c>
      <c r="J660" s="865">
        <v>0</v>
      </c>
      <c r="K660" s="222">
        <v>3</v>
      </c>
      <c r="L660" s="779">
        <v>2.5</v>
      </c>
      <c r="M660" s="1158"/>
      <c r="N660" s="1102"/>
      <c r="O660" s="1100"/>
      <c r="P660" s="266" t="s">
        <v>46</v>
      </c>
      <c r="Q660" s="9"/>
      <c r="R660" s="9"/>
      <c r="S660" s="9"/>
      <c r="T660" s="9"/>
      <c r="U660" s="9"/>
      <c r="V660" s="9"/>
      <c r="W660" s="9"/>
      <c r="X660" s="9"/>
      <c r="Y660" s="403">
        <v>150000000</v>
      </c>
      <c r="Z660" s="9"/>
      <c r="AA660" s="9"/>
      <c r="AB660" s="9"/>
      <c r="AC660" s="9"/>
      <c r="AD660" s="9"/>
      <c r="AE660" s="60">
        <v>0</v>
      </c>
      <c r="AF660" s="61"/>
      <c r="AG660" s="61"/>
      <c r="AH660" s="61"/>
      <c r="AI660" s="901">
        <f>+Q660+R660+S660+T660+U660+V660+W660+X660+Y660+Z660+AA660+AB660+AC660+AD660+AE660+AF660+AG660+AH660</f>
        <v>150000000</v>
      </c>
    </row>
    <row r="661" spans="1:35" ht="63" customHeight="1" x14ac:dyDescent="0.25">
      <c r="A661" s="917"/>
      <c r="B661" s="833"/>
      <c r="C661" s="856" t="s">
        <v>718</v>
      </c>
      <c r="D661" s="832" t="s">
        <v>849</v>
      </c>
      <c r="E661" s="1048" t="s">
        <v>36</v>
      </c>
      <c r="F661" s="1048">
        <v>0.9</v>
      </c>
      <c r="G661" s="1158"/>
      <c r="H661" s="851">
        <v>179</v>
      </c>
      <c r="I661" s="832" t="s">
        <v>850</v>
      </c>
      <c r="J661" s="851">
        <v>4</v>
      </c>
      <c r="K661" s="863">
        <v>4</v>
      </c>
      <c r="L661" s="863">
        <v>3</v>
      </c>
      <c r="M661" s="1158"/>
      <c r="N661" s="1102"/>
      <c r="O661" s="1100"/>
      <c r="P661" s="1049" t="s">
        <v>46</v>
      </c>
      <c r="Q661" s="268"/>
      <c r="R661" s="268"/>
      <c r="S661" s="268"/>
      <c r="T661" s="268"/>
      <c r="U661" s="268"/>
      <c r="V661" s="268"/>
      <c r="W661" s="268"/>
      <c r="X661" s="268"/>
      <c r="Y661" s="268"/>
      <c r="Z661" s="268"/>
      <c r="AA661" s="268"/>
      <c r="AB661" s="268"/>
      <c r="AC661" s="268"/>
      <c r="AD661" s="268"/>
      <c r="AE661" s="1050">
        <v>0</v>
      </c>
      <c r="AF661" s="385"/>
      <c r="AG661" s="385"/>
      <c r="AH661" s="385"/>
      <c r="AI661" s="1051">
        <f>+Q661+R661+S661+T661+U661+V661+W661+X661+Y661+Z661+AA661+AB661+AC661+AD661+AE661+AF661+AG661+AH661</f>
        <v>0</v>
      </c>
    </row>
    <row r="662" spans="1:35" s="1046" customFormat="1" ht="24.95" customHeight="1" x14ac:dyDescent="0.25">
      <c r="A662" s="917"/>
      <c r="B662" s="849"/>
      <c r="C662" s="865"/>
      <c r="D662" s="565"/>
      <c r="E662" s="865"/>
      <c r="F662" s="865"/>
      <c r="G662" s="147"/>
      <c r="H662" s="148"/>
      <c r="I662" s="147"/>
      <c r="J662" s="148"/>
      <c r="K662" s="247"/>
      <c r="L662" s="378"/>
      <c r="M662" s="148"/>
      <c r="N662" s="584"/>
      <c r="O662" s="147"/>
      <c r="P662" s="148"/>
      <c r="Q662" s="150">
        <f t="shared" ref="Q662:AE662" si="45">SUM(Q659:Q661)</f>
        <v>0</v>
      </c>
      <c r="R662" s="150">
        <f t="shared" si="45"/>
        <v>0</v>
      </c>
      <c r="S662" s="150">
        <f t="shared" si="45"/>
        <v>0</v>
      </c>
      <c r="T662" s="150">
        <f t="shared" si="45"/>
        <v>0</v>
      </c>
      <c r="U662" s="150">
        <f t="shared" si="45"/>
        <v>0</v>
      </c>
      <c r="V662" s="150">
        <f t="shared" si="45"/>
        <v>0</v>
      </c>
      <c r="W662" s="150">
        <f t="shared" si="45"/>
        <v>0</v>
      </c>
      <c r="X662" s="150">
        <f t="shared" si="45"/>
        <v>0</v>
      </c>
      <c r="Y662" s="150">
        <f t="shared" si="45"/>
        <v>150000000</v>
      </c>
      <c r="Z662" s="150">
        <f t="shared" si="45"/>
        <v>0</v>
      </c>
      <c r="AA662" s="150">
        <f t="shared" si="45"/>
        <v>0</v>
      </c>
      <c r="AB662" s="150">
        <f t="shared" si="45"/>
        <v>0</v>
      </c>
      <c r="AC662" s="150">
        <f t="shared" si="45"/>
        <v>0</v>
      </c>
      <c r="AD662" s="150">
        <f t="shared" si="45"/>
        <v>0</v>
      </c>
      <c r="AE662" s="54">
        <f t="shared" si="45"/>
        <v>0</v>
      </c>
      <c r="AF662" s="54">
        <f t="shared" ref="AF662:AH662" si="46">SUM(AF659:AF661)</f>
        <v>0</v>
      </c>
      <c r="AG662" s="54">
        <f t="shared" si="46"/>
        <v>0</v>
      </c>
      <c r="AH662" s="54">
        <f t="shared" si="46"/>
        <v>0</v>
      </c>
      <c r="AI662" s="975">
        <f>SUM(AI659:AI661)</f>
        <v>150000000</v>
      </c>
    </row>
    <row r="663" spans="1:35" s="1046" customFormat="1" ht="24.95" customHeight="1" x14ac:dyDescent="0.25">
      <c r="A663" s="938"/>
      <c r="B663" s="151"/>
      <c r="C663" s="152"/>
      <c r="D663" s="151"/>
      <c r="E663" s="152"/>
      <c r="F663" s="152"/>
      <c r="G663" s="151"/>
      <c r="H663" s="152"/>
      <c r="I663" s="151"/>
      <c r="J663" s="152"/>
      <c r="K663" s="257"/>
      <c r="L663" s="257"/>
      <c r="M663" s="152"/>
      <c r="N663" s="585"/>
      <c r="O663" s="151"/>
      <c r="P663" s="152"/>
      <c r="Q663" s="154">
        <f t="shared" ref="Q663:AI663" si="47">Q662</f>
        <v>0</v>
      </c>
      <c r="R663" s="154">
        <f t="shared" si="47"/>
        <v>0</v>
      </c>
      <c r="S663" s="154">
        <f t="shared" si="47"/>
        <v>0</v>
      </c>
      <c r="T663" s="154">
        <f t="shared" si="47"/>
        <v>0</v>
      </c>
      <c r="U663" s="154">
        <f t="shared" si="47"/>
        <v>0</v>
      </c>
      <c r="V663" s="154">
        <f t="shared" si="47"/>
        <v>0</v>
      </c>
      <c r="W663" s="154">
        <f t="shared" si="47"/>
        <v>0</v>
      </c>
      <c r="X663" s="154">
        <f t="shared" si="47"/>
        <v>0</v>
      </c>
      <c r="Y663" s="154">
        <f t="shared" si="47"/>
        <v>150000000</v>
      </c>
      <c r="Z663" s="154">
        <f t="shared" si="47"/>
        <v>0</v>
      </c>
      <c r="AA663" s="154">
        <f t="shared" si="47"/>
        <v>0</v>
      </c>
      <c r="AB663" s="154">
        <f t="shared" si="47"/>
        <v>0</v>
      </c>
      <c r="AC663" s="154">
        <f t="shared" si="47"/>
        <v>0</v>
      </c>
      <c r="AD663" s="154">
        <f t="shared" si="47"/>
        <v>0</v>
      </c>
      <c r="AE663" s="238">
        <f t="shared" si="47"/>
        <v>0</v>
      </c>
      <c r="AF663" s="238">
        <f t="shared" si="47"/>
        <v>0</v>
      </c>
      <c r="AG663" s="238">
        <f t="shared" si="47"/>
        <v>0</v>
      </c>
      <c r="AH663" s="238">
        <f t="shared" si="47"/>
        <v>0</v>
      </c>
      <c r="AI663" s="976">
        <f t="shared" si="47"/>
        <v>150000000</v>
      </c>
    </row>
    <row r="664" spans="1:35" s="1046" customFormat="1" ht="24.95" customHeight="1" x14ac:dyDescent="0.25">
      <c r="A664" s="907"/>
      <c r="B664" s="155"/>
      <c r="C664" s="67"/>
      <c r="D664" s="155"/>
      <c r="E664" s="67"/>
      <c r="F664" s="67"/>
      <c r="G664" s="155"/>
      <c r="H664" s="67"/>
      <c r="I664" s="155"/>
      <c r="J664" s="67"/>
      <c r="K664" s="259"/>
      <c r="L664" s="259"/>
      <c r="M664" s="67"/>
      <c r="N664" s="586"/>
      <c r="O664" s="155"/>
      <c r="P664" s="67"/>
      <c r="Q664" s="157">
        <f t="shared" ref="Q664:AD664" si="48">Q663+Q655+Q627+Q613+Q545</f>
        <v>0</v>
      </c>
      <c r="R664" s="157">
        <f t="shared" si="48"/>
        <v>0</v>
      </c>
      <c r="S664" s="157">
        <f t="shared" si="48"/>
        <v>0</v>
      </c>
      <c r="T664" s="157">
        <f t="shared" si="48"/>
        <v>0</v>
      </c>
      <c r="U664" s="157">
        <f t="shared" si="48"/>
        <v>0</v>
      </c>
      <c r="V664" s="157">
        <f t="shared" si="48"/>
        <v>0</v>
      </c>
      <c r="W664" s="157">
        <f t="shared" si="48"/>
        <v>0</v>
      </c>
      <c r="X664" s="157">
        <f t="shared" si="48"/>
        <v>14691685021</v>
      </c>
      <c r="Y664" s="157">
        <f t="shared" si="48"/>
        <v>26280903484</v>
      </c>
      <c r="Z664" s="157">
        <f t="shared" si="48"/>
        <v>1413475987</v>
      </c>
      <c r="AA664" s="157">
        <f t="shared" si="48"/>
        <v>0</v>
      </c>
      <c r="AB664" s="157">
        <f t="shared" si="48"/>
        <v>0</v>
      </c>
      <c r="AC664" s="157">
        <f t="shared" si="48"/>
        <v>0</v>
      </c>
      <c r="AD664" s="157">
        <f t="shared" si="48"/>
        <v>0</v>
      </c>
      <c r="AE664" s="240">
        <f t="shared" ref="AE664:AG664" si="49">AE663+AE655+AE627+AE613+AE545</f>
        <v>1436943641</v>
      </c>
      <c r="AF664" s="240">
        <f t="shared" si="49"/>
        <v>0</v>
      </c>
      <c r="AG664" s="240">
        <f t="shared" si="49"/>
        <v>0</v>
      </c>
      <c r="AH664" s="240">
        <f>AH663+AH655+AH627+AH613+AH545</f>
        <v>2399718887</v>
      </c>
      <c r="AI664" s="977">
        <f>AI663+AI655+AI627+AI613+AI545</f>
        <v>46222727020</v>
      </c>
    </row>
    <row r="665" spans="1:35" s="1046" customFormat="1" ht="24.75" customHeight="1" x14ac:dyDescent="0.25">
      <c r="A665" s="909"/>
      <c r="B665" s="158"/>
      <c r="C665" s="159"/>
      <c r="D665" s="158"/>
      <c r="E665" s="159"/>
      <c r="F665" s="159"/>
      <c r="G665" s="158"/>
      <c r="H665" s="159"/>
      <c r="I665" s="158"/>
      <c r="J665" s="159"/>
      <c r="K665" s="478"/>
      <c r="L665" s="478"/>
      <c r="M665" s="159"/>
      <c r="N665" s="587"/>
      <c r="O665" s="158"/>
      <c r="P665" s="159"/>
      <c r="Q665" s="11">
        <f t="shared" ref="Q665:AD665" si="50">Q664</f>
        <v>0</v>
      </c>
      <c r="R665" s="11">
        <f t="shared" si="50"/>
        <v>0</v>
      </c>
      <c r="S665" s="11">
        <f t="shared" si="50"/>
        <v>0</v>
      </c>
      <c r="T665" s="11">
        <f t="shared" si="50"/>
        <v>0</v>
      </c>
      <c r="U665" s="11">
        <f t="shared" si="50"/>
        <v>0</v>
      </c>
      <c r="V665" s="11">
        <f t="shared" si="50"/>
        <v>0</v>
      </c>
      <c r="W665" s="11">
        <f t="shared" si="50"/>
        <v>0</v>
      </c>
      <c r="X665" s="11">
        <f t="shared" si="50"/>
        <v>14691685021</v>
      </c>
      <c r="Y665" s="11">
        <f t="shared" si="50"/>
        <v>26280903484</v>
      </c>
      <c r="Z665" s="11">
        <f t="shared" si="50"/>
        <v>1413475987</v>
      </c>
      <c r="AA665" s="11">
        <f t="shared" si="50"/>
        <v>0</v>
      </c>
      <c r="AB665" s="11">
        <f t="shared" si="50"/>
        <v>0</v>
      </c>
      <c r="AC665" s="11">
        <f t="shared" si="50"/>
        <v>0</v>
      </c>
      <c r="AD665" s="11">
        <f t="shared" si="50"/>
        <v>0</v>
      </c>
      <c r="AE665" s="242">
        <f t="shared" ref="AE665:AG665" si="51">AE664</f>
        <v>1436943641</v>
      </c>
      <c r="AF665" s="242">
        <f t="shared" si="51"/>
        <v>0</v>
      </c>
      <c r="AG665" s="242">
        <f t="shared" si="51"/>
        <v>0</v>
      </c>
      <c r="AH665" s="242">
        <f>AH664</f>
        <v>2399718887</v>
      </c>
      <c r="AI665" s="978">
        <f>AI664</f>
        <v>46222727020</v>
      </c>
    </row>
    <row r="666" spans="1:35" s="749" customFormat="1" ht="50.25" customHeight="1" x14ac:dyDescent="0.25">
      <c r="A666" s="1052"/>
      <c r="B666" s="1053"/>
      <c r="C666" s="843"/>
      <c r="D666" s="1053"/>
      <c r="E666" s="843"/>
      <c r="F666" s="843"/>
      <c r="G666" s="1053"/>
      <c r="H666" s="843"/>
      <c r="I666" s="1053"/>
      <c r="J666" s="843"/>
      <c r="K666" s="1054"/>
      <c r="L666" s="1054"/>
      <c r="M666" s="843"/>
      <c r="N666" s="1055"/>
      <c r="O666" s="1053"/>
      <c r="P666" s="843"/>
      <c r="Q666" s="1056"/>
      <c r="R666" s="1056"/>
      <c r="S666" s="1056"/>
      <c r="T666" s="1056"/>
      <c r="U666" s="1056"/>
      <c r="V666" s="1056"/>
      <c r="W666" s="1056"/>
      <c r="X666" s="1056"/>
      <c r="Y666" s="1056"/>
      <c r="Z666" s="1056"/>
      <c r="AA666" s="1056"/>
      <c r="AB666" s="1056"/>
      <c r="AC666" s="1056"/>
      <c r="AD666" s="1056"/>
      <c r="AE666" s="1057"/>
      <c r="AF666" s="1057"/>
      <c r="AG666" s="1057"/>
      <c r="AH666" s="1057"/>
      <c r="AI666" s="1058"/>
    </row>
    <row r="667" spans="1:35" s="24" customFormat="1" ht="24.95" customHeight="1" x14ac:dyDescent="0.25">
      <c r="A667" s="891" t="s">
        <v>851</v>
      </c>
      <c r="B667" s="22"/>
      <c r="C667" s="23"/>
      <c r="D667" s="22"/>
      <c r="E667" s="22"/>
      <c r="F667" s="22"/>
      <c r="G667" s="22"/>
      <c r="H667" s="23"/>
      <c r="I667" s="22"/>
      <c r="J667" s="22"/>
      <c r="K667" s="22"/>
      <c r="L667" s="22"/>
      <c r="M667" s="22"/>
      <c r="N667" s="13"/>
      <c r="O667" s="22"/>
      <c r="P667" s="23"/>
      <c r="Q667" s="138"/>
      <c r="R667" s="138"/>
      <c r="S667" s="138"/>
      <c r="T667" s="138"/>
      <c r="U667" s="138"/>
      <c r="V667" s="138"/>
      <c r="W667" s="138"/>
      <c r="X667" s="138"/>
      <c r="Y667" s="138"/>
      <c r="Z667" s="138"/>
      <c r="AA667" s="138"/>
      <c r="AB667" s="138"/>
      <c r="AC667" s="138"/>
      <c r="AD667" s="138"/>
      <c r="AE667" s="138"/>
      <c r="AF667" s="138"/>
      <c r="AG667" s="138"/>
      <c r="AH667" s="138"/>
      <c r="AI667" s="892"/>
    </row>
    <row r="668" spans="1:35" s="24" customFormat="1" ht="24.95" customHeight="1" x14ac:dyDescent="0.25">
      <c r="A668" s="893">
        <v>5</v>
      </c>
      <c r="B668" s="77" t="s">
        <v>30</v>
      </c>
      <c r="C668" s="139"/>
      <c r="D668" s="77"/>
      <c r="E668" s="77"/>
      <c r="F668" s="77"/>
      <c r="G668" s="77"/>
      <c r="H668" s="139"/>
      <c r="I668" s="77"/>
      <c r="J668" s="77"/>
      <c r="K668" s="77"/>
      <c r="L668" s="77"/>
      <c r="M668" s="77"/>
      <c r="N668" s="14"/>
      <c r="O668" s="77"/>
      <c r="P668" s="77"/>
      <c r="Q668" s="77"/>
      <c r="R668" s="77"/>
      <c r="S668" s="77"/>
      <c r="T668" s="77"/>
      <c r="U668" s="77"/>
      <c r="V668" s="77"/>
      <c r="W668" s="77"/>
      <c r="X668" s="77"/>
      <c r="Y668" s="77"/>
      <c r="Z668" s="77"/>
      <c r="AA668" s="77"/>
      <c r="AB668" s="77"/>
      <c r="AC668" s="77"/>
      <c r="AD668" s="77"/>
      <c r="AE668" s="77"/>
      <c r="AF668" s="77"/>
      <c r="AG668" s="77"/>
      <c r="AH668" s="77"/>
      <c r="AI668" s="894"/>
    </row>
    <row r="669" spans="1:35" s="24" customFormat="1" ht="24.95" customHeight="1" x14ac:dyDescent="0.25">
      <c r="A669" s="895"/>
      <c r="B669" s="836">
        <v>28</v>
      </c>
      <c r="C669" s="837" t="s">
        <v>31</v>
      </c>
      <c r="D669" s="87"/>
      <c r="E669" s="87"/>
      <c r="F669" s="87"/>
      <c r="G669" s="87"/>
      <c r="H669" s="838"/>
      <c r="I669" s="87"/>
      <c r="J669" s="87"/>
      <c r="K669" s="87"/>
      <c r="L669" s="87"/>
      <c r="M669" s="87"/>
      <c r="N669" s="15"/>
      <c r="O669" s="87"/>
      <c r="P669" s="87"/>
      <c r="Q669" s="87"/>
      <c r="R669" s="87"/>
      <c r="S669" s="87"/>
      <c r="T669" s="87"/>
      <c r="U669" s="87"/>
      <c r="V669" s="87"/>
      <c r="W669" s="87"/>
      <c r="X669" s="87"/>
      <c r="Y669" s="87"/>
      <c r="Z669" s="87"/>
      <c r="AA669" s="87"/>
      <c r="AB669" s="87"/>
      <c r="AC669" s="87"/>
      <c r="AD669" s="87"/>
      <c r="AE669" s="87"/>
      <c r="AF669" s="87"/>
      <c r="AG669" s="87"/>
      <c r="AH669" s="87"/>
      <c r="AI669" s="896"/>
    </row>
    <row r="670" spans="1:35" s="24" customFormat="1" ht="24.95" customHeight="1" x14ac:dyDescent="0.25">
      <c r="A670" s="897"/>
      <c r="B670" s="1047"/>
      <c r="C670" s="142"/>
      <c r="D670" s="143"/>
      <c r="E670" s="143"/>
      <c r="F670" s="143"/>
      <c r="G670" s="336">
        <v>89</v>
      </c>
      <c r="H670" s="78" t="s">
        <v>32</v>
      </c>
      <c r="I670" s="78"/>
      <c r="J670" s="78"/>
      <c r="K670" s="474"/>
      <c r="L670" s="474"/>
      <c r="M670" s="78"/>
      <c r="N670" s="88"/>
      <c r="O670" s="78"/>
      <c r="P670" s="78"/>
      <c r="Q670" s="176"/>
      <c r="R670" s="176"/>
      <c r="S670" s="176"/>
      <c r="T670" s="176"/>
      <c r="U670" s="176"/>
      <c r="V670" s="176"/>
      <c r="W670" s="176"/>
      <c r="X670" s="176"/>
      <c r="Y670" s="176"/>
      <c r="Z670" s="176"/>
      <c r="AA670" s="176"/>
      <c r="AB670" s="176"/>
      <c r="AC670" s="176"/>
      <c r="AD670" s="176"/>
      <c r="AE670" s="176"/>
      <c r="AF670" s="176"/>
      <c r="AG670" s="176"/>
      <c r="AH670" s="176"/>
      <c r="AI670" s="918"/>
    </row>
    <row r="671" spans="1:35" s="539" customFormat="1" ht="94.5" customHeight="1" x14ac:dyDescent="0.25">
      <c r="A671" s="899"/>
      <c r="B671" s="541"/>
      <c r="C671" s="827" t="s">
        <v>33</v>
      </c>
      <c r="D671" s="828" t="s">
        <v>34</v>
      </c>
      <c r="E671" s="829">
        <v>0</v>
      </c>
      <c r="F671" s="829">
        <v>2</v>
      </c>
      <c r="G671" s="542"/>
      <c r="H671" s="820">
        <v>282</v>
      </c>
      <c r="I671" s="828" t="s">
        <v>35</v>
      </c>
      <c r="J671" s="543" t="s">
        <v>36</v>
      </c>
      <c r="K671" s="544">
        <v>2</v>
      </c>
      <c r="L671" s="544">
        <v>2</v>
      </c>
      <c r="M671" s="545" t="s">
        <v>37</v>
      </c>
      <c r="N671" s="582" t="s">
        <v>38</v>
      </c>
      <c r="O671" s="828" t="s">
        <v>39</v>
      </c>
      <c r="P671" s="829" t="s">
        <v>40</v>
      </c>
      <c r="Q671" s="546"/>
      <c r="R671" s="546"/>
      <c r="S671" s="546"/>
      <c r="T671" s="546"/>
      <c r="U671" s="546"/>
      <c r="V671" s="546"/>
      <c r="W671" s="546"/>
      <c r="X671" s="546"/>
      <c r="Y671" s="546"/>
      <c r="Z671" s="546"/>
      <c r="AA671" s="546"/>
      <c r="AB671" s="546"/>
      <c r="AC671" s="546"/>
      <c r="AD671" s="546"/>
      <c r="AE671" s="550">
        <v>396200</v>
      </c>
      <c r="AF671" s="547"/>
      <c r="AG671" s="547"/>
      <c r="AH671" s="547"/>
      <c r="AI671" s="900">
        <f>+Q671+R671+S671+T671+U671+V671+W671+X671+Y671+Z671+AA671+AB671+AC671+AD671+AE671+AF671+AG671+AH671</f>
        <v>396200</v>
      </c>
    </row>
    <row r="672" spans="1:35" s="539" customFormat="1" ht="58.5" customHeight="1" x14ac:dyDescent="0.25">
      <c r="A672" s="899"/>
      <c r="B672" s="541"/>
      <c r="C672" s="827">
        <v>38</v>
      </c>
      <c r="D672" s="828" t="s">
        <v>47</v>
      </c>
      <c r="E672" s="829"/>
      <c r="F672" s="829"/>
      <c r="G672" s="549"/>
      <c r="H672" s="829">
        <v>284</v>
      </c>
      <c r="I672" s="828" t="s">
        <v>852</v>
      </c>
      <c r="J672" s="543">
        <v>1</v>
      </c>
      <c r="K672" s="544">
        <v>1</v>
      </c>
      <c r="L672" s="544">
        <v>0.73</v>
      </c>
      <c r="M672" s="545" t="s">
        <v>37</v>
      </c>
      <c r="N672" s="583" t="s">
        <v>853</v>
      </c>
      <c r="O672" s="828" t="s">
        <v>854</v>
      </c>
      <c r="P672" s="829" t="s">
        <v>46</v>
      </c>
      <c r="Q672" s="546"/>
      <c r="R672" s="546"/>
      <c r="S672" s="546"/>
      <c r="T672" s="546"/>
      <c r="U672" s="546"/>
      <c r="V672" s="546"/>
      <c r="W672" s="546"/>
      <c r="X672" s="546"/>
      <c r="Y672" s="546"/>
      <c r="Z672" s="546"/>
      <c r="AA672" s="546"/>
      <c r="AB672" s="546"/>
      <c r="AC672" s="546"/>
      <c r="AD672" s="546"/>
      <c r="AE672" s="550">
        <f>102500000+320000000</f>
        <v>422500000</v>
      </c>
      <c r="AF672" s="547"/>
      <c r="AG672" s="547"/>
      <c r="AH672" s="547"/>
      <c r="AI672" s="900">
        <f>+Q672+R672+S672+T672+U672+V672+W672+X672+Y672+Z672+AA672+AB672+AC672+AD672+AE672+AF672+AG672+AH672</f>
        <v>422500000</v>
      </c>
    </row>
    <row r="673" spans="1:35" s="539" customFormat="1" ht="59.25" customHeight="1" x14ac:dyDescent="0.25">
      <c r="A673" s="919"/>
      <c r="B673" s="541"/>
      <c r="C673" s="824">
        <v>38</v>
      </c>
      <c r="D673" s="816" t="s">
        <v>47</v>
      </c>
      <c r="E673" s="820"/>
      <c r="F673" s="820"/>
      <c r="G673" s="549"/>
      <c r="H673" s="820">
        <v>285</v>
      </c>
      <c r="I673" s="816" t="s">
        <v>48</v>
      </c>
      <c r="J673" s="1035">
        <v>1</v>
      </c>
      <c r="K673" s="1036">
        <v>1</v>
      </c>
      <c r="L673" s="1037">
        <v>0.91</v>
      </c>
      <c r="M673" s="830" t="s">
        <v>37</v>
      </c>
      <c r="N673" s="582" t="s">
        <v>49</v>
      </c>
      <c r="O673" s="816" t="s">
        <v>50</v>
      </c>
      <c r="P673" s="820" t="s">
        <v>46</v>
      </c>
      <c r="Q673" s="655"/>
      <c r="R673" s="655"/>
      <c r="S673" s="655"/>
      <c r="T673" s="655"/>
      <c r="U673" s="655"/>
      <c r="V673" s="655"/>
      <c r="W673" s="655"/>
      <c r="X673" s="655"/>
      <c r="Y673" s="655"/>
      <c r="Z673" s="655"/>
      <c r="AA673" s="655"/>
      <c r="AB673" s="655"/>
      <c r="AC673" s="655"/>
      <c r="AD673" s="655"/>
      <c r="AE673" s="1038">
        <f>10995333+80000000</f>
        <v>90995333</v>
      </c>
      <c r="AF673" s="712"/>
      <c r="AG673" s="712"/>
      <c r="AH673" s="712"/>
      <c r="AI673" s="1039">
        <f>+Q673+R673+S673+T673+U673+V673+W673+X673+Y673+Z673+AA673+AB673+AC673+AD673+AE673+AF673+AG673+AH673</f>
        <v>90995333</v>
      </c>
    </row>
    <row r="674" spans="1:35" s="1046" customFormat="1" ht="24.95" customHeight="1" x14ac:dyDescent="0.25">
      <c r="A674" s="917"/>
      <c r="B674" s="849"/>
      <c r="C674" s="865"/>
      <c r="D674" s="565"/>
      <c r="E674" s="865"/>
      <c r="F674" s="865"/>
      <c r="G674" s="147"/>
      <c r="H674" s="148"/>
      <c r="I674" s="147"/>
      <c r="J674" s="148"/>
      <c r="K674" s="247"/>
      <c r="L674" s="247"/>
      <c r="M674" s="148"/>
      <c r="N674" s="584"/>
      <c r="O674" s="147"/>
      <c r="P674" s="148"/>
      <c r="Q674" s="150">
        <f t="shared" ref="Q674:AC674" si="52">SUM(Q671:Q673)</f>
        <v>0</v>
      </c>
      <c r="R674" s="150">
        <f t="shared" si="52"/>
        <v>0</v>
      </c>
      <c r="S674" s="150">
        <f t="shared" si="52"/>
        <v>0</v>
      </c>
      <c r="T674" s="150">
        <f t="shared" si="52"/>
        <v>0</v>
      </c>
      <c r="U674" s="150">
        <f t="shared" si="52"/>
        <v>0</v>
      </c>
      <c r="V674" s="150">
        <f t="shared" si="52"/>
        <v>0</v>
      </c>
      <c r="W674" s="150">
        <f t="shared" si="52"/>
        <v>0</v>
      </c>
      <c r="X674" s="150">
        <f t="shared" si="52"/>
        <v>0</v>
      </c>
      <c r="Y674" s="150">
        <f t="shared" si="52"/>
        <v>0</v>
      </c>
      <c r="Z674" s="150">
        <f t="shared" si="52"/>
        <v>0</v>
      </c>
      <c r="AA674" s="150">
        <f t="shared" si="52"/>
        <v>0</v>
      </c>
      <c r="AB674" s="150">
        <f t="shared" si="52"/>
        <v>0</v>
      </c>
      <c r="AC674" s="150">
        <f t="shared" si="52"/>
        <v>0</v>
      </c>
      <c r="AD674" s="150">
        <f t="shared" ref="AD674" si="53">SUM(AD671:AD673)</f>
        <v>0</v>
      </c>
      <c r="AE674" s="54">
        <f>SUM(AE671:AE673)</f>
        <v>513891533</v>
      </c>
      <c r="AF674" s="54">
        <f>SUM(AF671:AF673)</f>
        <v>0</v>
      </c>
      <c r="AG674" s="54">
        <f>SUM(AG671:AG673)</f>
        <v>0</v>
      </c>
      <c r="AH674" s="54">
        <f>SUM(AH671:AH673)</f>
        <v>0</v>
      </c>
      <c r="AI674" s="975">
        <f>SUM(AI671:AI673)</f>
        <v>513891533</v>
      </c>
    </row>
    <row r="675" spans="1:35" s="1046" customFormat="1" ht="24.95" customHeight="1" x14ac:dyDescent="0.25">
      <c r="A675" s="938"/>
      <c r="B675" s="151"/>
      <c r="C675" s="152"/>
      <c r="D675" s="151"/>
      <c r="E675" s="152"/>
      <c r="F675" s="152"/>
      <c r="G675" s="151"/>
      <c r="H675" s="152"/>
      <c r="I675" s="151"/>
      <c r="J675" s="152"/>
      <c r="K675" s="257"/>
      <c r="L675" s="257"/>
      <c r="M675" s="152"/>
      <c r="N675" s="585"/>
      <c r="O675" s="151"/>
      <c r="P675" s="152"/>
      <c r="Q675" s="154">
        <f t="shared" ref="Q675:AC677" si="54">Q674</f>
        <v>0</v>
      </c>
      <c r="R675" s="154">
        <f t="shared" si="54"/>
        <v>0</v>
      </c>
      <c r="S675" s="154">
        <f t="shared" si="54"/>
        <v>0</v>
      </c>
      <c r="T675" s="154">
        <f t="shared" si="54"/>
        <v>0</v>
      </c>
      <c r="U675" s="154">
        <f t="shared" si="54"/>
        <v>0</v>
      </c>
      <c r="V675" s="154">
        <f t="shared" si="54"/>
        <v>0</v>
      </c>
      <c r="W675" s="154">
        <f t="shared" si="54"/>
        <v>0</v>
      </c>
      <c r="X675" s="154">
        <f t="shared" si="54"/>
        <v>0</v>
      </c>
      <c r="Y675" s="154">
        <f t="shared" si="54"/>
        <v>0</v>
      </c>
      <c r="Z675" s="154">
        <f t="shared" si="54"/>
        <v>0</v>
      </c>
      <c r="AA675" s="154">
        <f t="shared" si="54"/>
        <v>0</v>
      </c>
      <c r="AB675" s="154">
        <f t="shared" si="54"/>
        <v>0</v>
      </c>
      <c r="AC675" s="154">
        <f t="shared" si="54"/>
        <v>0</v>
      </c>
      <c r="AD675" s="154">
        <f t="shared" ref="AD675:AD677" si="55">AD674</f>
        <v>0</v>
      </c>
      <c r="AE675" s="238">
        <f t="shared" ref="AE675:AH677" si="56">AE674</f>
        <v>513891533</v>
      </c>
      <c r="AF675" s="238">
        <f t="shared" si="56"/>
        <v>0</v>
      </c>
      <c r="AG675" s="238">
        <f t="shared" si="56"/>
        <v>0</v>
      </c>
      <c r="AH675" s="238">
        <f t="shared" si="56"/>
        <v>0</v>
      </c>
      <c r="AI675" s="976">
        <f t="shared" ref="AI675:AI677" si="57">AI674</f>
        <v>513891533</v>
      </c>
    </row>
    <row r="676" spans="1:35" s="1046" customFormat="1" ht="24.95" customHeight="1" x14ac:dyDescent="0.25">
      <c r="A676" s="907"/>
      <c r="B676" s="155"/>
      <c r="C676" s="67"/>
      <c r="D676" s="155"/>
      <c r="E676" s="67"/>
      <c r="F676" s="67"/>
      <c r="G676" s="155"/>
      <c r="H676" s="67"/>
      <c r="I676" s="155"/>
      <c r="J676" s="67"/>
      <c r="K676" s="259"/>
      <c r="L676" s="259"/>
      <c r="M676" s="67"/>
      <c r="N676" s="586"/>
      <c r="O676" s="155"/>
      <c r="P676" s="67"/>
      <c r="Q676" s="157">
        <f t="shared" si="54"/>
        <v>0</v>
      </c>
      <c r="R676" s="157">
        <f t="shared" si="54"/>
        <v>0</v>
      </c>
      <c r="S676" s="157">
        <f t="shared" si="54"/>
        <v>0</v>
      </c>
      <c r="T676" s="157">
        <f t="shared" si="54"/>
        <v>0</v>
      </c>
      <c r="U676" s="157">
        <f t="shared" si="54"/>
        <v>0</v>
      </c>
      <c r="V676" s="157">
        <f t="shared" si="54"/>
        <v>0</v>
      </c>
      <c r="W676" s="157">
        <f t="shared" si="54"/>
        <v>0</v>
      </c>
      <c r="X676" s="157">
        <f t="shared" si="54"/>
        <v>0</v>
      </c>
      <c r="Y676" s="157">
        <f t="shared" si="54"/>
        <v>0</v>
      </c>
      <c r="Z676" s="157">
        <f t="shared" si="54"/>
        <v>0</v>
      </c>
      <c r="AA676" s="157">
        <f t="shared" si="54"/>
        <v>0</v>
      </c>
      <c r="AB676" s="157">
        <f t="shared" si="54"/>
        <v>0</v>
      </c>
      <c r="AC676" s="157">
        <f t="shared" si="54"/>
        <v>0</v>
      </c>
      <c r="AD676" s="157">
        <f t="shared" si="55"/>
        <v>0</v>
      </c>
      <c r="AE676" s="157">
        <f t="shared" si="56"/>
        <v>513891533</v>
      </c>
      <c r="AF676" s="157">
        <f t="shared" si="56"/>
        <v>0</v>
      </c>
      <c r="AG676" s="157">
        <f t="shared" si="56"/>
        <v>0</v>
      </c>
      <c r="AH676" s="157">
        <f t="shared" si="56"/>
        <v>0</v>
      </c>
      <c r="AI676" s="908">
        <f t="shared" si="57"/>
        <v>513891533</v>
      </c>
    </row>
    <row r="677" spans="1:35" s="1046" customFormat="1" ht="24.95" customHeight="1" x14ac:dyDescent="0.25">
      <c r="A677" s="909"/>
      <c r="B677" s="158"/>
      <c r="C677" s="159"/>
      <c r="D677" s="158"/>
      <c r="E677" s="159"/>
      <c r="F677" s="159"/>
      <c r="G677" s="158"/>
      <c r="H677" s="159"/>
      <c r="I677" s="158"/>
      <c r="J677" s="159"/>
      <c r="K677" s="478"/>
      <c r="L677" s="478"/>
      <c r="M677" s="159"/>
      <c r="N677" s="587"/>
      <c r="O677" s="158"/>
      <c r="P677" s="159"/>
      <c r="Q677" s="11">
        <f t="shared" si="54"/>
        <v>0</v>
      </c>
      <c r="R677" s="11">
        <f t="shared" si="54"/>
        <v>0</v>
      </c>
      <c r="S677" s="11">
        <f t="shared" si="54"/>
        <v>0</v>
      </c>
      <c r="T677" s="11">
        <f t="shared" si="54"/>
        <v>0</v>
      </c>
      <c r="U677" s="11">
        <f t="shared" si="54"/>
        <v>0</v>
      </c>
      <c r="V677" s="11">
        <f t="shared" si="54"/>
        <v>0</v>
      </c>
      <c r="W677" s="11">
        <f t="shared" si="54"/>
        <v>0</v>
      </c>
      <c r="X677" s="11">
        <f t="shared" si="54"/>
        <v>0</v>
      </c>
      <c r="Y677" s="11">
        <f t="shared" si="54"/>
        <v>0</v>
      </c>
      <c r="Z677" s="11">
        <f t="shared" si="54"/>
        <v>0</v>
      </c>
      <c r="AA677" s="11">
        <f t="shared" si="54"/>
        <v>0</v>
      </c>
      <c r="AB677" s="11">
        <f t="shared" si="54"/>
        <v>0</v>
      </c>
      <c r="AC677" s="11">
        <f t="shared" si="54"/>
        <v>0</v>
      </c>
      <c r="AD677" s="11">
        <f t="shared" si="55"/>
        <v>0</v>
      </c>
      <c r="AE677" s="242">
        <f t="shared" si="56"/>
        <v>513891533</v>
      </c>
      <c r="AF677" s="242">
        <f t="shared" si="56"/>
        <v>0</v>
      </c>
      <c r="AG677" s="242">
        <f t="shared" si="56"/>
        <v>0</v>
      </c>
      <c r="AH677" s="242">
        <f t="shared" si="56"/>
        <v>0</v>
      </c>
      <c r="AI677" s="978">
        <f t="shared" si="57"/>
        <v>513891533</v>
      </c>
    </row>
    <row r="678" spans="1:35" s="74" customFormat="1" ht="24.95" customHeight="1" x14ac:dyDescent="0.25">
      <c r="A678" s="1229" t="s">
        <v>855</v>
      </c>
      <c r="B678" s="1230"/>
      <c r="C678" s="1230"/>
      <c r="D678" s="1230"/>
      <c r="E678" s="1230"/>
      <c r="F678" s="1230"/>
      <c r="G678" s="1230"/>
      <c r="H678" s="1230"/>
      <c r="I678" s="1230"/>
      <c r="J678" s="1040"/>
      <c r="K678" s="1041"/>
      <c r="L678" s="1041"/>
      <c r="M678" s="1040"/>
      <c r="N678" s="1040"/>
      <c r="O678" s="1042"/>
      <c r="P678" s="1043"/>
      <c r="Q678" s="1044">
        <f t="shared" ref="Q678:AC678" si="58">+Q677+Q665+Q535+Q525+Q459+Q353+Q336+Q263+Q221+Q189+Q111+Q77+Q63+Q20</f>
        <v>3178090342</v>
      </c>
      <c r="R678" s="1044">
        <f t="shared" si="58"/>
        <v>3893577745</v>
      </c>
      <c r="S678" s="1044">
        <f t="shared" si="58"/>
        <v>9905180355</v>
      </c>
      <c r="T678" s="1044">
        <f t="shared" si="58"/>
        <v>7093592174</v>
      </c>
      <c r="U678" s="1044">
        <f t="shared" si="58"/>
        <v>250000000</v>
      </c>
      <c r="V678" s="1044">
        <f t="shared" si="58"/>
        <v>1002167888</v>
      </c>
      <c r="W678" s="1044">
        <f t="shared" si="58"/>
        <v>2801812316</v>
      </c>
      <c r="X678" s="1044">
        <f t="shared" si="58"/>
        <v>14691685021</v>
      </c>
      <c r="Y678" s="1044">
        <f t="shared" si="58"/>
        <v>26280903484</v>
      </c>
      <c r="Z678" s="1044">
        <f t="shared" si="58"/>
        <v>1413475987</v>
      </c>
      <c r="AA678" s="1044">
        <f t="shared" si="58"/>
        <v>127119080865.14999</v>
      </c>
      <c r="AB678" s="1044">
        <f t="shared" si="58"/>
        <v>25827098635</v>
      </c>
      <c r="AC678" s="1044">
        <f t="shared" si="58"/>
        <v>14436671942.01</v>
      </c>
      <c r="AD678" s="1044">
        <f t="shared" ref="AD678" si="59">+AD677+AD665+AD535+AD525+AD459+AD353+AD336+AD263+AD221+AD189+AD111+AD77+AD63+AD20</f>
        <v>2621226425</v>
      </c>
      <c r="AE678" s="1044">
        <f>+AE677+AE665+AE535+AE525+AE459+AE353+AE336+AE263+AE221+AE189+AE111+AE77+AE63+AE20</f>
        <v>34691612368</v>
      </c>
      <c r="AF678" s="1044">
        <f>+AF677+AF665+AF535+AF525+AF459+AF353+AF336+AF263+AF221+AF189+AF111+AF77+AF63+AF20</f>
        <v>1047666320</v>
      </c>
      <c r="AG678" s="1044">
        <f>+AG677+AG665+AG535+AG525+AG459+AG353+AG336+AG263+AG221+AG189+AG111+AG77+AG63+AG20</f>
        <v>23936150863</v>
      </c>
      <c r="AH678" s="1044">
        <f>+AH677+AH665+AH535+AH525+AH459+AH353+AH336+AH263+AH221+AH189+AH111+AH77+AH63+AH20</f>
        <v>3413907906</v>
      </c>
      <c r="AI678" s="1045">
        <f>+AI677+AI665+AI535+AI525+AI459+AI353+AI336+AI263+AI221+AI189+AI111+AI77+AI63+AI20</f>
        <v>303603900636.15997</v>
      </c>
    </row>
    <row r="679" spans="1:35" ht="34.5" customHeight="1" x14ac:dyDescent="0.25">
      <c r="A679" s="1206"/>
      <c r="B679" s="1207"/>
      <c r="C679" s="1207"/>
      <c r="D679" s="1207"/>
      <c r="E679" s="1207"/>
      <c r="F679" s="1207"/>
      <c r="G679" s="1207"/>
      <c r="H679" s="994"/>
      <c r="I679" s="994"/>
      <c r="J679" s="994"/>
      <c r="K679" s="995"/>
      <c r="L679" s="995"/>
      <c r="M679" s="994"/>
      <c r="N679" s="994"/>
      <c r="O679" s="994"/>
      <c r="P679" s="928"/>
      <c r="Q679" s="996"/>
      <c r="R679" s="996"/>
      <c r="S679" s="996"/>
      <c r="T679" s="996"/>
      <c r="U679" s="996"/>
      <c r="V679" s="996"/>
      <c r="W679" s="996"/>
      <c r="X679" s="996"/>
      <c r="Y679" s="996"/>
      <c r="Z679" s="996"/>
      <c r="AA679" s="996"/>
      <c r="AB679" s="996"/>
      <c r="AC679" s="996"/>
      <c r="AD679" s="996"/>
      <c r="AE679" s="996"/>
      <c r="AF679" s="996"/>
      <c r="AG679" s="996"/>
      <c r="AH679" s="996"/>
      <c r="AI679" s="997"/>
    </row>
    <row r="680" spans="1:35" ht="24.95" customHeight="1" x14ac:dyDescent="0.25">
      <c r="A680" s="998" t="s">
        <v>856</v>
      </c>
      <c r="B680" s="40"/>
      <c r="C680" s="41"/>
      <c r="D680" s="40"/>
      <c r="E680" s="40"/>
      <c r="F680" s="40"/>
      <c r="G680" s="40"/>
      <c r="H680" s="41"/>
      <c r="I680" s="40"/>
      <c r="J680" s="40"/>
      <c r="K680" s="42"/>
      <c r="L680" s="42"/>
      <c r="M680" s="40"/>
      <c r="N680" s="13"/>
      <c r="O680" s="40"/>
      <c r="P680" s="41"/>
      <c r="Q680" s="164"/>
      <c r="R680" s="164"/>
      <c r="S680" s="164"/>
      <c r="T680" s="164"/>
      <c r="U680" s="164"/>
      <c r="V680" s="164"/>
      <c r="W680" s="164"/>
      <c r="X680" s="164"/>
      <c r="Y680" s="164"/>
      <c r="Z680" s="164"/>
      <c r="AA680" s="164"/>
      <c r="AB680" s="164"/>
      <c r="AC680" s="164"/>
      <c r="AD680" s="164"/>
      <c r="AE680" s="165"/>
      <c r="AF680" s="164"/>
      <c r="AG680" s="164"/>
      <c r="AH680" s="164"/>
      <c r="AI680" s="999"/>
    </row>
    <row r="681" spans="1:35" ht="24.95" customHeight="1" x14ac:dyDescent="0.25">
      <c r="A681" s="893">
        <v>3</v>
      </c>
      <c r="B681" s="77" t="s">
        <v>429</v>
      </c>
      <c r="C681" s="139"/>
      <c r="D681" s="77"/>
      <c r="E681" s="77"/>
      <c r="F681" s="77"/>
      <c r="G681" s="77"/>
      <c r="H681" s="139"/>
      <c r="I681" s="77"/>
      <c r="J681" s="77"/>
      <c r="K681" s="231"/>
      <c r="L681" s="231"/>
      <c r="M681" s="77"/>
      <c r="N681" s="14"/>
      <c r="O681" s="77"/>
      <c r="P681" s="77"/>
      <c r="Q681" s="166"/>
      <c r="R681" s="166"/>
      <c r="S681" s="166"/>
      <c r="T681" s="166"/>
      <c r="U681" s="166"/>
      <c r="V681" s="166"/>
      <c r="W681" s="166"/>
      <c r="X681" s="166"/>
      <c r="Y681" s="166"/>
      <c r="Z681" s="166"/>
      <c r="AA681" s="166"/>
      <c r="AB681" s="166"/>
      <c r="AC681" s="166"/>
      <c r="AD681" s="166"/>
      <c r="AE681" s="167"/>
      <c r="AF681" s="166"/>
      <c r="AG681" s="166"/>
      <c r="AH681" s="166"/>
      <c r="AI681" s="1000"/>
    </row>
    <row r="682" spans="1:35" ht="24.95" customHeight="1" x14ac:dyDescent="0.25">
      <c r="A682" s="915"/>
      <c r="B682" s="232">
        <v>20</v>
      </c>
      <c r="C682" s="837" t="s">
        <v>857</v>
      </c>
      <c r="D682" s="87"/>
      <c r="E682" s="87"/>
      <c r="F682" s="87"/>
      <c r="G682" s="87"/>
      <c r="H682" s="838"/>
      <c r="I682" s="87"/>
      <c r="J682" s="87"/>
      <c r="K682" s="233"/>
      <c r="L682" s="233"/>
      <c r="M682" s="87"/>
      <c r="N682" s="15"/>
      <c r="O682" s="87"/>
      <c r="P682" s="87"/>
      <c r="Q682" s="169"/>
      <c r="R682" s="169"/>
      <c r="S682" s="169"/>
      <c r="T682" s="169"/>
      <c r="U682" s="169"/>
      <c r="V682" s="169"/>
      <c r="W682" s="169"/>
      <c r="X682" s="169"/>
      <c r="Y682" s="169"/>
      <c r="Z682" s="169"/>
      <c r="AA682" s="169"/>
      <c r="AB682" s="169"/>
      <c r="AC682" s="169"/>
      <c r="AD682" s="169"/>
      <c r="AE682" s="170"/>
      <c r="AF682" s="169"/>
      <c r="AG682" s="169"/>
      <c r="AH682" s="169"/>
      <c r="AI682" s="993"/>
    </row>
    <row r="683" spans="1:35" ht="24.95" customHeight="1" x14ac:dyDescent="0.25">
      <c r="A683" s="917"/>
      <c r="B683" s="172"/>
      <c r="C683" s="845"/>
      <c r="D683" s="161"/>
      <c r="E683" s="845"/>
      <c r="F683" s="846"/>
      <c r="G683" s="336">
        <v>68</v>
      </c>
      <c r="H683" s="81" t="s">
        <v>858</v>
      </c>
      <c r="I683" s="81"/>
      <c r="J683" s="81"/>
      <c r="K683" s="235"/>
      <c r="L683" s="235"/>
      <c r="M683" s="81"/>
      <c r="N683" s="88"/>
      <c r="O683" s="81"/>
      <c r="P683" s="81"/>
      <c r="Q683" s="176"/>
      <c r="R683" s="176"/>
      <c r="S683" s="176"/>
      <c r="T683" s="176"/>
      <c r="U683" s="176"/>
      <c r="V683" s="176"/>
      <c r="W683" s="176"/>
      <c r="X683" s="176"/>
      <c r="Y683" s="176"/>
      <c r="Z683" s="176"/>
      <c r="AA683" s="176"/>
      <c r="AB683" s="176"/>
      <c r="AC683" s="176"/>
      <c r="AD683" s="176"/>
      <c r="AE683" s="177"/>
      <c r="AF683" s="176"/>
      <c r="AG683" s="176"/>
      <c r="AH683" s="176"/>
      <c r="AI683" s="992"/>
    </row>
    <row r="684" spans="1:35" ht="75" customHeight="1" x14ac:dyDescent="0.25">
      <c r="A684" s="917"/>
      <c r="B684" s="144"/>
      <c r="C684" s="1163">
        <v>36</v>
      </c>
      <c r="D684" s="1173" t="s">
        <v>859</v>
      </c>
      <c r="E684" s="1197">
        <v>0.4</v>
      </c>
      <c r="F684" s="1171">
        <v>0.6</v>
      </c>
      <c r="G684" s="145"/>
      <c r="H684" s="846">
        <v>202</v>
      </c>
      <c r="I684" s="565" t="s">
        <v>860</v>
      </c>
      <c r="J684" s="1">
        <v>23</v>
      </c>
      <c r="K684" s="59">
        <v>23</v>
      </c>
      <c r="L684" s="59">
        <v>23</v>
      </c>
      <c r="M684" s="1" t="s">
        <v>861</v>
      </c>
      <c r="N684" s="1208" t="s">
        <v>862</v>
      </c>
      <c r="O684" s="1214" t="s">
        <v>863</v>
      </c>
      <c r="P684" s="1" t="s">
        <v>46</v>
      </c>
      <c r="Q684" s="9"/>
      <c r="R684" s="9"/>
      <c r="S684" s="9"/>
      <c r="T684" s="9"/>
      <c r="U684" s="9"/>
      <c r="V684" s="9"/>
      <c r="W684" s="9"/>
      <c r="X684" s="9"/>
      <c r="Y684" s="190"/>
      <c r="Z684" s="9"/>
      <c r="AA684" s="9"/>
      <c r="AB684" s="9"/>
      <c r="AC684" s="9"/>
      <c r="AD684" s="9"/>
      <c r="AE684" s="631">
        <f>20000000+371574677</f>
        <v>391574677</v>
      </c>
      <c r="AF684" s="753">
        <f>199249781+78571457+77863791+1242107102.8</f>
        <v>1597792131.8</v>
      </c>
      <c r="AG684" s="236"/>
      <c r="AH684" s="61"/>
      <c r="AI684" s="901">
        <f>+Q684+R684+S684+T684+U684+V684+W684+X684+Y684+Z684+AA684+AB684+AC684+AD684+AE684+AF684+AG684+AH684</f>
        <v>1989366808.8</v>
      </c>
    </row>
    <row r="685" spans="1:35" ht="42.75" x14ac:dyDescent="0.25">
      <c r="A685" s="917"/>
      <c r="B685" s="144"/>
      <c r="C685" s="1165"/>
      <c r="D685" s="1174"/>
      <c r="E685" s="1199"/>
      <c r="F685" s="1172"/>
      <c r="G685" s="3"/>
      <c r="H685" s="846">
        <v>203</v>
      </c>
      <c r="I685" s="565" t="s">
        <v>864</v>
      </c>
      <c r="J685" s="1">
        <v>20</v>
      </c>
      <c r="K685" s="59">
        <v>20</v>
      </c>
      <c r="L685" s="59">
        <v>21</v>
      </c>
      <c r="M685" s="1" t="s">
        <v>861</v>
      </c>
      <c r="N685" s="1210"/>
      <c r="O685" s="1215"/>
      <c r="P685" s="1" t="s">
        <v>46</v>
      </c>
      <c r="Q685" s="9"/>
      <c r="R685" s="9"/>
      <c r="S685" s="9"/>
      <c r="T685" s="9"/>
      <c r="U685" s="9"/>
      <c r="V685" s="9"/>
      <c r="W685" s="9"/>
      <c r="X685" s="9"/>
      <c r="Y685" s="9"/>
      <c r="Z685" s="9"/>
      <c r="AA685" s="9"/>
      <c r="AB685" s="9"/>
      <c r="AC685" s="9"/>
      <c r="AD685" s="9"/>
      <c r="AE685" s="472">
        <v>190771080</v>
      </c>
      <c r="AF685" s="61"/>
      <c r="AG685" s="61"/>
      <c r="AH685" s="61"/>
      <c r="AI685" s="901">
        <f>+Q685+R685+S685+T685+U685+V685+W685+X685+Y685+Z685+AA685+AB685+AC685+AD685+AE685+AF685+AG685+AH685</f>
        <v>190771080</v>
      </c>
    </row>
    <row r="686" spans="1:35" ht="15" x14ac:dyDescent="0.25">
      <c r="A686" s="917"/>
      <c r="B686" s="144"/>
      <c r="C686" s="846"/>
      <c r="D686" s="565"/>
      <c r="E686" s="865"/>
      <c r="F686" s="865"/>
      <c r="G686" s="147"/>
      <c r="H686" s="148"/>
      <c r="I686" s="147"/>
      <c r="J686" s="149"/>
      <c r="K686" s="389"/>
      <c r="L686" s="389"/>
      <c r="M686" s="149"/>
      <c r="N686" s="599"/>
      <c r="O686" s="299"/>
      <c r="P686" s="314">
        <f>SUM(P684:P685)</f>
        <v>0</v>
      </c>
      <c r="Q686" s="479"/>
      <c r="R686" s="479"/>
      <c r="S686" s="479"/>
      <c r="T686" s="479"/>
      <c r="U686" s="479"/>
      <c r="V686" s="479"/>
      <c r="W686" s="479"/>
      <c r="X686" s="479"/>
      <c r="Y686" s="479">
        <f>SUM(Y684:Y685)</f>
        <v>0</v>
      </c>
      <c r="Z686" s="479"/>
      <c r="AA686" s="479"/>
      <c r="AB686" s="479">
        <f>SUM(AB684:AB685)</f>
        <v>0</v>
      </c>
      <c r="AC686" s="479"/>
      <c r="AD686" s="479"/>
      <c r="AE686" s="54">
        <f>SUM(AE684:AE685)</f>
        <v>582345757</v>
      </c>
      <c r="AF686" s="54">
        <f t="shared" ref="AF686" si="60">SUM(AF684:AF685)</f>
        <v>1597792131.8</v>
      </c>
      <c r="AG686" s="54">
        <f>SUM(AG684:AG685)</f>
        <v>0</v>
      </c>
      <c r="AH686" s="54">
        <f>SUM(AH684:AH685)</f>
        <v>0</v>
      </c>
      <c r="AI686" s="975">
        <f>SUM(AI684:AI685)</f>
        <v>2180137888.8000002</v>
      </c>
    </row>
    <row r="687" spans="1:35" ht="15" x14ac:dyDescent="0.25">
      <c r="A687" s="917"/>
      <c r="B687" s="144"/>
      <c r="C687" s="845"/>
      <c r="D687" s="161"/>
      <c r="E687" s="845"/>
      <c r="F687" s="845"/>
      <c r="G687" s="161"/>
      <c r="H687" s="845"/>
      <c r="I687" s="161"/>
      <c r="J687" s="845"/>
      <c r="K687" s="260"/>
      <c r="L687" s="573"/>
      <c r="M687" s="566"/>
      <c r="N687" s="57"/>
      <c r="O687" s="216"/>
      <c r="P687" s="845"/>
      <c r="Q687" s="12"/>
      <c r="R687" s="163"/>
      <c r="S687" s="12"/>
      <c r="T687" s="12"/>
      <c r="U687" s="12"/>
      <c r="V687" s="12"/>
      <c r="W687" s="12"/>
      <c r="X687" s="12"/>
      <c r="Y687" s="12"/>
      <c r="Z687" s="12"/>
      <c r="AA687" s="163"/>
      <c r="AB687" s="163"/>
      <c r="AC687" s="12"/>
      <c r="AD687" s="12"/>
      <c r="AE687" s="189"/>
      <c r="AF687" s="12"/>
      <c r="AG687" s="12"/>
      <c r="AH687" s="163"/>
      <c r="AI687" s="942"/>
    </row>
    <row r="688" spans="1:35" ht="15" x14ac:dyDescent="0.25">
      <c r="A688" s="917"/>
      <c r="B688" s="144"/>
      <c r="C688" s="845"/>
      <c r="D688" s="565"/>
      <c r="E688" s="865"/>
      <c r="F688" s="865"/>
      <c r="G688" s="336">
        <v>69</v>
      </c>
      <c r="H688" s="81" t="s">
        <v>865</v>
      </c>
      <c r="I688" s="81"/>
      <c r="J688" s="81"/>
      <c r="K688" s="235"/>
      <c r="L688" s="235"/>
      <c r="M688" s="81"/>
      <c r="N688" s="88"/>
      <c r="O688" s="81"/>
      <c r="P688" s="81"/>
      <c r="Q688" s="176"/>
      <c r="R688" s="176"/>
      <c r="S688" s="176"/>
      <c r="T688" s="176"/>
      <c r="U688" s="176"/>
      <c r="V688" s="176"/>
      <c r="W688" s="176"/>
      <c r="X688" s="176"/>
      <c r="Y688" s="176"/>
      <c r="Z688" s="176"/>
      <c r="AA688" s="176"/>
      <c r="AB688" s="176"/>
      <c r="AC688" s="176"/>
      <c r="AD688" s="176"/>
      <c r="AE688" s="177"/>
      <c r="AF688" s="176"/>
      <c r="AG688" s="176"/>
      <c r="AH688" s="176"/>
      <c r="AI688" s="992"/>
    </row>
    <row r="689" spans="1:35" ht="77.25" customHeight="1" x14ac:dyDescent="0.25">
      <c r="A689" s="917"/>
      <c r="B689" s="144"/>
      <c r="C689" s="846">
        <v>36</v>
      </c>
      <c r="D689" s="265" t="s">
        <v>859</v>
      </c>
      <c r="E689" s="450">
        <v>0.4</v>
      </c>
      <c r="F689" s="451">
        <v>0.6</v>
      </c>
      <c r="G689" s="565"/>
      <c r="H689" s="865">
        <v>204</v>
      </c>
      <c r="I689" s="565" t="s">
        <v>866</v>
      </c>
      <c r="J689" s="1">
        <v>13</v>
      </c>
      <c r="K689" s="59">
        <v>13</v>
      </c>
      <c r="L689" s="59">
        <v>9</v>
      </c>
      <c r="M689" s="1" t="s">
        <v>861</v>
      </c>
      <c r="N689" s="864" t="s">
        <v>862</v>
      </c>
      <c r="O689" s="73" t="s">
        <v>863</v>
      </c>
      <c r="P689" s="1" t="s">
        <v>46</v>
      </c>
      <c r="Q689" s="9"/>
      <c r="R689" s="9"/>
      <c r="S689" s="9"/>
      <c r="T689" s="9"/>
      <c r="U689" s="9"/>
      <c r="V689" s="9"/>
      <c r="W689" s="9"/>
      <c r="X689" s="9"/>
      <c r="Y689" s="9">
        <v>0</v>
      </c>
      <c r="Z689" s="9"/>
      <c r="AA689" s="9"/>
      <c r="AB689" s="9"/>
      <c r="AC689" s="9"/>
      <c r="AD689" s="9"/>
      <c r="AE689" s="472">
        <v>110200000</v>
      </c>
      <c r="AF689" s="632">
        <v>60000000</v>
      </c>
      <c r="AG689" s="61"/>
      <c r="AH689" s="61"/>
      <c r="AI689" s="901">
        <f>+Q689+R689+S689+T689+U689+V689+W689+X689+Y689+Z689+AA689+AB689+AC689+AD689+AE689+AF689+AG689+AH689</f>
        <v>170200000</v>
      </c>
    </row>
    <row r="690" spans="1:35" ht="15" x14ac:dyDescent="0.25">
      <c r="A690" s="917"/>
      <c r="B690" s="144"/>
      <c r="C690" s="846"/>
      <c r="D690" s="565"/>
      <c r="E690" s="865"/>
      <c r="F690" s="865"/>
      <c r="G690" s="147"/>
      <c r="H690" s="148"/>
      <c r="I690" s="147"/>
      <c r="J690" s="149"/>
      <c r="K690" s="389"/>
      <c r="L690" s="389"/>
      <c r="M690" s="149"/>
      <c r="N690" s="599"/>
      <c r="O690" s="299"/>
      <c r="P690" s="149"/>
      <c r="Q690" s="150"/>
      <c r="R690" s="150"/>
      <c r="S690" s="150"/>
      <c r="T690" s="150"/>
      <c r="U690" s="150"/>
      <c r="V690" s="150"/>
      <c r="W690" s="150"/>
      <c r="X690" s="150"/>
      <c r="Y690" s="150">
        <f>SUM(Y689)</f>
        <v>0</v>
      </c>
      <c r="Z690" s="150"/>
      <c r="AA690" s="150"/>
      <c r="AB690" s="150"/>
      <c r="AC690" s="150"/>
      <c r="AD690" s="150"/>
      <c r="AE690" s="54">
        <f>SUM(AE689)</f>
        <v>110200000</v>
      </c>
      <c r="AF690" s="54">
        <f t="shared" ref="AF690" si="61">SUM(AF689)</f>
        <v>60000000</v>
      </c>
      <c r="AG690" s="54">
        <f>SUM(AG689)</f>
        <v>0</v>
      </c>
      <c r="AH690" s="54">
        <f>SUM(AH689)</f>
        <v>0</v>
      </c>
      <c r="AI690" s="975">
        <f>SUM(AI689)</f>
        <v>170200000</v>
      </c>
    </row>
    <row r="691" spans="1:35" ht="15" x14ac:dyDescent="0.25">
      <c r="A691" s="917"/>
      <c r="B691" s="144"/>
      <c r="C691" s="845"/>
      <c r="D691" s="161"/>
      <c r="E691" s="845"/>
      <c r="F691" s="845"/>
      <c r="G691" s="161"/>
      <c r="H691" s="845"/>
      <c r="I691" s="161"/>
      <c r="J691" s="845"/>
      <c r="K691" s="260"/>
      <c r="L691" s="573"/>
      <c r="M691" s="566"/>
      <c r="N691" s="57"/>
      <c r="O691" s="216"/>
      <c r="P691" s="845"/>
      <c r="Q691" s="12"/>
      <c r="R691" s="12"/>
      <c r="S691" s="12"/>
      <c r="T691" s="12"/>
      <c r="U691" s="12"/>
      <c r="V691" s="12"/>
      <c r="W691" s="12"/>
      <c r="X691" s="12"/>
      <c r="Y691" s="12"/>
      <c r="Z691" s="12"/>
      <c r="AA691" s="163"/>
      <c r="AB691" s="163"/>
      <c r="AC691" s="12"/>
      <c r="AD691" s="12"/>
      <c r="AE691" s="189"/>
      <c r="AF691" s="12"/>
      <c r="AG691" s="12"/>
      <c r="AH691" s="163"/>
      <c r="AI691" s="942"/>
    </row>
    <row r="692" spans="1:35" ht="15" x14ac:dyDescent="0.25">
      <c r="A692" s="917"/>
      <c r="B692" s="144"/>
      <c r="C692" s="845"/>
      <c r="D692" s="565"/>
      <c r="E692" s="865"/>
      <c r="F692" s="865"/>
      <c r="G692" s="336">
        <v>70</v>
      </c>
      <c r="H692" s="78" t="s">
        <v>867</v>
      </c>
      <c r="I692" s="78"/>
      <c r="J692" s="78"/>
      <c r="K692" s="474"/>
      <c r="L692" s="474"/>
      <c r="M692" s="78"/>
      <c r="N692" s="88"/>
      <c r="O692" s="78"/>
      <c r="P692" s="78"/>
      <c r="Q692" s="176"/>
      <c r="R692" s="176"/>
      <c r="S692" s="176"/>
      <c r="T692" s="176"/>
      <c r="U692" s="176"/>
      <c r="V692" s="176"/>
      <c r="W692" s="176"/>
      <c r="X692" s="176"/>
      <c r="Y692" s="176"/>
      <c r="Z692" s="176"/>
      <c r="AA692" s="176"/>
      <c r="AB692" s="176"/>
      <c r="AC692" s="176"/>
      <c r="AD692" s="176"/>
      <c r="AE692" s="177"/>
      <c r="AF692" s="176"/>
      <c r="AG692" s="176"/>
      <c r="AH692" s="176"/>
      <c r="AI692" s="992"/>
    </row>
    <row r="693" spans="1:35" ht="54.75" customHeight="1" x14ac:dyDescent="0.25">
      <c r="A693" s="917"/>
      <c r="B693" s="144"/>
      <c r="C693" s="846">
        <v>36</v>
      </c>
      <c r="D693" s="265" t="s">
        <v>859</v>
      </c>
      <c r="E693" s="450">
        <v>0.4</v>
      </c>
      <c r="F693" s="451">
        <v>0.6</v>
      </c>
      <c r="G693" s="565"/>
      <c r="H693" s="865">
        <v>205</v>
      </c>
      <c r="I693" s="565" t="s">
        <v>868</v>
      </c>
      <c r="J693" s="1">
        <v>4</v>
      </c>
      <c r="K693" s="59">
        <v>1</v>
      </c>
      <c r="L693" s="59">
        <v>1</v>
      </c>
      <c r="M693" s="1" t="s">
        <v>861</v>
      </c>
      <c r="N693" s="864" t="s">
        <v>869</v>
      </c>
      <c r="O693" s="480" t="s">
        <v>870</v>
      </c>
      <c r="P693" s="1" t="s">
        <v>40</v>
      </c>
      <c r="Q693" s="9"/>
      <c r="R693" s="9"/>
      <c r="S693" s="9"/>
      <c r="T693" s="9"/>
      <c r="U693" s="9"/>
      <c r="V693" s="9"/>
      <c r="W693" s="9"/>
      <c r="X693" s="9"/>
      <c r="Y693" s="9"/>
      <c r="Z693" s="9"/>
      <c r="AA693" s="9"/>
      <c r="AB693" s="9"/>
      <c r="AC693" s="9"/>
      <c r="AD693" s="9"/>
      <c r="AE693" s="633">
        <v>100000000</v>
      </c>
      <c r="AF693" s="754">
        <f>120000000+45006589.34+13967943</f>
        <v>178974532.34</v>
      </c>
      <c r="AG693" s="61"/>
      <c r="AH693" s="757">
        <f>100000000+8972708</f>
        <v>108972708</v>
      </c>
      <c r="AI693" s="901">
        <f>+Q693+R693+S693+T693+U693+V693+W693+X693+Y693+Z693+AA693+AB693+AC693+AD693+AE693+AF693+AG693+AH693</f>
        <v>387947240.34000003</v>
      </c>
    </row>
    <row r="694" spans="1:35" ht="15" x14ac:dyDescent="0.25">
      <c r="A694" s="917"/>
      <c r="B694" s="144"/>
      <c r="C694" s="846"/>
      <c r="D694" s="565"/>
      <c r="E694" s="865"/>
      <c r="F694" s="865"/>
      <c r="G694" s="147"/>
      <c r="H694" s="148"/>
      <c r="I694" s="147"/>
      <c r="J694" s="149"/>
      <c r="K694" s="389"/>
      <c r="L694" s="389"/>
      <c r="M694" s="149"/>
      <c r="N694" s="599"/>
      <c r="O694" s="299"/>
      <c r="P694" s="149"/>
      <c r="Q694" s="150"/>
      <c r="R694" s="150"/>
      <c r="S694" s="150"/>
      <c r="T694" s="150"/>
      <c r="U694" s="150"/>
      <c r="V694" s="150"/>
      <c r="W694" s="150"/>
      <c r="X694" s="150"/>
      <c r="Y694" s="150">
        <f>SUM(Y693)</f>
        <v>0</v>
      </c>
      <c r="Z694" s="150"/>
      <c r="AA694" s="150"/>
      <c r="AB694" s="150"/>
      <c r="AC694" s="150"/>
      <c r="AD694" s="150"/>
      <c r="AE694" s="54">
        <f>SUM(AE693)</f>
        <v>100000000</v>
      </c>
      <c r="AF694" s="54">
        <f t="shared" ref="AF694" si="62">SUM(AF693)</f>
        <v>178974532.34</v>
      </c>
      <c r="AG694" s="54">
        <f>SUM(AG693)</f>
        <v>0</v>
      </c>
      <c r="AH694" s="54">
        <f>SUM(AH693)</f>
        <v>108972708</v>
      </c>
      <c r="AI694" s="1001">
        <f>SUM(AI693)</f>
        <v>387947240.34000003</v>
      </c>
    </row>
    <row r="695" spans="1:35" ht="15" x14ac:dyDescent="0.25">
      <c r="A695" s="917"/>
      <c r="B695" s="144"/>
      <c r="C695" s="845"/>
      <c r="D695" s="161"/>
      <c r="E695" s="845"/>
      <c r="F695" s="845"/>
      <c r="G695" s="161"/>
      <c r="H695" s="845"/>
      <c r="I695" s="161"/>
      <c r="J695" s="845"/>
      <c r="K695" s="260"/>
      <c r="L695" s="573"/>
      <c r="M695" s="566"/>
      <c r="N695" s="57"/>
      <c r="O695" s="216"/>
      <c r="P695" s="845"/>
      <c r="Q695" s="12"/>
      <c r="R695" s="12"/>
      <c r="S695" s="12"/>
      <c r="T695" s="12"/>
      <c r="U695" s="12"/>
      <c r="V695" s="12"/>
      <c r="W695" s="12"/>
      <c r="X695" s="12"/>
      <c r="Y695" s="12"/>
      <c r="Z695" s="12"/>
      <c r="AA695" s="163"/>
      <c r="AB695" s="163"/>
      <c r="AC695" s="12"/>
      <c r="AD695" s="12"/>
      <c r="AE695" s="189"/>
      <c r="AF695" s="12"/>
      <c r="AG695" s="12"/>
      <c r="AH695" s="12"/>
      <c r="AI695" s="942"/>
    </row>
    <row r="696" spans="1:35" ht="15" x14ac:dyDescent="0.25">
      <c r="A696" s="917"/>
      <c r="B696" s="144"/>
      <c r="C696" s="845"/>
      <c r="D696" s="565"/>
      <c r="E696" s="865"/>
      <c r="F696" s="865"/>
      <c r="G696" s="336">
        <v>71</v>
      </c>
      <c r="H696" s="81" t="s">
        <v>871</v>
      </c>
      <c r="I696" s="81"/>
      <c r="J696" s="81"/>
      <c r="K696" s="235"/>
      <c r="L696" s="235"/>
      <c r="M696" s="81"/>
      <c r="N696" s="88"/>
      <c r="O696" s="81"/>
      <c r="P696" s="81"/>
      <c r="Q696" s="176"/>
      <c r="R696" s="176"/>
      <c r="S696" s="176"/>
      <c r="T696" s="176"/>
      <c r="U696" s="176"/>
      <c r="V696" s="176"/>
      <c r="W696" s="176"/>
      <c r="X696" s="176"/>
      <c r="Y696" s="176"/>
      <c r="Z696" s="176"/>
      <c r="AA696" s="176"/>
      <c r="AB696" s="176"/>
      <c r="AC696" s="176"/>
      <c r="AD696" s="176"/>
      <c r="AE696" s="177"/>
      <c r="AF696" s="176"/>
      <c r="AG696" s="176"/>
      <c r="AH696" s="176"/>
      <c r="AI696" s="992"/>
    </row>
    <row r="697" spans="1:35" ht="57" x14ac:dyDescent="0.25">
      <c r="A697" s="917"/>
      <c r="B697" s="144"/>
      <c r="C697" s="1163">
        <v>36</v>
      </c>
      <c r="D697" s="1160" t="s">
        <v>859</v>
      </c>
      <c r="E697" s="1197">
        <v>0.4</v>
      </c>
      <c r="F697" s="1171">
        <v>0.6</v>
      </c>
      <c r="G697" s="1157"/>
      <c r="H697" s="865">
        <v>206</v>
      </c>
      <c r="I697" s="565" t="s">
        <v>872</v>
      </c>
      <c r="J697" s="1">
        <v>12</v>
      </c>
      <c r="K697" s="59">
        <v>12</v>
      </c>
      <c r="L697" s="59">
        <v>12</v>
      </c>
      <c r="M697" s="1" t="s">
        <v>861</v>
      </c>
      <c r="N697" s="1208" t="s">
        <v>873</v>
      </c>
      <c r="O697" s="1211" t="s">
        <v>874</v>
      </c>
      <c r="P697" s="1" t="s">
        <v>46</v>
      </c>
      <c r="Q697" s="9"/>
      <c r="R697" s="9"/>
      <c r="S697" s="9"/>
      <c r="T697" s="9"/>
      <c r="U697" s="9"/>
      <c r="V697" s="9"/>
      <c r="W697" s="9"/>
      <c r="X697" s="9"/>
      <c r="Y697" s="472">
        <v>0</v>
      </c>
      <c r="Z697" s="9"/>
      <c r="AA697" s="9"/>
      <c r="AB697" s="9"/>
      <c r="AC697" s="9"/>
      <c r="AD697" s="9"/>
      <c r="AE697" s="633"/>
      <c r="AF697" s="754">
        <f>55000000+60000000</f>
        <v>115000000</v>
      </c>
      <c r="AG697" s="61"/>
      <c r="AH697" s="61"/>
      <c r="AI697" s="901">
        <f>+Q697+R697+S697+T697+U697+V697+W697+X697+Y697+Z697+AA697+AB697+AC697+AD697+AE697+AF697+AG697+AH697</f>
        <v>115000000</v>
      </c>
    </row>
    <row r="698" spans="1:35" ht="48.75" customHeight="1" x14ac:dyDescent="0.25">
      <c r="A698" s="917"/>
      <c r="B698" s="144"/>
      <c r="C698" s="1164"/>
      <c r="D698" s="1161"/>
      <c r="E698" s="1198"/>
      <c r="F698" s="1200"/>
      <c r="G698" s="1158"/>
      <c r="H698" s="865">
        <v>207</v>
      </c>
      <c r="I698" s="565" t="s">
        <v>875</v>
      </c>
      <c r="J698" s="1">
        <v>4</v>
      </c>
      <c r="K698" s="59">
        <v>1</v>
      </c>
      <c r="L698" s="59">
        <v>1</v>
      </c>
      <c r="M698" s="1" t="s">
        <v>861</v>
      </c>
      <c r="N698" s="1209"/>
      <c r="O698" s="1212"/>
      <c r="P698" s="1" t="s">
        <v>40</v>
      </c>
      <c r="Q698" s="9"/>
      <c r="R698" s="9"/>
      <c r="S698" s="9"/>
      <c r="T698" s="9"/>
      <c r="U698" s="9"/>
      <c r="V698" s="9"/>
      <c r="W698" s="9"/>
      <c r="X698" s="9"/>
      <c r="Y698" s="9"/>
      <c r="Z698" s="9"/>
      <c r="AA698" s="9"/>
      <c r="AB698" s="9"/>
      <c r="AC698" s="9"/>
      <c r="AD698" s="9"/>
      <c r="AE698" s="633"/>
      <c r="AF698" s="754">
        <f>80000000+100000000</f>
        <v>180000000</v>
      </c>
      <c r="AG698" s="61"/>
      <c r="AH698" s="61"/>
      <c r="AI698" s="901">
        <f>+Q698+R698+S698+T698+U698+V698+W698+X698+Y698+Z698+AA698+AB698+AC698+AD698+AE698+AF698+AG698+AH698</f>
        <v>180000000</v>
      </c>
    </row>
    <row r="699" spans="1:35" ht="28.5" x14ac:dyDescent="0.25">
      <c r="A699" s="917"/>
      <c r="B699" s="144"/>
      <c r="C699" s="1165"/>
      <c r="D699" s="1162"/>
      <c r="E699" s="1199"/>
      <c r="F699" s="1172"/>
      <c r="G699" s="1159"/>
      <c r="H699" s="865">
        <v>208</v>
      </c>
      <c r="I699" s="565" t="s">
        <v>876</v>
      </c>
      <c r="J699" s="1">
        <v>1</v>
      </c>
      <c r="K699" s="59">
        <v>1</v>
      </c>
      <c r="L699" s="59">
        <v>1</v>
      </c>
      <c r="M699" s="1" t="s">
        <v>861</v>
      </c>
      <c r="N699" s="1210"/>
      <c r="O699" s="1213"/>
      <c r="P699" s="1" t="s">
        <v>46</v>
      </c>
      <c r="Q699" s="9"/>
      <c r="R699" s="9"/>
      <c r="S699" s="9"/>
      <c r="T699" s="9"/>
      <c r="U699" s="9"/>
      <c r="V699" s="9"/>
      <c r="W699" s="9"/>
      <c r="X699" s="9"/>
      <c r="Y699" s="9"/>
      <c r="Z699" s="9"/>
      <c r="AA699" s="9"/>
      <c r="AB699" s="9"/>
      <c r="AC699" s="9"/>
      <c r="AD699" s="9"/>
      <c r="AE699" s="633">
        <v>30000000</v>
      </c>
      <c r="AF699" s="754">
        <v>25000000</v>
      </c>
      <c r="AG699" s="61"/>
      <c r="AH699" s="61"/>
      <c r="AI699" s="901">
        <f>+Q699+R699+S699+T699+U699+V699+W699+X699+Y699+Z699+AA699+AB699+AC699+AD699+AE699+AF699+AG699+AH699</f>
        <v>55000000</v>
      </c>
    </row>
    <row r="700" spans="1:35" ht="15" x14ac:dyDescent="0.25">
      <c r="A700" s="917"/>
      <c r="B700" s="146"/>
      <c r="C700" s="856"/>
      <c r="D700" s="565"/>
      <c r="E700" s="865"/>
      <c r="F700" s="865"/>
      <c r="G700" s="147"/>
      <c r="H700" s="148"/>
      <c r="I700" s="147"/>
      <c r="J700" s="149"/>
      <c r="K700" s="389"/>
      <c r="L700" s="389"/>
      <c r="M700" s="149"/>
      <c r="N700" s="599"/>
      <c r="O700" s="299"/>
      <c r="P700" s="149"/>
      <c r="Q700" s="150"/>
      <c r="R700" s="150"/>
      <c r="S700" s="150"/>
      <c r="T700" s="150"/>
      <c r="U700" s="150"/>
      <c r="V700" s="150"/>
      <c r="W700" s="150"/>
      <c r="X700" s="150"/>
      <c r="Y700" s="150">
        <f>SUM(Y697:Y699)</f>
        <v>0</v>
      </c>
      <c r="Z700" s="150"/>
      <c r="AA700" s="150"/>
      <c r="AB700" s="150"/>
      <c r="AC700" s="150"/>
      <c r="AD700" s="150"/>
      <c r="AE700" s="54">
        <f>SUM(AE697:AE699)</f>
        <v>30000000</v>
      </c>
      <c r="AF700" s="54">
        <f t="shared" ref="AF700" si="63">SUM(AF697:AF699)</f>
        <v>320000000</v>
      </c>
      <c r="AG700" s="54">
        <f>SUM(AG697:AG699)</f>
        <v>0</v>
      </c>
      <c r="AH700" s="54">
        <f>SUM(AH697:AH699)</f>
        <v>0</v>
      </c>
      <c r="AI700" s="904">
        <f>SUM(AI697:AI699)</f>
        <v>350000000</v>
      </c>
    </row>
    <row r="701" spans="1:35" ht="15" x14ac:dyDescent="0.25">
      <c r="A701" s="917"/>
      <c r="B701" s="379"/>
      <c r="C701" s="214"/>
      <c r="D701" s="151"/>
      <c r="E701" s="152"/>
      <c r="F701" s="152"/>
      <c r="G701" s="151"/>
      <c r="H701" s="152"/>
      <c r="I701" s="151"/>
      <c r="J701" s="153"/>
      <c r="K701" s="226"/>
      <c r="L701" s="226"/>
      <c r="M701" s="153"/>
      <c r="N701" s="604"/>
      <c r="O701" s="481"/>
      <c r="P701" s="153"/>
      <c r="Q701" s="154"/>
      <c r="R701" s="154"/>
      <c r="S701" s="154"/>
      <c r="T701" s="154"/>
      <c r="U701" s="154"/>
      <c r="V701" s="154"/>
      <c r="W701" s="154"/>
      <c r="X701" s="154"/>
      <c r="Y701" s="154">
        <f>Y700+Y694+Y690+Y686</f>
        <v>0</v>
      </c>
      <c r="Z701" s="154"/>
      <c r="AA701" s="154"/>
      <c r="AB701" s="154"/>
      <c r="AC701" s="154"/>
      <c r="AD701" s="154"/>
      <c r="AE701" s="238">
        <f>AE700+AE694+AE690+AE686</f>
        <v>822545757</v>
      </c>
      <c r="AF701" s="238">
        <f t="shared" ref="AF701" si="64">AF700+AF694+AF690+AF686</f>
        <v>2156766664.1399999</v>
      </c>
      <c r="AG701" s="238">
        <f>AG700+AG694+AG690+AG686</f>
        <v>0</v>
      </c>
      <c r="AH701" s="238">
        <f>AH700+AH694+AH690+AH686</f>
        <v>108972708</v>
      </c>
      <c r="AI701" s="906">
        <f>AI700+AI694+AI690+AI686</f>
        <v>3088285129.1400003</v>
      </c>
    </row>
    <row r="702" spans="1:35" ht="15" x14ac:dyDescent="0.25">
      <c r="A702" s="917"/>
      <c r="B702" s="161"/>
      <c r="C702" s="845"/>
      <c r="D702" s="161"/>
      <c r="E702" s="845"/>
      <c r="F702" s="845"/>
      <c r="G702" s="161"/>
      <c r="H702" s="845"/>
      <c r="I702" s="161"/>
      <c r="J702" s="845"/>
      <c r="K702" s="260"/>
      <c r="L702" s="573"/>
      <c r="M702" s="566"/>
      <c r="N702" s="57"/>
      <c r="O702" s="216"/>
      <c r="P702" s="845"/>
      <c r="Q702" s="12"/>
      <c r="R702" s="12"/>
      <c r="S702" s="12"/>
      <c r="T702" s="12"/>
      <c r="U702" s="12"/>
      <c r="V702" s="12"/>
      <c r="W702" s="12"/>
      <c r="X702" s="12"/>
      <c r="Y702" s="12"/>
      <c r="Z702" s="12"/>
      <c r="AA702" s="163"/>
      <c r="AB702" s="163"/>
      <c r="AC702" s="12"/>
      <c r="AD702" s="12"/>
      <c r="AE702" s="189"/>
      <c r="AF702" s="12"/>
      <c r="AG702" s="12"/>
      <c r="AH702" s="12"/>
      <c r="AI702" s="942"/>
    </row>
    <row r="703" spans="1:35" x14ac:dyDescent="0.25">
      <c r="A703" s="917"/>
      <c r="B703" s="232">
        <v>21</v>
      </c>
      <c r="C703" s="837" t="s">
        <v>877</v>
      </c>
      <c r="D703" s="87"/>
      <c r="E703" s="87"/>
      <c r="F703" s="87"/>
      <c r="G703" s="87"/>
      <c r="H703" s="838"/>
      <c r="I703" s="87"/>
      <c r="J703" s="87"/>
      <c r="K703" s="233"/>
      <c r="L703" s="233"/>
      <c r="M703" s="87"/>
      <c r="N703" s="15"/>
      <c r="O703" s="87"/>
      <c r="P703" s="87"/>
      <c r="Q703" s="169"/>
      <c r="R703" s="169"/>
      <c r="S703" s="169"/>
      <c r="T703" s="169"/>
      <c r="U703" s="169"/>
      <c r="V703" s="169"/>
      <c r="W703" s="169"/>
      <c r="X703" s="169"/>
      <c r="Y703" s="169"/>
      <c r="Z703" s="169"/>
      <c r="AA703" s="169"/>
      <c r="AB703" s="169"/>
      <c r="AC703" s="169"/>
      <c r="AD703" s="169"/>
      <c r="AE703" s="170"/>
      <c r="AF703" s="169"/>
      <c r="AG703" s="169"/>
      <c r="AH703" s="169"/>
      <c r="AI703" s="993"/>
    </row>
    <row r="704" spans="1:35" ht="15" x14ac:dyDescent="0.25">
      <c r="A704" s="917"/>
      <c r="B704" s="1237"/>
      <c r="C704" s="845"/>
      <c r="D704" s="161"/>
      <c r="E704" s="845"/>
      <c r="F704" s="846"/>
      <c r="G704" s="336">
        <v>72</v>
      </c>
      <c r="H704" s="81" t="s">
        <v>878</v>
      </c>
      <c r="I704" s="81" t="s">
        <v>878</v>
      </c>
      <c r="J704" s="81"/>
      <c r="K704" s="235"/>
      <c r="L704" s="235"/>
      <c r="M704" s="81"/>
      <c r="N704" s="88"/>
      <c r="O704" s="81"/>
      <c r="P704" s="81"/>
      <c r="Q704" s="176"/>
      <c r="R704" s="176"/>
      <c r="S704" s="176"/>
      <c r="T704" s="176"/>
      <c r="U704" s="176"/>
      <c r="V704" s="176"/>
      <c r="W704" s="176"/>
      <c r="X704" s="176"/>
      <c r="Y704" s="176"/>
      <c r="Z704" s="176"/>
      <c r="AA704" s="176"/>
      <c r="AB704" s="176"/>
      <c r="AC704" s="176"/>
      <c r="AD704" s="176"/>
      <c r="AE704" s="177"/>
      <c r="AF704" s="176"/>
      <c r="AG704" s="176"/>
      <c r="AH704" s="176"/>
      <c r="AI704" s="992"/>
    </row>
    <row r="705" spans="1:35" ht="90" customHeight="1" x14ac:dyDescent="0.25">
      <c r="A705" s="917"/>
      <c r="B705" s="1237"/>
      <c r="C705" s="1163">
        <v>36</v>
      </c>
      <c r="D705" s="1173" t="s">
        <v>859</v>
      </c>
      <c r="E705" s="1197">
        <v>0.4</v>
      </c>
      <c r="F705" s="1171">
        <v>0.6</v>
      </c>
      <c r="G705" s="1157" t="s">
        <v>428</v>
      </c>
      <c r="H705" s="865">
        <v>209</v>
      </c>
      <c r="I705" s="565" t="s">
        <v>879</v>
      </c>
      <c r="J705" s="1">
        <v>1</v>
      </c>
      <c r="K705" s="59">
        <v>1</v>
      </c>
      <c r="L705" s="59">
        <v>1</v>
      </c>
      <c r="M705" s="1" t="s">
        <v>861</v>
      </c>
      <c r="N705" s="1235" t="s">
        <v>880</v>
      </c>
      <c r="O705" s="1236" t="s">
        <v>881</v>
      </c>
      <c r="P705" s="1" t="s">
        <v>46</v>
      </c>
      <c r="Q705" s="9"/>
      <c r="R705" s="9"/>
      <c r="S705" s="9"/>
      <c r="T705" s="9"/>
      <c r="U705" s="9"/>
      <c r="V705" s="9"/>
      <c r="W705" s="9"/>
      <c r="X705" s="9"/>
      <c r="Y705" s="9">
        <v>0</v>
      </c>
      <c r="Z705" s="9"/>
      <c r="AA705" s="9"/>
      <c r="AB705" s="9"/>
      <c r="AC705" s="9"/>
      <c r="AD705" s="9"/>
      <c r="AE705" s="249"/>
      <c r="AF705" s="472">
        <f>30000000+20000000</f>
        <v>50000000</v>
      </c>
      <c r="AG705" s="9"/>
      <c r="AH705" s="634">
        <f>25000000+15800000</f>
        <v>40800000</v>
      </c>
      <c r="AI705" s="901">
        <f>+Q705+R705+S705+T705+U705+V705+W705+X705+Y705+Z705+AA705+AB705+AC705+AD705+AE705+AF705+AG705+AH705</f>
        <v>90800000</v>
      </c>
    </row>
    <row r="706" spans="1:35" ht="62.25" customHeight="1" x14ac:dyDescent="0.25">
      <c r="A706" s="897"/>
      <c r="B706" s="1237"/>
      <c r="C706" s="1164"/>
      <c r="D706" s="1187"/>
      <c r="E706" s="1198"/>
      <c r="F706" s="1200"/>
      <c r="G706" s="1158"/>
      <c r="H706" s="865">
        <v>210</v>
      </c>
      <c r="I706" s="565" t="s">
        <v>882</v>
      </c>
      <c r="J706" s="865">
        <v>1</v>
      </c>
      <c r="K706" s="222">
        <v>1</v>
      </c>
      <c r="L706" s="222">
        <v>1</v>
      </c>
      <c r="M706" s="1" t="s">
        <v>861</v>
      </c>
      <c r="N706" s="1235"/>
      <c r="O706" s="1236"/>
      <c r="P706" s="1" t="s">
        <v>46</v>
      </c>
      <c r="Q706" s="9"/>
      <c r="R706" s="9"/>
      <c r="S706" s="9"/>
      <c r="T706" s="9"/>
      <c r="U706" s="9"/>
      <c r="V706" s="9"/>
      <c r="W706" s="9"/>
      <c r="X706" s="9"/>
      <c r="Y706" s="9">
        <v>0</v>
      </c>
      <c r="Z706" s="9"/>
      <c r="AA706" s="9"/>
      <c r="AB706" s="9"/>
      <c r="AC706" s="9"/>
      <c r="AD706" s="9"/>
      <c r="AE706" s="355">
        <v>9000000</v>
      </c>
      <c r="AF706" s="472">
        <f>25000000+12171030</f>
        <v>37171030</v>
      </c>
      <c r="AG706" s="9"/>
      <c r="AH706" s="634">
        <f>10000000+24600000</f>
        <v>34600000</v>
      </c>
      <c r="AI706" s="901">
        <f>+Q706+R706+S706+T706+U706+V706+W706+X706+Y706+Z706+AA706+AB706+AC706+AD706+AE706+AF706+AG706+AH706</f>
        <v>80771030</v>
      </c>
    </row>
    <row r="707" spans="1:35" ht="71.25" customHeight="1" x14ac:dyDescent="0.25">
      <c r="A707" s="897"/>
      <c r="B707" s="1237"/>
      <c r="C707" s="1165"/>
      <c r="D707" s="1174"/>
      <c r="E707" s="1199"/>
      <c r="F707" s="1172"/>
      <c r="G707" s="1158"/>
      <c r="H707" s="865">
        <v>211</v>
      </c>
      <c r="I707" s="565" t="s">
        <v>883</v>
      </c>
      <c r="J707" s="1">
        <v>1</v>
      </c>
      <c r="K707" s="59">
        <v>1</v>
      </c>
      <c r="L707" s="59">
        <v>1</v>
      </c>
      <c r="M707" s="1" t="s">
        <v>861</v>
      </c>
      <c r="N707" s="1235"/>
      <c r="O707" s="1236"/>
      <c r="P707" s="1" t="s">
        <v>46</v>
      </c>
      <c r="Q707" s="9"/>
      <c r="R707" s="9"/>
      <c r="S707" s="9"/>
      <c r="T707" s="9"/>
      <c r="U707" s="9"/>
      <c r="V707" s="9"/>
      <c r="W707" s="9"/>
      <c r="X707" s="9"/>
      <c r="Y707" s="9">
        <v>0</v>
      </c>
      <c r="Z707" s="9"/>
      <c r="AA707" s="9"/>
      <c r="AB707" s="9">
        <v>0</v>
      </c>
      <c r="AC707" s="9"/>
      <c r="AD707" s="9"/>
      <c r="AE707" s="661"/>
      <c r="AF707" s="755">
        <f>25000000+11503067.8+13656561.42</f>
        <v>50159629.219999999</v>
      </c>
      <c r="AG707" s="9"/>
      <c r="AH707" s="634">
        <f>10000000+62600000</f>
        <v>72600000</v>
      </c>
      <c r="AI707" s="901">
        <f>+Q707+R707+S707+T707+U707+V707+W707+X707+Y707+Z707+AA707+AB707+AC707+AD707+AE707+AF707+AG707+AH707</f>
        <v>122759629.22</v>
      </c>
    </row>
    <row r="708" spans="1:35" ht="15" x14ac:dyDescent="0.25">
      <c r="A708" s="917"/>
      <c r="B708" s="1237"/>
      <c r="C708" s="857"/>
      <c r="D708" s="833"/>
      <c r="E708" s="852"/>
      <c r="F708" s="852"/>
      <c r="G708" s="482"/>
      <c r="H708" s="483"/>
      <c r="I708" s="482"/>
      <c r="J708" s="484"/>
      <c r="K708" s="485"/>
      <c r="L708" s="485"/>
      <c r="M708" s="484"/>
      <c r="N708" s="605"/>
      <c r="O708" s="486"/>
      <c r="P708" s="484"/>
      <c r="Q708" s="487"/>
      <c r="R708" s="487"/>
      <c r="S708" s="487"/>
      <c r="T708" s="487"/>
      <c r="U708" s="487"/>
      <c r="V708" s="487"/>
      <c r="W708" s="487"/>
      <c r="X708" s="487"/>
      <c r="Y708" s="487">
        <f>SUM(Y705:Y707)</f>
        <v>0</v>
      </c>
      <c r="Z708" s="487"/>
      <c r="AA708" s="487"/>
      <c r="AB708" s="487"/>
      <c r="AC708" s="487"/>
      <c r="AD708" s="487"/>
      <c r="AE708" s="488">
        <f>SUM(AE705:AE707)</f>
        <v>9000000</v>
      </c>
      <c r="AF708" s="488">
        <f t="shared" ref="AF708" si="65">SUM(AF705:AF707)</f>
        <v>137330659.22</v>
      </c>
      <c r="AG708" s="488">
        <f>SUM(AG705:AG707)</f>
        <v>0</v>
      </c>
      <c r="AH708" s="488">
        <f>SUM(AH705:AH707)</f>
        <v>148000000</v>
      </c>
      <c r="AI708" s="1002">
        <f>SUM(AI705:AI707)</f>
        <v>294330659.22000003</v>
      </c>
    </row>
    <row r="709" spans="1:35" ht="15" x14ac:dyDescent="0.25">
      <c r="A709" s="917"/>
      <c r="B709" s="1237"/>
      <c r="C709" s="845"/>
      <c r="D709" s="161"/>
      <c r="E709" s="845"/>
      <c r="F709" s="845"/>
      <c r="G709" s="161"/>
      <c r="H709" s="845"/>
      <c r="I709" s="161"/>
      <c r="J709" s="845"/>
      <c r="K709" s="260"/>
      <c r="L709" s="573"/>
      <c r="M709" s="566"/>
      <c r="N709" s="57"/>
      <c r="O709" s="216"/>
      <c r="P709" s="845"/>
      <c r="Q709" s="12"/>
      <c r="R709" s="12"/>
      <c r="S709" s="12"/>
      <c r="T709" s="12"/>
      <c r="U709" s="12"/>
      <c r="V709" s="12"/>
      <c r="W709" s="12"/>
      <c r="X709" s="12"/>
      <c r="Y709" s="12"/>
      <c r="Z709" s="12"/>
      <c r="AA709" s="163"/>
      <c r="AB709" s="163"/>
      <c r="AC709" s="12"/>
      <c r="AD709" s="12"/>
      <c r="AE709" s="189"/>
      <c r="AF709" s="12"/>
      <c r="AG709" s="12"/>
      <c r="AH709" s="163"/>
      <c r="AI709" s="942"/>
    </row>
    <row r="710" spans="1:35" ht="15" x14ac:dyDescent="0.25">
      <c r="A710" s="917"/>
      <c r="B710" s="1237"/>
      <c r="C710" s="845"/>
      <c r="D710" s="565"/>
      <c r="E710" s="865"/>
      <c r="F710" s="865"/>
      <c r="G710" s="336">
        <v>73</v>
      </c>
      <c r="H710" s="81" t="s">
        <v>884</v>
      </c>
      <c r="I710" s="81"/>
      <c r="J710" s="81"/>
      <c r="K710" s="235"/>
      <c r="L710" s="235"/>
      <c r="M710" s="81"/>
      <c r="N710" s="88"/>
      <c r="O710" s="81"/>
      <c r="P710" s="81"/>
      <c r="Q710" s="176"/>
      <c r="R710" s="176"/>
      <c r="S710" s="176"/>
      <c r="T710" s="176"/>
      <c r="U710" s="176"/>
      <c r="V710" s="176"/>
      <c r="W710" s="176"/>
      <c r="X710" s="176"/>
      <c r="Y710" s="176"/>
      <c r="Z710" s="176"/>
      <c r="AA710" s="176"/>
      <c r="AB710" s="176"/>
      <c r="AC710" s="176"/>
      <c r="AD710" s="176"/>
      <c r="AE710" s="177"/>
      <c r="AF710" s="176"/>
      <c r="AG710" s="176"/>
      <c r="AH710" s="176"/>
      <c r="AI710" s="992"/>
    </row>
    <row r="711" spans="1:35" ht="88.5" customHeight="1" x14ac:dyDescent="0.25">
      <c r="A711" s="917"/>
      <c r="B711" s="1237"/>
      <c r="C711" s="846">
        <v>36</v>
      </c>
      <c r="D711" s="265" t="s">
        <v>859</v>
      </c>
      <c r="E711" s="450">
        <v>0.4</v>
      </c>
      <c r="F711" s="451">
        <v>0.6</v>
      </c>
      <c r="G711" s="832"/>
      <c r="H711" s="851">
        <v>212</v>
      </c>
      <c r="I711" s="832" t="s">
        <v>885</v>
      </c>
      <c r="J711" s="861">
        <v>1</v>
      </c>
      <c r="K711" s="489">
        <v>1</v>
      </c>
      <c r="L711" s="489">
        <v>1</v>
      </c>
      <c r="M711" s="1" t="s">
        <v>861</v>
      </c>
      <c r="N711" s="864" t="s">
        <v>886</v>
      </c>
      <c r="O711" s="480" t="s">
        <v>887</v>
      </c>
      <c r="P711" s="1" t="s">
        <v>46</v>
      </c>
      <c r="Q711" s="268"/>
      <c r="R711" s="268"/>
      <c r="S711" s="268"/>
      <c r="T711" s="268"/>
      <c r="U711" s="268"/>
      <c r="V711" s="268"/>
      <c r="W711" s="268"/>
      <c r="X711" s="268"/>
      <c r="Y711" s="268">
        <v>0</v>
      </c>
      <c r="Z711" s="268"/>
      <c r="AA711" s="268"/>
      <c r="AB711" s="268">
        <v>0</v>
      </c>
      <c r="AC711" s="268"/>
      <c r="AD711" s="268"/>
      <c r="AE711" s="736">
        <v>24599321.649999999</v>
      </c>
      <c r="AF711" s="712">
        <v>40000000</v>
      </c>
      <c r="AG711" s="385"/>
      <c r="AH711" s="634">
        <f>55000000+80000000-30600000</f>
        <v>104400000</v>
      </c>
      <c r="AI711" s="901">
        <f>+Q711+R711+S711+T711+U711+V711+W711+X711+Y711+Z711+AA711+AB711+AC711+AD711+AE711+AF711+AG711+AH711</f>
        <v>168999321.65000001</v>
      </c>
    </row>
    <row r="712" spans="1:35" s="24" customFormat="1" ht="20.25" x14ac:dyDescent="0.25">
      <c r="A712" s="917"/>
      <c r="B712" s="1237"/>
      <c r="C712" s="856"/>
      <c r="D712" s="832"/>
      <c r="E712" s="851"/>
      <c r="F712" s="851"/>
      <c r="G712" s="208"/>
      <c r="H712" s="209"/>
      <c r="I712" s="208"/>
      <c r="J712" s="223"/>
      <c r="K712" s="224"/>
      <c r="L712" s="224"/>
      <c r="M712" s="223"/>
      <c r="N712" s="606"/>
      <c r="O712" s="490"/>
      <c r="P712" s="223"/>
      <c r="Q712" s="225"/>
      <c r="R712" s="225"/>
      <c r="S712" s="225"/>
      <c r="T712" s="225"/>
      <c r="U712" s="225"/>
      <c r="V712" s="225"/>
      <c r="W712" s="225"/>
      <c r="X712" s="225"/>
      <c r="Y712" s="225">
        <f>SUM(Y711)</f>
        <v>0</v>
      </c>
      <c r="Z712" s="225"/>
      <c r="AA712" s="225"/>
      <c r="AB712" s="225"/>
      <c r="AC712" s="225"/>
      <c r="AD712" s="225"/>
      <c r="AE712" s="491">
        <f>SUM(AE711)</f>
        <v>24599321.649999999</v>
      </c>
      <c r="AF712" s="491">
        <f t="shared" ref="AF712" si="66">SUM(AF711)</f>
        <v>40000000</v>
      </c>
      <c r="AG712" s="491">
        <f>SUM(AG711)</f>
        <v>0</v>
      </c>
      <c r="AH712" s="491">
        <f>SUM(AH711)</f>
        <v>104400000</v>
      </c>
      <c r="AI712" s="1003">
        <f>SUM(AI711)</f>
        <v>168999321.65000001</v>
      </c>
    </row>
    <row r="713" spans="1:35" ht="15" x14ac:dyDescent="0.25">
      <c r="A713" s="917"/>
      <c r="B713" s="379"/>
      <c r="C713" s="214"/>
      <c r="D713" s="213"/>
      <c r="E713" s="214"/>
      <c r="F713" s="214"/>
      <c r="G713" s="213"/>
      <c r="H713" s="214"/>
      <c r="I713" s="213"/>
      <c r="J713" s="492"/>
      <c r="K713" s="493"/>
      <c r="L713" s="493"/>
      <c r="M713" s="492"/>
      <c r="N713" s="607"/>
      <c r="O713" s="494"/>
      <c r="P713" s="492"/>
      <c r="Q713" s="381"/>
      <c r="R713" s="381"/>
      <c r="S713" s="381"/>
      <c r="T713" s="381"/>
      <c r="U713" s="381"/>
      <c r="V713" s="381"/>
      <c r="W713" s="381"/>
      <c r="X713" s="381"/>
      <c r="Y713" s="381">
        <f>Y712+Y708</f>
        <v>0</v>
      </c>
      <c r="Z713" s="381"/>
      <c r="AA713" s="381"/>
      <c r="AB713" s="381"/>
      <c r="AC713" s="381"/>
      <c r="AD713" s="381"/>
      <c r="AE713" s="495">
        <f>AE712+AE708</f>
        <v>33599321.649999999</v>
      </c>
      <c r="AF713" s="495">
        <f t="shared" ref="AF713" si="67">AF712+AF708</f>
        <v>177330659.22</v>
      </c>
      <c r="AG713" s="495">
        <f>AG712+AG708</f>
        <v>0</v>
      </c>
      <c r="AH713" s="495">
        <f>AH712+AH708</f>
        <v>252400000</v>
      </c>
      <c r="AI713" s="1004">
        <f>AI712+AI708</f>
        <v>463329980.87</v>
      </c>
    </row>
    <row r="714" spans="1:35" ht="15" x14ac:dyDescent="0.25">
      <c r="A714" s="917"/>
      <c r="B714" s="161"/>
      <c r="C714" s="845"/>
      <c r="D714" s="161"/>
      <c r="E714" s="845"/>
      <c r="F714" s="845"/>
      <c r="G714" s="161"/>
      <c r="H714" s="845"/>
      <c r="I714" s="161"/>
      <c r="J714" s="845"/>
      <c r="K714" s="260"/>
      <c r="L714" s="573"/>
      <c r="M714" s="566"/>
      <c r="N714" s="57"/>
      <c r="O714" s="216"/>
      <c r="P714" s="845"/>
      <c r="Q714" s="12"/>
      <c r="R714" s="12"/>
      <c r="S714" s="12"/>
      <c r="T714" s="12"/>
      <c r="U714" s="12"/>
      <c r="V714" s="12"/>
      <c r="W714" s="12"/>
      <c r="X714" s="12"/>
      <c r="Y714" s="12"/>
      <c r="Z714" s="12"/>
      <c r="AA714" s="163"/>
      <c r="AB714" s="163"/>
      <c r="AC714" s="12"/>
      <c r="AD714" s="12"/>
      <c r="AE714" s="189"/>
      <c r="AF714" s="12"/>
      <c r="AG714" s="12"/>
      <c r="AH714" s="12"/>
      <c r="AI714" s="942"/>
    </row>
    <row r="715" spans="1:35" x14ac:dyDescent="0.25">
      <c r="A715" s="917"/>
      <c r="B715" s="496">
        <v>22</v>
      </c>
      <c r="C715" s="838" t="s">
        <v>888</v>
      </c>
      <c r="D715" s="87"/>
      <c r="E715" s="87"/>
      <c r="F715" s="87"/>
      <c r="G715" s="87"/>
      <c r="H715" s="838"/>
      <c r="I715" s="87"/>
      <c r="J715" s="87"/>
      <c r="K715" s="233"/>
      <c r="L715" s="233"/>
      <c r="M715" s="87"/>
      <c r="N715" s="15"/>
      <c r="O715" s="87"/>
      <c r="P715" s="87"/>
      <c r="Q715" s="169"/>
      <c r="R715" s="169"/>
      <c r="S715" s="169"/>
      <c r="T715" s="169"/>
      <c r="U715" s="169"/>
      <c r="V715" s="169"/>
      <c r="W715" s="169"/>
      <c r="X715" s="169"/>
      <c r="Y715" s="169"/>
      <c r="Z715" s="169"/>
      <c r="AA715" s="169"/>
      <c r="AB715" s="169"/>
      <c r="AC715" s="169"/>
      <c r="AD715" s="169"/>
      <c r="AE715" s="170"/>
      <c r="AF715" s="169"/>
      <c r="AG715" s="169"/>
      <c r="AH715" s="169"/>
      <c r="AI715" s="993"/>
    </row>
    <row r="716" spans="1:35" x14ac:dyDescent="0.25">
      <c r="A716" s="917"/>
      <c r="B716" s="1237"/>
      <c r="C716" s="845"/>
      <c r="D716" s="161"/>
      <c r="E716" s="845"/>
      <c r="F716" s="846"/>
      <c r="G716" s="336">
        <v>74</v>
      </c>
      <c r="H716" s="81" t="s">
        <v>889</v>
      </c>
      <c r="I716" s="81"/>
      <c r="J716" s="81"/>
      <c r="K716" s="235"/>
      <c r="L716" s="235"/>
      <c r="M716" s="81"/>
      <c r="N716" s="588"/>
      <c r="O716" s="81"/>
      <c r="P716" s="81"/>
      <c r="Q716" s="176"/>
      <c r="R716" s="176"/>
      <c r="S716" s="176"/>
      <c r="T716" s="176"/>
      <c r="U716" s="176"/>
      <c r="V716" s="176"/>
      <c r="W716" s="176"/>
      <c r="X716" s="176"/>
      <c r="Y716" s="176"/>
      <c r="Z716" s="176"/>
      <c r="AA716" s="176"/>
      <c r="AB716" s="176"/>
      <c r="AC716" s="176"/>
      <c r="AD716" s="176"/>
      <c r="AE716" s="177"/>
      <c r="AF716" s="176"/>
      <c r="AG716" s="176"/>
      <c r="AH716" s="176"/>
      <c r="AI716" s="992"/>
    </row>
    <row r="717" spans="1:35" ht="30" x14ac:dyDescent="0.25">
      <c r="A717" s="917"/>
      <c r="B717" s="1237"/>
      <c r="C717" s="846">
        <v>36</v>
      </c>
      <c r="D717" s="265" t="s">
        <v>859</v>
      </c>
      <c r="E717" s="450">
        <v>0.4</v>
      </c>
      <c r="F717" s="451">
        <v>0.6</v>
      </c>
      <c r="G717" s="565"/>
      <c r="H717" s="454">
        <v>213</v>
      </c>
      <c r="I717" s="565" t="s">
        <v>890</v>
      </c>
      <c r="J717" s="1">
        <v>12</v>
      </c>
      <c r="K717" s="59">
        <v>12</v>
      </c>
      <c r="L717" s="59">
        <v>12</v>
      </c>
      <c r="M717" s="1" t="s">
        <v>861</v>
      </c>
      <c r="N717" s="864" t="s">
        <v>891</v>
      </c>
      <c r="O717" s="868" t="s">
        <v>892</v>
      </c>
      <c r="P717" s="1" t="s">
        <v>46</v>
      </c>
      <c r="Q717" s="9"/>
      <c r="R717" s="9"/>
      <c r="S717" s="9"/>
      <c r="T717" s="9"/>
      <c r="U717" s="9"/>
      <c r="V717" s="9"/>
      <c r="W717" s="9"/>
      <c r="X717" s="9"/>
      <c r="Y717" s="9"/>
      <c r="Z717" s="9"/>
      <c r="AA717" s="9"/>
      <c r="AB717" s="9"/>
      <c r="AC717" s="9"/>
      <c r="AD717" s="9"/>
      <c r="AE717" s="249"/>
      <c r="AF717" s="756">
        <f>182000000+36225674+15456741-182000000</f>
        <v>51682415</v>
      </c>
      <c r="AG717" s="61"/>
      <c r="AH717" s="61"/>
      <c r="AI717" s="901">
        <f>+Q717+R717+S717+T717+U717+V717+W717+X717+Y717+Z717+AA717+AB717+AC717+AD717+AE717+AF717+AG717+AH717</f>
        <v>51682415</v>
      </c>
    </row>
    <row r="718" spans="1:35" ht="15" x14ac:dyDescent="0.25">
      <c r="A718" s="917"/>
      <c r="B718" s="1237"/>
      <c r="C718" s="846"/>
      <c r="D718" s="565"/>
      <c r="E718" s="865"/>
      <c r="F718" s="865"/>
      <c r="G718" s="147"/>
      <c r="H718" s="148"/>
      <c r="I718" s="147"/>
      <c r="J718" s="149"/>
      <c r="K718" s="389"/>
      <c r="L718" s="389"/>
      <c r="M718" s="149"/>
      <c r="N718" s="599"/>
      <c r="O718" s="299"/>
      <c r="P718" s="149"/>
      <c r="Q718" s="150"/>
      <c r="R718" s="150"/>
      <c r="S718" s="150"/>
      <c r="T718" s="150"/>
      <c r="U718" s="150"/>
      <c r="V718" s="150"/>
      <c r="W718" s="150"/>
      <c r="X718" s="150"/>
      <c r="Y718" s="150">
        <f>SUM(Y717)</f>
        <v>0</v>
      </c>
      <c r="Z718" s="150"/>
      <c r="AA718" s="150"/>
      <c r="AB718" s="150"/>
      <c r="AC718" s="150"/>
      <c r="AD718" s="150"/>
      <c r="AE718" s="54">
        <f>SUM(AE717)</f>
        <v>0</v>
      </c>
      <c r="AF718" s="54">
        <f t="shared" ref="AF718" si="68">SUM(AF717)</f>
        <v>51682415</v>
      </c>
      <c r="AG718" s="150"/>
      <c r="AH718" s="150">
        <f>SUM(AH717)</f>
        <v>0</v>
      </c>
      <c r="AI718" s="1005">
        <f>SUM(AI717)</f>
        <v>51682415</v>
      </c>
    </row>
    <row r="719" spans="1:35" ht="24.95" customHeight="1" x14ac:dyDescent="0.25">
      <c r="A719" s="938"/>
      <c r="B719" s="210"/>
      <c r="C719" s="152"/>
      <c r="D719" s="151"/>
      <c r="E719" s="152"/>
      <c r="F719" s="152"/>
      <c r="G719" s="151"/>
      <c r="H719" s="152"/>
      <c r="I719" s="151"/>
      <c r="J719" s="153"/>
      <c r="K719" s="226"/>
      <c r="L719" s="226"/>
      <c r="M719" s="153"/>
      <c r="N719" s="604"/>
      <c r="O719" s="481"/>
      <c r="P719" s="153"/>
      <c r="Q719" s="154"/>
      <c r="R719" s="154"/>
      <c r="S719" s="154"/>
      <c r="T719" s="154"/>
      <c r="U719" s="154"/>
      <c r="V719" s="154"/>
      <c r="W719" s="154"/>
      <c r="X719" s="154"/>
      <c r="Y719" s="154">
        <f>Y718</f>
        <v>0</v>
      </c>
      <c r="Z719" s="154"/>
      <c r="AA719" s="154"/>
      <c r="AB719" s="154"/>
      <c r="AC719" s="154"/>
      <c r="AD719" s="154"/>
      <c r="AE719" s="238">
        <f>AE718</f>
        <v>0</v>
      </c>
      <c r="AF719" s="238">
        <f t="shared" ref="AF719" si="69">AF718</f>
        <v>51682415</v>
      </c>
      <c r="AG719" s="154"/>
      <c r="AH719" s="154">
        <f>AH718</f>
        <v>0</v>
      </c>
      <c r="AI719" s="1006">
        <f>AI718</f>
        <v>51682415</v>
      </c>
    </row>
    <row r="720" spans="1:35" ht="24.95" customHeight="1" x14ac:dyDescent="0.25">
      <c r="A720" s="907"/>
      <c r="B720" s="155"/>
      <c r="C720" s="67"/>
      <c r="D720" s="155"/>
      <c r="E720" s="67"/>
      <c r="F720" s="67"/>
      <c r="G720" s="155"/>
      <c r="H720" s="67"/>
      <c r="I720" s="155"/>
      <c r="J720" s="156"/>
      <c r="K720" s="227"/>
      <c r="L720" s="227"/>
      <c r="M720" s="156"/>
      <c r="N720" s="608"/>
      <c r="O720" s="497"/>
      <c r="P720" s="156"/>
      <c r="Q720" s="157"/>
      <c r="R720" s="157"/>
      <c r="S720" s="157"/>
      <c r="T720" s="157"/>
      <c r="U720" s="157"/>
      <c r="V720" s="157"/>
      <c r="W720" s="157"/>
      <c r="X720" s="157"/>
      <c r="Y720" s="157">
        <f>Y719+Y713+Y701</f>
        <v>0</v>
      </c>
      <c r="Z720" s="157"/>
      <c r="AA720" s="157"/>
      <c r="AB720" s="157"/>
      <c r="AC720" s="157"/>
      <c r="AD720" s="157"/>
      <c r="AE720" s="240">
        <f>AE719+AE713+AE701</f>
        <v>856145078.64999998</v>
      </c>
      <c r="AF720" s="240">
        <f t="shared" ref="AF720" si="70">AF719+AF713+AF701</f>
        <v>2385779738.3599997</v>
      </c>
      <c r="AG720" s="157"/>
      <c r="AH720" s="157">
        <f>AH719+AH713+AH701</f>
        <v>361372708</v>
      </c>
      <c r="AI720" s="1007">
        <f>AI719+AI713+AI701</f>
        <v>3603297525.0100002</v>
      </c>
    </row>
    <row r="721" spans="1:35" s="24" customFormat="1" ht="24.95" customHeight="1" x14ac:dyDescent="0.25">
      <c r="A721" s="909"/>
      <c r="B721" s="158"/>
      <c r="C721" s="159"/>
      <c r="D721" s="158"/>
      <c r="E721" s="159"/>
      <c r="F721" s="159"/>
      <c r="G721" s="158"/>
      <c r="H721" s="159"/>
      <c r="I721" s="158"/>
      <c r="J721" s="160"/>
      <c r="K721" s="228"/>
      <c r="L721" s="228"/>
      <c r="M721" s="160"/>
      <c r="N721" s="609"/>
      <c r="O721" s="457"/>
      <c r="P721" s="160"/>
      <c r="Q721" s="11"/>
      <c r="R721" s="11"/>
      <c r="S721" s="11"/>
      <c r="T721" s="11"/>
      <c r="U721" s="11"/>
      <c r="V721" s="11"/>
      <c r="W721" s="11"/>
      <c r="X721" s="11"/>
      <c r="Y721" s="11">
        <f>Y720</f>
        <v>0</v>
      </c>
      <c r="Z721" s="11"/>
      <c r="AA721" s="11"/>
      <c r="AB721" s="11"/>
      <c r="AC721" s="11"/>
      <c r="AD721" s="11"/>
      <c r="AE721" s="242">
        <f>AE720</f>
        <v>856145078.64999998</v>
      </c>
      <c r="AF721" s="242">
        <f t="shared" ref="AF721" si="71">AF720</f>
        <v>2385779738.3599997</v>
      </c>
      <c r="AG721" s="11"/>
      <c r="AH721" s="11">
        <f>AH720</f>
        <v>361372708</v>
      </c>
      <c r="AI721" s="1008">
        <f>AI720</f>
        <v>3603297525.0100002</v>
      </c>
    </row>
    <row r="722" spans="1:35" s="24" customFormat="1" ht="20.25" x14ac:dyDescent="0.25">
      <c r="A722" s="926"/>
      <c r="B722" s="927"/>
      <c r="C722" s="928"/>
      <c r="D722" s="927"/>
      <c r="E722" s="928"/>
      <c r="F722" s="928"/>
      <c r="G722" s="927"/>
      <c r="H722" s="928"/>
      <c r="I722" s="927"/>
      <c r="J722" s="929"/>
      <c r="K722" s="930"/>
      <c r="L722" s="930"/>
      <c r="M722" s="929"/>
      <c r="N722" s="1009"/>
      <c r="O722" s="1010"/>
      <c r="P722" s="929"/>
      <c r="Q722" s="1011"/>
      <c r="R722" s="1012"/>
      <c r="S722" s="1011"/>
      <c r="T722" s="1011"/>
      <c r="U722" s="1011"/>
      <c r="V722" s="1011"/>
      <c r="W722" s="1011"/>
      <c r="X722" s="1011"/>
      <c r="Y722" s="1011"/>
      <c r="Z722" s="1011"/>
      <c r="AA722" s="1011"/>
      <c r="AB722" s="1011"/>
      <c r="AC722" s="1011"/>
      <c r="AD722" s="1011"/>
      <c r="AE722" s="1011"/>
      <c r="AF722" s="1011"/>
      <c r="AG722" s="1011"/>
      <c r="AH722" s="1012"/>
      <c r="AI722" s="935"/>
    </row>
    <row r="723" spans="1:35" ht="24.95" customHeight="1" x14ac:dyDescent="0.25">
      <c r="A723" s="1013" t="s">
        <v>893</v>
      </c>
      <c r="B723" s="43"/>
      <c r="C723" s="44"/>
      <c r="D723" s="43"/>
      <c r="E723" s="43"/>
      <c r="F723" s="43"/>
      <c r="G723" s="22"/>
      <c r="H723" s="23"/>
      <c r="I723" s="22"/>
      <c r="J723" s="22"/>
      <c r="K723" s="36"/>
      <c r="L723" s="36"/>
      <c r="M723" s="22"/>
      <c r="N723" s="13"/>
      <c r="O723" s="22"/>
      <c r="P723" s="23"/>
      <c r="Q723" s="164"/>
      <c r="R723" s="164"/>
      <c r="S723" s="164"/>
      <c r="T723" s="164"/>
      <c r="U723" s="164"/>
      <c r="V723" s="164"/>
      <c r="W723" s="164"/>
      <c r="X723" s="164"/>
      <c r="Y723" s="164"/>
      <c r="Z723" s="164"/>
      <c r="AA723" s="164"/>
      <c r="AB723" s="164"/>
      <c r="AC723" s="164"/>
      <c r="AD723" s="164"/>
      <c r="AE723" s="165"/>
      <c r="AF723" s="164"/>
      <c r="AG723" s="164"/>
      <c r="AH723" s="164"/>
      <c r="AI723" s="999"/>
    </row>
    <row r="724" spans="1:35" ht="24.95" customHeight="1" x14ac:dyDescent="0.25">
      <c r="A724" s="1014">
        <v>2</v>
      </c>
      <c r="B724" s="1238" t="s">
        <v>119</v>
      </c>
      <c r="C724" s="1238"/>
      <c r="D724" s="1238"/>
      <c r="E724" s="1238"/>
      <c r="F724" s="498"/>
      <c r="G724" s="499"/>
      <c r="H724" s="500"/>
      <c r="I724" s="499"/>
      <c r="J724" s="499"/>
      <c r="K724" s="501"/>
      <c r="L724" s="501"/>
      <c r="M724" s="499"/>
      <c r="N724" s="19"/>
      <c r="O724" s="499"/>
      <c r="P724" s="499"/>
      <c r="Q724" s="502"/>
      <c r="R724" s="502"/>
      <c r="S724" s="502"/>
      <c r="T724" s="502"/>
      <c r="U724" s="502"/>
      <c r="V724" s="502"/>
      <c r="W724" s="502"/>
      <c r="X724" s="502"/>
      <c r="Y724" s="502"/>
      <c r="Z724" s="502"/>
      <c r="AA724" s="502"/>
      <c r="AB724" s="502"/>
      <c r="AC724" s="502"/>
      <c r="AD724" s="502"/>
      <c r="AE724" s="503"/>
      <c r="AF724" s="502"/>
      <c r="AG724" s="502"/>
      <c r="AH724" s="502"/>
      <c r="AI724" s="1015"/>
    </row>
    <row r="725" spans="1:35" ht="24.95" customHeight="1" x14ac:dyDescent="0.25">
      <c r="A725" s="1030"/>
      <c r="B725" s="261">
        <v>4</v>
      </c>
      <c r="C725" s="1239" t="s">
        <v>120</v>
      </c>
      <c r="D725" s="1239"/>
      <c r="E725" s="1239"/>
      <c r="F725" s="1239"/>
      <c r="G725" s="504"/>
      <c r="H725" s="303"/>
      <c r="I725" s="504"/>
      <c r="J725" s="504"/>
      <c r="K725" s="505"/>
      <c r="L725" s="505"/>
      <c r="M725" s="504"/>
      <c r="N725" s="20"/>
      <c r="O725" s="504"/>
      <c r="P725" s="504"/>
      <c r="Q725" s="506"/>
      <c r="R725" s="506"/>
      <c r="S725" s="506"/>
      <c r="T725" s="506"/>
      <c r="U725" s="506"/>
      <c r="V725" s="506"/>
      <c r="W725" s="506"/>
      <c r="X725" s="506"/>
      <c r="Y725" s="506"/>
      <c r="Z725" s="506"/>
      <c r="AA725" s="506"/>
      <c r="AB725" s="506"/>
      <c r="AC725" s="506"/>
      <c r="AD725" s="506"/>
      <c r="AE725" s="507"/>
      <c r="AF725" s="506"/>
      <c r="AG725" s="506"/>
      <c r="AH725" s="506"/>
      <c r="AI725" s="1016"/>
    </row>
    <row r="726" spans="1:35" ht="24.95" customHeight="1" x14ac:dyDescent="0.25">
      <c r="A726" s="917"/>
      <c r="B726" s="436"/>
      <c r="C726" s="869"/>
      <c r="D726" s="436"/>
      <c r="E726" s="436"/>
      <c r="F726" s="436"/>
      <c r="G726" s="336">
        <v>14</v>
      </c>
      <c r="H726" s="88" t="s">
        <v>121</v>
      </c>
      <c r="I726" s="81"/>
      <c r="J726" s="81"/>
      <c r="K726" s="235"/>
      <c r="L726" s="235"/>
      <c r="M726" s="81"/>
      <c r="N726" s="588"/>
      <c r="O726" s="81"/>
      <c r="P726" s="81"/>
      <c r="Q726" s="176"/>
      <c r="R726" s="176"/>
      <c r="S726" s="176"/>
      <c r="T726" s="176"/>
      <c r="U726" s="176"/>
      <c r="V726" s="176"/>
      <c r="W726" s="176"/>
      <c r="X726" s="176"/>
      <c r="Y726" s="176"/>
      <c r="Z726" s="176"/>
      <c r="AA726" s="176"/>
      <c r="AB726" s="176"/>
      <c r="AC726" s="176"/>
      <c r="AD726" s="176"/>
      <c r="AE726" s="177"/>
      <c r="AF726" s="176"/>
      <c r="AG726" s="176"/>
      <c r="AH726" s="176"/>
      <c r="AI726" s="918"/>
    </row>
    <row r="727" spans="1:35" ht="42.75" x14ac:dyDescent="0.25">
      <c r="A727" s="917"/>
      <c r="B727" s="436"/>
      <c r="C727" s="865">
        <v>7</v>
      </c>
      <c r="D727" s="565" t="s">
        <v>894</v>
      </c>
      <c r="E727" s="391">
        <v>0.317</v>
      </c>
      <c r="F727" s="384">
        <v>0.27</v>
      </c>
      <c r="G727" s="6"/>
      <c r="H727" s="244">
        <v>54</v>
      </c>
      <c r="I727" s="565" t="s">
        <v>123</v>
      </c>
      <c r="J727" s="865">
        <v>129.85</v>
      </c>
      <c r="K727" s="222">
        <v>3</v>
      </c>
      <c r="L727" s="222">
        <v>3</v>
      </c>
      <c r="M727" s="865" t="s">
        <v>895</v>
      </c>
      <c r="N727" s="864" t="s">
        <v>896</v>
      </c>
      <c r="O727" s="508" t="s">
        <v>897</v>
      </c>
      <c r="P727" s="865" t="s">
        <v>46</v>
      </c>
      <c r="Q727" s="9"/>
      <c r="R727" s="9"/>
      <c r="S727" s="9"/>
      <c r="T727" s="9"/>
      <c r="U727" s="61"/>
      <c r="V727" s="236"/>
      <c r="W727" s="9"/>
      <c r="X727" s="9"/>
      <c r="Y727" s="9"/>
      <c r="Z727" s="9"/>
      <c r="AA727" s="9"/>
      <c r="AB727" s="9"/>
      <c r="AC727" s="9"/>
      <c r="AD727" s="9"/>
      <c r="AE727" s="249">
        <v>0</v>
      </c>
      <c r="AF727" s="614">
        <f>290660277+23256016</f>
        <v>313916293</v>
      </c>
      <c r="AG727" s="614"/>
      <c r="AH727" s="61"/>
      <c r="AI727" s="901">
        <f>+Q727+R727+S727+T727+U727+V727+W727+X727+Y727+Z727+AA727+AB727+AC727+AD727+AE727+AF727+AG727+AH727</f>
        <v>313916293</v>
      </c>
    </row>
    <row r="728" spans="1:35" ht="15" x14ac:dyDescent="0.25">
      <c r="A728" s="949"/>
      <c r="B728" s="7"/>
      <c r="C728" s="865"/>
      <c r="D728" s="7"/>
      <c r="E728" s="7"/>
      <c r="F728" s="7"/>
      <c r="G728" s="8"/>
      <c r="H728" s="49"/>
      <c r="I728" s="50"/>
      <c r="J728" s="50"/>
      <c r="K728" s="51"/>
      <c r="L728" s="51"/>
      <c r="M728" s="50"/>
      <c r="N728" s="610"/>
      <c r="O728" s="50"/>
      <c r="P728" s="50"/>
      <c r="Q728" s="52"/>
      <c r="R728" s="52"/>
      <c r="S728" s="52"/>
      <c r="T728" s="52"/>
      <c r="U728" s="52"/>
      <c r="V728" s="52"/>
      <c r="W728" s="52"/>
      <c r="X728" s="52"/>
      <c r="Y728" s="52">
        <f>SUM(Y727)</f>
        <v>0</v>
      </c>
      <c r="Z728" s="52"/>
      <c r="AA728" s="52"/>
      <c r="AB728" s="52"/>
      <c r="AC728" s="52"/>
      <c r="AD728" s="52"/>
      <c r="AE728" s="53">
        <f>SUM(AE727)</f>
        <v>0</v>
      </c>
      <c r="AF728" s="54">
        <f>SUM(AF727)</f>
        <v>313916293</v>
      </c>
      <c r="AG728" s="54">
        <f>SUM(AG727)</f>
        <v>0</v>
      </c>
      <c r="AH728" s="54">
        <f>SUM(AH727)</f>
        <v>0</v>
      </c>
      <c r="AI728" s="1017">
        <f>SUM(AI727)</f>
        <v>313916293</v>
      </c>
    </row>
    <row r="729" spans="1:35" x14ac:dyDescent="0.25">
      <c r="A729" s="917"/>
      <c r="B729" s="436"/>
      <c r="C729" s="865"/>
      <c r="D729" s="7"/>
      <c r="E729" s="7"/>
      <c r="F729" s="7"/>
      <c r="G729" s="509"/>
      <c r="H729" s="510"/>
      <c r="I729" s="143"/>
      <c r="J729" s="143"/>
      <c r="K729" s="511"/>
      <c r="L729" s="581"/>
      <c r="M729" s="512"/>
      <c r="N729" s="611"/>
      <c r="O729" s="512"/>
      <c r="P729" s="143"/>
      <c r="Q729" s="513"/>
      <c r="R729" s="513"/>
      <c r="S729" s="513"/>
      <c r="T729" s="513"/>
      <c r="U729" s="513"/>
      <c r="V729" s="513"/>
      <c r="W729" s="513"/>
      <c r="X729" s="513"/>
      <c r="Y729" s="513"/>
      <c r="Z729" s="513"/>
      <c r="AA729" s="513"/>
      <c r="AB729" s="513"/>
      <c r="AC729" s="513"/>
      <c r="AD729" s="513"/>
      <c r="AE729" s="514"/>
      <c r="AF729" s="515"/>
      <c r="AG729" s="515"/>
      <c r="AH729" s="515"/>
      <c r="AI729" s="1018"/>
    </row>
    <row r="730" spans="1:35" x14ac:dyDescent="0.25">
      <c r="A730" s="917"/>
      <c r="B730" s="436"/>
      <c r="C730" s="865"/>
      <c r="D730" s="7"/>
      <c r="E730" s="7"/>
      <c r="F730" s="7"/>
      <c r="G730" s="402">
        <v>15</v>
      </c>
      <c r="H730" s="85" t="s">
        <v>128</v>
      </c>
      <c r="I730" s="81"/>
      <c r="J730" s="81"/>
      <c r="K730" s="235"/>
      <c r="L730" s="579"/>
      <c r="M730" s="271"/>
      <c r="N730" s="594"/>
      <c r="O730" s="271"/>
      <c r="P730" s="81"/>
      <c r="Q730" s="176"/>
      <c r="R730" s="176"/>
      <c r="S730" s="176"/>
      <c r="T730" s="176"/>
      <c r="U730" s="176"/>
      <c r="V730" s="176"/>
      <c r="W730" s="176"/>
      <c r="X730" s="176"/>
      <c r="Y730" s="176"/>
      <c r="Z730" s="176"/>
      <c r="AA730" s="176"/>
      <c r="AB730" s="176"/>
      <c r="AC730" s="176"/>
      <c r="AD730" s="176"/>
      <c r="AE730" s="177"/>
      <c r="AF730" s="516"/>
      <c r="AG730" s="516"/>
      <c r="AH730" s="516"/>
      <c r="AI730" s="992"/>
    </row>
    <row r="731" spans="1:35" ht="42.75" x14ac:dyDescent="0.25">
      <c r="A731" s="917"/>
      <c r="B731" s="436"/>
      <c r="C731" s="865">
        <v>7</v>
      </c>
      <c r="D731" s="565" t="s">
        <v>894</v>
      </c>
      <c r="E731" s="391">
        <v>0.317</v>
      </c>
      <c r="F731" s="384">
        <v>0.27</v>
      </c>
      <c r="G731" s="6"/>
      <c r="H731" s="865">
        <v>59</v>
      </c>
      <c r="I731" s="565" t="s">
        <v>136</v>
      </c>
      <c r="J731" s="865">
        <v>82</v>
      </c>
      <c r="K731" s="269">
        <v>10</v>
      </c>
      <c r="L731" s="790">
        <v>3</v>
      </c>
      <c r="M731" s="789" t="s">
        <v>135</v>
      </c>
      <c r="N731" s="1240" t="s">
        <v>896</v>
      </c>
      <c r="O731" s="1243" t="s">
        <v>897</v>
      </c>
      <c r="P731" s="865" t="s">
        <v>40</v>
      </c>
      <c r="Q731" s="9"/>
      <c r="R731" s="9"/>
      <c r="S731" s="9">
        <v>573181075</v>
      </c>
      <c r="T731" s="9"/>
      <c r="U731" s="9"/>
      <c r="V731" s="9"/>
      <c r="W731" s="9"/>
      <c r="X731" s="9"/>
      <c r="Y731" s="9"/>
      <c r="Z731" s="9"/>
      <c r="AA731" s="9"/>
      <c r="AB731" s="9"/>
      <c r="AC731" s="9"/>
      <c r="AD731" s="9"/>
      <c r="AE731" s="249">
        <v>0</v>
      </c>
      <c r="AF731" s="253"/>
      <c r="AG731" s="253"/>
      <c r="AH731" s="61"/>
      <c r="AI731" s="901">
        <f>+Q731+R731+S731+T731+U731+V731+W731+X731+Y731+Z731+AA731+AB731+AC731+AD731+AE731+AF731+AG731+AH731</f>
        <v>573181075</v>
      </c>
    </row>
    <row r="732" spans="1:35" ht="28.5" x14ac:dyDescent="0.25">
      <c r="A732" s="917"/>
      <c r="B732" s="436"/>
      <c r="C732" s="865">
        <v>7</v>
      </c>
      <c r="D732" s="565" t="s">
        <v>894</v>
      </c>
      <c r="E732" s="391">
        <v>0.317</v>
      </c>
      <c r="F732" s="384">
        <v>0.27</v>
      </c>
      <c r="G732" s="6"/>
      <c r="H732" s="865">
        <v>57</v>
      </c>
      <c r="I732" s="565" t="s">
        <v>130</v>
      </c>
      <c r="J732" s="865">
        <v>103</v>
      </c>
      <c r="K732" s="269">
        <v>10</v>
      </c>
      <c r="L732" s="790">
        <v>4</v>
      </c>
      <c r="M732" s="789" t="s">
        <v>131</v>
      </c>
      <c r="N732" s="1241"/>
      <c r="O732" s="1244"/>
      <c r="P732" s="865" t="s">
        <v>40</v>
      </c>
      <c r="Q732" s="9"/>
      <c r="R732" s="9"/>
      <c r="S732" s="9">
        <v>573181075</v>
      </c>
      <c r="T732" s="9"/>
      <c r="U732" s="9"/>
      <c r="V732" s="9"/>
      <c r="W732" s="9"/>
      <c r="X732" s="9"/>
      <c r="Y732" s="9"/>
      <c r="Z732" s="9"/>
      <c r="AA732" s="9"/>
      <c r="AB732" s="9"/>
      <c r="AC732" s="9"/>
      <c r="AD732" s="9"/>
      <c r="AE732" s="249"/>
      <c r="AF732" s="61"/>
      <c r="AG732" s="61"/>
      <c r="AH732" s="252"/>
      <c r="AI732" s="901">
        <f>+Q732+R732+S732+T732+U732+V732+W732+X732+Y732+Z732+AA732+AB732+AC732+AD732+AE732+AF732+AG732+AH732</f>
        <v>573181075</v>
      </c>
    </row>
    <row r="733" spans="1:35" ht="42.75" x14ac:dyDescent="0.25">
      <c r="A733" s="917"/>
      <c r="B733" s="436"/>
      <c r="C733" s="865">
        <v>7</v>
      </c>
      <c r="D733" s="565" t="s">
        <v>894</v>
      </c>
      <c r="E733" s="391">
        <v>0.317</v>
      </c>
      <c r="F733" s="384">
        <v>0.27</v>
      </c>
      <c r="G733" s="6"/>
      <c r="H733" s="865">
        <v>60</v>
      </c>
      <c r="I733" s="565" t="s">
        <v>137</v>
      </c>
      <c r="J733" s="865">
        <v>9</v>
      </c>
      <c r="K733" s="269">
        <v>10</v>
      </c>
      <c r="L733" s="790">
        <v>4</v>
      </c>
      <c r="M733" s="789" t="s">
        <v>135</v>
      </c>
      <c r="N733" s="1241"/>
      <c r="O733" s="1244"/>
      <c r="P733" s="865" t="s">
        <v>40</v>
      </c>
      <c r="Q733" s="9"/>
      <c r="R733" s="9"/>
      <c r="S733" s="245"/>
      <c r="T733" s="9"/>
      <c r="U733" s="9"/>
      <c r="V733" s="9"/>
      <c r="W733" s="9"/>
      <c r="X733" s="9"/>
      <c r="Y733" s="9"/>
      <c r="Z733" s="9"/>
      <c r="AA733" s="9"/>
      <c r="AB733" s="9"/>
      <c r="AC733" s="9"/>
      <c r="AD733" s="9"/>
      <c r="AE733" s="249">
        <v>0</v>
      </c>
      <c r="AF733" s="547">
        <f>290660276+23000000+281660276</f>
        <v>595320552</v>
      </c>
      <c r="AG733" s="61"/>
      <c r="AH733" s="61"/>
      <c r="AI733" s="901">
        <f>+Q733+R733+S733+T733+U733+V733+W733+X733+Y733+Z733+AA733+AB733+AC733+AD733+AE733+AF733+AG733+AH733</f>
        <v>595320552</v>
      </c>
    </row>
    <row r="734" spans="1:35" ht="28.5" x14ac:dyDescent="0.25">
      <c r="A734" s="917"/>
      <c r="B734" s="436"/>
      <c r="C734" s="865">
        <v>7</v>
      </c>
      <c r="D734" s="565" t="s">
        <v>894</v>
      </c>
      <c r="E734" s="391">
        <v>0.317</v>
      </c>
      <c r="F734" s="384">
        <v>0.27</v>
      </c>
      <c r="G734" s="6"/>
      <c r="H734" s="865">
        <v>63</v>
      </c>
      <c r="I734" s="565" t="s">
        <v>139</v>
      </c>
      <c r="J734" s="865" t="s">
        <v>36</v>
      </c>
      <c r="K734" s="269">
        <v>250</v>
      </c>
      <c r="L734" s="790">
        <v>198</v>
      </c>
      <c r="M734" s="789" t="s">
        <v>140</v>
      </c>
      <c r="N734" s="1242"/>
      <c r="O734" s="1245"/>
      <c r="P734" s="865" t="s">
        <v>40</v>
      </c>
      <c r="Q734" s="9"/>
      <c r="R734" s="9"/>
      <c r="S734" s="9">
        <v>573181075</v>
      </c>
      <c r="T734" s="9"/>
      <c r="U734" s="9"/>
      <c r="V734" s="9"/>
      <c r="W734" s="9"/>
      <c r="X734" s="9"/>
      <c r="Y734" s="9"/>
      <c r="Z734" s="9"/>
      <c r="AA734" s="9"/>
      <c r="AB734" s="9"/>
      <c r="AC734" s="9"/>
      <c r="AD734" s="268"/>
      <c r="AE734" s="517"/>
      <c r="AF734" s="547">
        <f>290660276-281660276</f>
        <v>9000000</v>
      </c>
      <c r="AG734" s="61"/>
      <c r="AH734" s="61"/>
      <c r="AI734" s="901">
        <f>+Q734+R734+S734+T734+U734+V734+W734+X734+Y734+Z734+AA734+AB734+AC734+AD734+AE734+AF734+AG734+AH734</f>
        <v>582181075</v>
      </c>
    </row>
    <row r="735" spans="1:35" ht="24.95" customHeight="1" x14ac:dyDescent="0.25">
      <c r="A735" s="1031"/>
      <c r="B735" s="436"/>
      <c r="C735" s="865"/>
      <c r="D735" s="565"/>
      <c r="E735" s="865"/>
      <c r="F735" s="865"/>
      <c r="G735" s="8"/>
      <c r="H735" s="148"/>
      <c r="I735" s="147"/>
      <c r="J735" s="148"/>
      <c r="K735" s="247"/>
      <c r="L735" s="580"/>
      <c r="M735" s="407"/>
      <c r="N735" s="584"/>
      <c r="O735" s="147"/>
      <c r="P735" s="148"/>
      <c r="Q735" s="150"/>
      <c r="R735" s="150"/>
      <c r="S735" s="150">
        <f>SUM(S731:S734)</f>
        <v>1719543225</v>
      </c>
      <c r="T735" s="150"/>
      <c r="U735" s="150"/>
      <c r="V735" s="150"/>
      <c r="W735" s="150"/>
      <c r="X735" s="150"/>
      <c r="Y735" s="150">
        <f>SUM(Y731:Y734)</f>
        <v>0</v>
      </c>
      <c r="Z735" s="150"/>
      <c r="AA735" s="150"/>
      <c r="AB735" s="150"/>
      <c r="AC735" s="150"/>
      <c r="AD735" s="150"/>
      <c r="AE735" s="150">
        <f>SUM(AE731:AE734)</f>
        <v>0</v>
      </c>
      <c r="AF735" s="150">
        <f>SUM(AF731:AF734)</f>
        <v>604320552</v>
      </c>
      <c r="AG735" s="150"/>
      <c r="AH735" s="150"/>
      <c r="AI735" s="904">
        <f>SUM(AI731:AI734)</f>
        <v>2323863777</v>
      </c>
    </row>
    <row r="736" spans="1:35" ht="24.95" customHeight="1" x14ac:dyDescent="0.25">
      <c r="A736" s="1032"/>
      <c r="B736" s="151"/>
      <c r="C736" s="152"/>
      <c r="D736" s="151"/>
      <c r="E736" s="152"/>
      <c r="F736" s="152"/>
      <c r="G736" s="210"/>
      <c r="H736" s="152"/>
      <c r="I736" s="151"/>
      <c r="J736" s="152"/>
      <c r="K736" s="257"/>
      <c r="L736" s="257"/>
      <c r="M736" s="152"/>
      <c r="N736" s="585"/>
      <c r="O736" s="151"/>
      <c r="P736" s="152"/>
      <c r="Q736" s="154"/>
      <c r="R736" s="154"/>
      <c r="S736" s="154">
        <f>S735</f>
        <v>1719543225</v>
      </c>
      <c r="T736" s="154"/>
      <c r="U736" s="154"/>
      <c r="V736" s="154"/>
      <c r="W736" s="154"/>
      <c r="X736" s="154"/>
      <c r="Y736" s="154"/>
      <c r="Z736" s="154"/>
      <c r="AA736" s="154"/>
      <c r="AB736" s="154"/>
      <c r="AC736" s="154"/>
      <c r="AD736" s="154"/>
      <c r="AE736" s="154">
        <f>AE735+AE728</f>
        <v>0</v>
      </c>
      <c r="AF736" s="154">
        <f>AF735+AF728</f>
        <v>918236845</v>
      </c>
      <c r="AG736" s="154"/>
      <c r="AH736" s="154"/>
      <c r="AI736" s="906">
        <f>AI735+AI728</f>
        <v>2637780070</v>
      </c>
    </row>
    <row r="737" spans="1:35" ht="24.95" customHeight="1" x14ac:dyDescent="0.25">
      <c r="A737" s="907"/>
      <c r="B737" s="155"/>
      <c r="C737" s="67"/>
      <c r="D737" s="155"/>
      <c r="E737" s="67"/>
      <c r="F737" s="67"/>
      <c r="G737" s="258"/>
      <c r="H737" s="67"/>
      <c r="I737" s="155"/>
      <c r="J737" s="67"/>
      <c r="K737" s="259"/>
      <c r="L737" s="259"/>
      <c r="M737" s="67"/>
      <c r="N737" s="586"/>
      <c r="O737" s="155"/>
      <c r="P737" s="67"/>
      <c r="Q737" s="157"/>
      <c r="R737" s="157"/>
      <c r="S737" s="157">
        <f>S736</f>
        <v>1719543225</v>
      </c>
      <c r="T737" s="157"/>
      <c r="U737" s="157"/>
      <c r="V737" s="157"/>
      <c r="W737" s="157"/>
      <c r="X737" s="157"/>
      <c r="Y737" s="157"/>
      <c r="Z737" s="157"/>
      <c r="AA737" s="157"/>
      <c r="AB737" s="157"/>
      <c r="AC737" s="157"/>
      <c r="AD737" s="157"/>
      <c r="AE737" s="157">
        <f>AE736</f>
        <v>0</v>
      </c>
      <c r="AF737" s="157">
        <f>AF736</f>
        <v>918236845</v>
      </c>
      <c r="AG737" s="157"/>
      <c r="AH737" s="157"/>
      <c r="AI737" s="908">
        <f t="shared" ref="AI737:AI738" si="72">AI736</f>
        <v>2637780070</v>
      </c>
    </row>
    <row r="738" spans="1:35" ht="24.95" customHeight="1" x14ac:dyDescent="0.25">
      <c r="A738" s="909"/>
      <c r="B738" s="158"/>
      <c r="C738" s="159"/>
      <c r="D738" s="158"/>
      <c r="E738" s="159"/>
      <c r="F738" s="159"/>
      <c r="G738" s="518"/>
      <c r="H738" s="159"/>
      <c r="I738" s="158"/>
      <c r="J738" s="159"/>
      <c r="K738" s="478"/>
      <c r="L738" s="478"/>
      <c r="M738" s="159"/>
      <c r="N738" s="587"/>
      <c r="O738" s="158"/>
      <c r="P738" s="159"/>
      <c r="Q738" s="11"/>
      <c r="R738" s="11"/>
      <c r="S738" s="11">
        <f>S737</f>
        <v>1719543225</v>
      </c>
      <c r="T738" s="11"/>
      <c r="U738" s="11"/>
      <c r="V738" s="11"/>
      <c r="W738" s="11"/>
      <c r="X738" s="11"/>
      <c r="Y738" s="11"/>
      <c r="Z738" s="11"/>
      <c r="AA738" s="11"/>
      <c r="AB738" s="11"/>
      <c r="AC738" s="11"/>
      <c r="AD738" s="11"/>
      <c r="AE738" s="11">
        <f>AE737</f>
        <v>0</v>
      </c>
      <c r="AF738" s="11">
        <f>AF737</f>
        <v>918236845</v>
      </c>
      <c r="AG738" s="11"/>
      <c r="AH738" s="11"/>
      <c r="AI738" s="910">
        <f t="shared" si="72"/>
        <v>2637780070</v>
      </c>
    </row>
    <row r="739" spans="1:35" s="74" customFormat="1" ht="20.25" customHeight="1" x14ac:dyDescent="0.25">
      <c r="A739" s="1204" t="s">
        <v>898</v>
      </c>
      <c r="B739" s="1205"/>
      <c r="C739" s="1205"/>
      <c r="D739" s="1205"/>
      <c r="E739" s="1205"/>
      <c r="F739" s="1205"/>
      <c r="G739" s="1205"/>
      <c r="H739" s="1205"/>
      <c r="I739" s="1205"/>
      <c r="J739" s="1205"/>
      <c r="K739" s="1205"/>
      <c r="L739" s="1205"/>
      <c r="M739" s="1205"/>
      <c r="N739" s="1205"/>
      <c r="O739" s="1205"/>
      <c r="P739" s="1019"/>
      <c r="Q739" s="933"/>
      <c r="R739" s="933"/>
      <c r="S739" s="933"/>
      <c r="T739" s="933"/>
      <c r="U739" s="933"/>
      <c r="V739" s="933"/>
      <c r="W739" s="933"/>
      <c r="X739" s="933"/>
      <c r="Y739" s="933"/>
      <c r="Z739" s="933"/>
      <c r="AA739" s="933"/>
      <c r="AB739" s="933"/>
      <c r="AC739" s="933"/>
      <c r="AD739" s="933"/>
      <c r="AE739" s="1020"/>
      <c r="AF739" s="933"/>
      <c r="AG739" s="933"/>
      <c r="AH739" s="933"/>
      <c r="AI739" s="1021"/>
    </row>
    <row r="740" spans="1:35" s="74" customFormat="1" ht="12.75" customHeight="1" x14ac:dyDescent="0.25">
      <c r="A740" s="1022"/>
      <c r="B740" s="879"/>
      <c r="C740" s="880"/>
      <c r="D740" s="879"/>
      <c r="E740" s="880"/>
      <c r="F740" s="880"/>
      <c r="G740" s="1023"/>
      <c r="H740" s="1019"/>
      <c r="I740" s="1023"/>
      <c r="J740" s="1019"/>
      <c r="K740" s="1024"/>
      <c r="L740" s="1024"/>
      <c r="M740" s="1019"/>
      <c r="N740" s="1025"/>
      <c r="O740" s="1023"/>
      <c r="P740" s="1019"/>
      <c r="Q740" s="933"/>
      <c r="R740" s="933"/>
      <c r="S740" s="933"/>
      <c r="T740" s="933"/>
      <c r="U740" s="933"/>
      <c r="V740" s="933"/>
      <c r="W740" s="933"/>
      <c r="X740" s="933"/>
      <c r="Y740" s="933"/>
      <c r="Z740" s="933"/>
      <c r="AA740" s="933"/>
      <c r="AB740" s="933"/>
      <c r="AC740" s="933"/>
      <c r="AD740" s="933"/>
      <c r="AE740" s="1020"/>
      <c r="AF740" s="933"/>
      <c r="AG740" s="933"/>
      <c r="AH740" s="933"/>
      <c r="AI740" s="1026"/>
    </row>
    <row r="741" spans="1:35" ht="24.95" customHeight="1" x14ac:dyDescent="0.25">
      <c r="A741" s="1013" t="s">
        <v>899</v>
      </c>
      <c r="B741" s="43"/>
      <c r="C741" s="44"/>
      <c r="D741" s="43"/>
      <c r="E741" s="43"/>
      <c r="F741" s="43"/>
      <c r="G741" s="22"/>
      <c r="H741" s="23"/>
      <c r="I741" s="22"/>
      <c r="J741" s="22"/>
      <c r="K741" s="36"/>
      <c r="L741" s="36"/>
      <c r="M741" s="22"/>
      <c r="N741" s="13"/>
      <c r="O741" s="22"/>
      <c r="P741" s="23"/>
      <c r="Q741" s="164"/>
      <c r="R741" s="164"/>
      <c r="S741" s="164"/>
      <c r="T741" s="164"/>
      <c r="U741" s="164"/>
      <c r="V741" s="164"/>
      <c r="W741" s="164"/>
      <c r="X741" s="164"/>
      <c r="Y741" s="164"/>
      <c r="Z741" s="164"/>
      <c r="AA741" s="164"/>
      <c r="AB741" s="164"/>
      <c r="AC741" s="164"/>
      <c r="AD741" s="164"/>
      <c r="AE741" s="165"/>
      <c r="AF741" s="164"/>
      <c r="AG741" s="164"/>
      <c r="AH741" s="164"/>
      <c r="AI741" s="999"/>
    </row>
    <row r="742" spans="1:35" ht="24.95" customHeight="1" x14ac:dyDescent="0.25">
      <c r="A742" s="1014">
        <v>4</v>
      </c>
      <c r="B742" s="89" t="s">
        <v>900</v>
      </c>
      <c r="C742" s="329"/>
      <c r="D742" s="89"/>
      <c r="E742" s="89"/>
      <c r="F742" s="498"/>
      <c r="G742" s="499"/>
      <c r="H742" s="500"/>
      <c r="I742" s="499"/>
      <c r="J742" s="499"/>
      <c r="K742" s="501"/>
      <c r="L742" s="501"/>
      <c r="M742" s="499"/>
      <c r="N742" s="19"/>
      <c r="O742" s="499"/>
      <c r="P742" s="499"/>
      <c r="Q742" s="502"/>
      <c r="R742" s="502"/>
      <c r="S742" s="502"/>
      <c r="T742" s="502"/>
      <c r="U742" s="502"/>
      <c r="V742" s="502"/>
      <c r="W742" s="502"/>
      <c r="X742" s="502"/>
      <c r="Y742" s="502"/>
      <c r="Z742" s="502"/>
      <c r="AA742" s="502"/>
      <c r="AB742" s="502"/>
      <c r="AC742" s="502"/>
      <c r="AD742" s="502"/>
      <c r="AE742" s="503"/>
      <c r="AF742" s="502"/>
      <c r="AG742" s="502"/>
      <c r="AH742" s="502"/>
      <c r="AI742" s="1015"/>
    </row>
    <row r="743" spans="1:35" ht="24.95" customHeight="1" x14ac:dyDescent="0.25">
      <c r="A743" s="915"/>
      <c r="B743" s="217">
        <v>23</v>
      </c>
      <c r="C743" s="90" t="s">
        <v>167</v>
      </c>
      <c r="D743" s="520"/>
      <c r="E743" s="520"/>
      <c r="F743" s="520"/>
      <c r="G743" s="87"/>
      <c r="H743" s="838"/>
      <c r="I743" s="87"/>
      <c r="J743" s="87"/>
      <c r="K743" s="233"/>
      <c r="L743" s="233"/>
      <c r="M743" s="504"/>
      <c r="N743" s="20"/>
      <c r="O743" s="504"/>
      <c r="P743" s="504"/>
      <c r="Q743" s="506"/>
      <c r="R743" s="506"/>
      <c r="S743" s="506"/>
      <c r="T743" s="506"/>
      <c r="U743" s="506"/>
      <c r="V743" s="506"/>
      <c r="W743" s="506"/>
      <c r="X743" s="506"/>
      <c r="Y743" s="506"/>
      <c r="Z743" s="506"/>
      <c r="AA743" s="506"/>
      <c r="AB743" s="506"/>
      <c r="AC743" s="506"/>
      <c r="AD743" s="506"/>
      <c r="AE743" s="507"/>
      <c r="AF743" s="506"/>
      <c r="AG743" s="506"/>
      <c r="AH743" s="506"/>
      <c r="AI743" s="1016"/>
    </row>
    <row r="744" spans="1:35" ht="24.95" customHeight="1" x14ac:dyDescent="0.25">
      <c r="A744" s="917"/>
      <c r="B744" s="1033"/>
      <c r="C744" s="865"/>
      <c r="D744" s="565"/>
      <c r="E744" s="865"/>
      <c r="F744" s="865"/>
      <c r="G744" s="336">
        <v>77</v>
      </c>
      <c r="H744" s="78" t="s">
        <v>901</v>
      </c>
      <c r="I744" s="81"/>
      <c r="J744" s="81"/>
      <c r="K744" s="235"/>
      <c r="L744" s="235"/>
      <c r="M744" s="81"/>
      <c r="N744" s="588"/>
      <c r="O744" s="81"/>
      <c r="P744" s="81"/>
      <c r="Q744" s="176"/>
      <c r="R744" s="176"/>
      <c r="S744" s="176"/>
      <c r="T744" s="176"/>
      <c r="U744" s="176"/>
      <c r="V744" s="176"/>
      <c r="W744" s="176"/>
      <c r="X744" s="176"/>
      <c r="Y744" s="176"/>
      <c r="Z744" s="176"/>
      <c r="AA744" s="176"/>
      <c r="AB744" s="176"/>
      <c r="AC744" s="176"/>
      <c r="AD744" s="176"/>
      <c r="AE744" s="177"/>
      <c r="AF744" s="176"/>
      <c r="AG744" s="176"/>
      <c r="AH744" s="176"/>
      <c r="AI744" s="992"/>
    </row>
    <row r="745" spans="1:35" ht="36.75" customHeight="1" x14ac:dyDescent="0.25">
      <c r="A745" s="917"/>
      <c r="B745" s="872"/>
      <c r="C745" s="1233">
        <v>11</v>
      </c>
      <c r="D745" s="1234" t="s">
        <v>902</v>
      </c>
      <c r="E745" s="1234" t="s">
        <v>903</v>
      </c>
      <c r="F745" s="1160" t="s">
        <v>904</v>
      </c>
      <c r="G745" s="353"/>
      <c r="H745" s="865">
        <v>223</v>
      </c>
      <c r="I745" s="565" t="s">
        <v>905</v>
      </c>
      <c r="J745" s="1" t="s">
        <v>36</v>
      </c>
      <c r="K745" s="59">
        <v>1</v>
      </c>
      <c r="L745" s="774">
        <v>0.75</v>
      </c>
      <c r="M745" s="1" t="s">
        <v>124</v>
      </c>
      <c r="N745" s="1208" t="s">
        <v>906</v>
      </c>
      <c r="O745" s="1099" t="s">
        <v>907</v>
      </c>
      <c r="P745" s="865" t="s">
        <v>46</v>
      </c>
      <c r="Q745" s="9"/>
      <c r="R745" s="9"/>
      <c r="S745" s="9"/>
      <c r="T745" s="9"/>
      <c r="U745" s="9"/>
      <c r="V745" s="9"/>
      <c r="W745" s="9"/>
      <c r="X745" s="9"/>
      <c r="Y745" s="9"/>
      <c r="Z745" s="9"/>
      <c r="AA745" s="9"/>
      <c r="AB745" s="9"/>
      <c r="AC745" s="9"/>
      <c r="AD745" s="9"/>
      <c r="AE745" s="249">
        <f>290000000+186000000</f>
        <v>476000000</v>
      </c>
      <c r="AF745" s="236">
        <v>100000000</v>
      </c>
      <c r="AG745" s="236"/>
      <c r="AH745" s="61"/>
      <c r="AI745" s="901">
        <f>+Q745+R745+S745+T745+U745+V745+W745+X745+Y745+Z745+AA745+AB745+AC745+AD745+AE745+AF745+AG745+AH745</f>
        <v>576000000</v>
      </c>
    </row>
    <row r="746" spans="1:35" ht="36.75" customHeight="1" x14ac:dyDescent="0.25">
      <c r="A746" s="917"/>
      <c r="B746" s="872"/>
      <c r="C746" s="1233"/>
      <c r="D746" s="1234"/>
      <c r="E746" s="1234"/>
      <c r="F746" s="1161"/>
      <c r="G746" s="6"/>
      <c r="H746" s="865">
        <v>224</v>
      </c>
      <c r="I746" s="565" t="s">
        <v>908</v>
      </c>
      <c r="J746" s="1">
        <v>0</v>
      </c>
      <c r="K746" s="59">
        <v>1</v>
      </c>
      <c r="L746" s="774">
        <v>0.61</v>
      </c>
      <c r="M746" s="1" t="s">
        <v>124</v>
      </c>
      <c r="N746" s="1209"/>
      <c r="O746" s="1100"/>
      <c r="P746" s="865" t="s">
        <v>46</v>
      </c>
      <c r="Q746" s="9"/>
      <c r="R746" s="9"/>
      <c r="S746" s="9"/>
      <c r="T746" s="9"/>
      <c r="U746" s="9"/>
      <c r="V746" s="9"/>
      <c r="W746" s="9"/>
      <c r="X746" s="9"/>
      <c r="Y746" s="9"/>
      <c r="Z746" s="9"/>
      <c r="AA746" s="9"/>
      <c r="AB746" s="9"/>
      <c r="AC746" s="9"/>
      <c r="AD746" s="9"/>
      <c r="AE746" s="249">
        <f>800000+14000000</f>
        <v>14800000</v>
      </c>
      <c r="AF746" s="236">
        <v>6200000</v>
      </c>
      <c r="AG746" s="236"/>
      <c r="AH746" s="61"/>
      <c r="AI746" s="901">
        <f>+Q746+R746+S746+T746+U746+V746+W746+X746+Y746+Z746+AA746+AB746+AC746+AD746+AE746+AF746+AG746+AH746</f>
        <v>21000000</v>
      </c>
    </row>
    <row r="747" spans="1:35" ht="36.75" customHeight="1" x14ac:dyDescent="0.25">
      <c r="A747" s="917"/>
      <c r="B747" s="872"/>
      <c r="C747" s="1233"/>
      <c r="D747" s="1234"/>
      <c r="E747" s="1234"/>
      <c r="F747" s="1162"/>
      <c r="G747" s="354"/>
      <c r="H747" s="865">
        <v>225</v>
      </c>
      <c r="I747" s="565" t="s">
        <v>909</v>
      </c>
      <c r="J747" s="1">
        <v>0</v>
      </c>
      <c r="K747" s="59">
        <v>1</v>
      </c>
      <c r="L747" s="774">
        <v>0.83</v>
      </c>
      <c r="M747" s="1" t="s">
        <v>124</v>
      </c>
      <c r="N747" s="1210"/>
      <c r="O747" s="1148"/>
      <c r="P747" s="865" t="s">
        <v>46</v>
      </c>
      <c r="Q747" s="9"/>
      <c r="R747" s="9"/>
      <c r="S747" s="9"/>
      <c r="T747" s="9"/>
      <c r="U747" s="9"/>
      <c r="V747" s="9"/>
      <c r="W747" s="9"/>
      <c r="X747" s="9"/>
      <c r="Y747" s="9"/>
      <c r="Z747" s="9"/>
      <c r="AA747" s="9"/>
      <c r="AB747" s="9"/>
      <c r="AC747" s="9"/>
      <c r="AD747" s="9"/>
      <c r="AE747" s="249">
        <v>9200000</v>
      </c>
      <c r="AF747" s="236">
        <v>800000</v>
      </c>
      <c r="AG747" s="236"/>
      <c r="AH747" s="61"/>
      <c r="AI747" s="901">
        <f>+Q747+R747+S747+T747+U747+V747+W747+X747+Y747+Z747+AA747+AB747+AC747+AD747+AE747+AF747+AG747+AH747</f>
        <v>10000000</v>
      </c>
    </row>
    <row r="748" spans="1:35" ht="24.95" customHeight="1" x14ac:dyDescent="0.25">
      <c r="A748" s="917"/>
      <c r="B748" s="1034"/>
      <c r="C748" s="865"/>
      <c r="D748" s="565"/>
      <c r="E748" s="865"/>
      <c r="F748" s="865"/>
      <c r="G748" s="8"/>
      <c r="H748" s="148"/>
      <c r="I748" s="147"/>
      <c r="J748" s="149"/>
      <c r="K748" s="389"/>
      <c r="L748" s="389"/>
      <c r="M748" s="149"/>
      <c r="N748" s="584"/>
      <c r="O748" s="147"/>
      <c r="P748" s="148"/>
      <c r="Q748" s="150"/>
      <c r="R748" s="150"/>
      <c r="S748" s="150"/>
      <c r="T748" s="150"/>
      <c r="U748" s="150"/>
      <c r="V748" s="150"/>
      <c r="W748" s="150"/>
      <c r="X748" s="150"/>
      <c r="Y748" s="150"/>
      <c r="Z748" s="150"/>
      <c r="AA748" s="150"/>
      <c r="AB748" s="150"/>
      <c r="AC748" s="150"/>
      <c r="AD748" s="150"/>
      <c r="AE748" s="150">
        <f>SUM(AE745:AE747)</f>
        <v>500000000</v>
      </c>
      <c r="AF748" s="150">
        <f>SUM(AF745:AF747)</f>
        <v>107000000</v>
      </c>
      <c r="AG748" s="150">
        <f>SUM(AG745:AG747)</f>
        <v>0</v>
      </c>
      <c r="AH748" s="150"/>
      <c r="AI748" s="904">
        <f>SUM(AI745:AI747)</f>
        <v>607000000</v>
      </c>
    </row>
    <row r="749" spans="1:35" ht="24.95" customHeight="1" x14ac:dyDescent="0.25">
      <c r="A749" s="938"/>
      <c r="B749" s="523"/>
      <c r="C749" s="522"/>
      <c r="D749" s="521"/>
      <c r="E749" s="522"/>
      <c r="F749" s="522"/>
      <c r="G749" s="523"/>
      <c r="H749" s="522"/>
      <c r="I749" s="521"/>
      <c r="J749" s="524"/>
      <c r="K749" s="525"/>
      <c r="L749" s="525"/>
      <c r="M749" s="524"/>
      <c r="N749" s="612"/>
      <c r="O749" s="521"/>
      <c r="P749" s="522"/>
      <c r="Q749" s="526"/>
      <c r="R749" s="526"/>
      <c r="S749" s="526"/>
      <c r="T749" s="526"/>
      <c r="U749" s="526"/>
      <c r="V749" s="526"/>
      <c r="W749" s="526"/>
      <c r="X749" s="526"/>
      <c r="Y749" s="526"/>
      <c r="Z749" s="526"/>
      <c r="AA749" s="526"/>
      <c r="AB749" s="526"/>
      <c r="AC749" s="526"/>
      <c r="AD749" s="526"/>
      <c r="AE749" s="526">
        <f>+AE748</f>
        <v>500000000</v>
      </c>
      <c r="AF749" s="526">
        <f t="shared" ref="AF749:AG751" si="73">+AF748</f>
        <v>107000000</v>
      </c>
      <c r="AG749" s="526">
        <f t="shared" si="73"/>
        <v>0</v>
      </c>
      <c r="AH749" s="526"/>
      <c r="AI749" s="1027">
        <f t="shared" ref="AI749:AI751" si="74">AI748</f>
        <v>607000000</v>
      </c>
    </row>
    <row r="750" spans="1:35" ht="24.95" customHeight="1" x14ac:dyDescent="0.25">
      <c r="A750" s="907"/>
      <c r="B750" s="155"/>
      <c r="C750" s="67"/>
      <c r="D750" s="155"/>
      <c r="E750" s="67"/>
      <c r="F750" s="67"/>
      <c r="G750" s="258"/>
      <c r="H750" s="67"/>
      <c r="I750" s="155"/>
      <c r="J750" s="156"/>
      <c r="K750" s="227"/>
      <c r="L750" s="227"/>
      <c r="M750" s="156"/>
      <c r="N750" s="586"/>
      <c r="O750" s="155"/>
      <c r="P750" s="67"/>
      <c r="Q750" s="157"/>
      <c r="R750" s="157"/>
      <c r="S750" s="157"/>
      <c r="T750" s="157"/>
      <c r="U750" s="157"/>
      <c r="V750" s="157"/>
      <c r="W750" s="157"/>
      <c r="X750" s="157"/>
      <c r="Y750" s="157"/>
      <c r="Z750" s="157"/>
      <c r="AA750" s="157"/>
      <c r="AB750" s="157"/>
      <c r="AC750" s="157"/>
      <c r="AD750" s="157"/>
      <c r="AE750" s="157">
        <f>+AE749</f>
        <v>500000000</v>
      </c>
      <c r="AF750" s="157">
        <f t="shared" si="73"/>
        <v>107000000</v>
      </c>
      <c r="AG750" s="157">
        <f t="shared" si="73"/>
        <v>0</v>
      </c>
      <c r="AH750" s="157"/>
      <c r="AI750" s="908">
        <f t="shared" si="74"/>
        <v>607000000</v>
      </c>
    </row>
    <row r="751" spans="1:35" ht="24.95" customHeight="1" x14ac:dyDescent="0.25">
      <c r="A751" s="909"/>
      <c r="B751" s="158"/>
      <c r="C751" s="159"/>
      <c r="D751" s="158"/>
      <c r="E751" s="159"/>
      <c r="F751" s="159"/>
      <c r="G751" s="518"/>
      <c r="H751" s="159"/>
      <c r="I751" s="158"/>
      <c r="J751" s="160"/>
      <c r="K751" s="228"/>
      <c r="L751" s="228"/>
      <c r="M751" s="160"/>
      <c r="N751" s="587"/>
      <c r="O751" s="158"/>
      <c r="P751" s="159"/>
      <c r="Q751" s="11"/>
      <c r="R751" s="11"/>
      <c r="S751" s="11"/>
      <c r="T751" s="11"/>
      <c r="U751" s="11"/>
      <c r="V751" s="11"/>
      <c r="W751" s="11"/>
      <c r="X751" s="11"/>
      <c r="Y751" s="11"/>
      <c r="Z751" s="11"/>
      <c r="AA751" s="11"/>
      <c r="AB751" s="11"/>
      <c r="AC751" s="11"/>
      <c r="AD751" s="11"/>
      <c r="AE751" s="11">
        <f>+AE750</f>
        <v>500000000</v>
      </c>
      <c r="AF751" s="11">
        <f t="shared" si="73"/>
        <v>107000000</v>
      </c>
      <c r="AG751" s="11">
        <f t="shared" si="73"/>
        <v>0</v>
      </c>
      <c r="AH751" s="11"/>
      <c r="AI751" s="910">
        <f t="shared" si="74"/>
        <v>607000000</v>
      </c>
    </row>
    <row r="752" spans="1:35" s="24" customFormat="1" ht="24.95" customHeight="1" thickBot="1" x14ac:dyDescent="0.3">
      <c r="A752" s="1201" t="s">
        <v>910</v>
      </c>
      <c r="B752" s="1202"/>
      <c r="C752" s="1202"/>
      <c r="D752" s="1202"/>
      <c r="E752" s="1202"/>
      <c r="F752" s="1202"/>
      <c r="G752" s="1202"/>
      <c r="H752" s="1202"/>
      <c r="I752" s="1202"/>
      <c r="J752" s="1202"/>
      <c r="K752" s="1203"/>
      <c r="L752" s="1059"/>
      <c r="M752" s="172"/>
      <c r="N752" s="1060"/>
      <c r="O752" s="172"/>
      <c r="P752" s="172"/>
      <c r="Q752" s="1061">
        <f t="shared" ref="Q752:W752" si="75">+Q751+Q738+Q721</f>
        <v>0</v>
      </c>
      <c r="R752" s="1061">
        <f t="shared" si="75"/>
        <v>0</v>
      </c>
      <c r="S752" s="1061">
        <f t="shared" si="75"/>
        <v>1719543225</v>
      </c>
      <c r="T752" s="1061">
        <f t="shared" si="75"/>
        <v>0</v>
      </c>
      <c r="U752" s="1061">
        <f t="shared" si="75"/>
        <v>0</v>
      </c>
      <c r="V752" s="1061">
        <f t="shared" si="75"/>
        <v>0</v>
      </c>
      <c r="W752" s="1061">
        <f t="shared" si="75"/>
        <v>0</v>
      </c>
      <c r="X752" s="1061">
        <f t="shared" ref="X752:AI752" si="76">+X751+X738+X721</f>
        <v>0</v>
      </c>
      <c r="Y752" s="1061">
        <f t="shared" si="76"/>
        <v>0</v>
      </c>
      <c r="Z752" s="1061">
        <f t="shared" si="76"/>
        <v>0</v>
      </c>
      <c r="AA752" s="1061">
        <f t="shared" si="76"/>
        <v>0</v>
      </c>
      <c r="AB752" s="1061">
        <f t="shared" si="76"/>
        <v>0</v>
      </c>
      <c r="AC752" s="1061">
        <f t="shared" si="76"/>
        <v>0</v>
      </c>
      <c r="AD752" s="1061">
        <f t="shared" si="76"/>
        <v>0</v>
      </c>
      <c r="AE752" s="1061">
        <f t="shared" si="76"/>
        <v>1356145078.6500001</v>
      </c>
      <c r="AF752" s="1061">
        <f t="shared" si="76"/>
        <v>3411016583.3599997</v>
      </c>
      <c r="AG752" s="1061">
        <f t="shared" si="76"/>
        <v>0</v>
      </c>
      <c r="AH752" s="1061">
        <f t="shared" si="76"/>
        <v>361372708</v>
      </c>
      <c r="AI752" s="1062">
        <f t="shared" si="76"/>
        <v>6848077595.0100002</v>
      </c>
    </row>
    <row r="753" spans="1:35" s="537" customFormat="1" ht="24.95" customHeight="1" thickBot="1" x14ac:dyDescent="0.3">
      <c r="A753" s="1231" t="s">
        <v>911</v>
      </c>
      <c r="B753" s="1232"/>
      <c r="C753" s="1232"/>
      <c r="D753" s="1232"/>
      <c r="E753" s="1232"/>
      <c r="F753" s="1232"/>
      <c r="G753" s="1232"/>
      <c r="H753" s="1232"/>
      <c r="I753" s="1063"/>
      <c r="J753" s="1064"/>
      <c r="K753" s="1065"/>
      <c r="L753" s="1065"/>
      <c r="M753" s="1064"/>
      <c r="N753" s="1066"/>
      <c r="O753" s="1067"/>
      <c r="P753" s="1068"/>
      <c r="Q753" s="1069">
        <f t="shared" ref="Q753:W753" si="77">+Q678+Q752</f>
        <v>3178090342</v>
      </c>
      <c r="R753" s="1069">
        <f t="shared" si="77"/>
        <v>3893577745</v>
      </c>
      <c r="S753" s="1069">
        <f t="shared" si="77"/>
        <v>11624723580</v>
      </c>
      <c r="T753" s="1069">
        <f t="shared" si="77"/>
        <v>7093592174</v>
      </c>
      <c r="U753" s="1069">
        <f t="shared" si="77"/>
        <v>250000000</v>
      </c>
      <c r="V753" s="1069">
        <f t="shared" si="77"/>
        <v>1002167888</v>
      </c>
      <c r="W753" s="1069">
        <f t="shared" si="77"/>
        <v>2801812316</v>
      </c>
      <c r="X753" s="1069">
        <f t="shared" ref="X753:AI753" si="78">+X678+X752</f>
        <v>14691685021</v>
      </c>
      <c r="Y753" s="1069">
        <f t="shared" si="78"/>
        <v>26280903484</v>
      </c>
      <c r="Z753" s="1069">
        <f t="shared" si="78"/>
        <v>1413475987</v>
      </c>
      <c r="AA753" s="1069">
        <f t="shared" si="78"/>
        <v>127119080865.14999</v>
      </c>
      <c r="AB753" s="1069">
        <f t="shared" si="78"/>
        <v>25827098635</v>
      </c>
      <c r="AC753" s="1069">
        <f t="shared" si="78"/>
        <v>14436671942.01</v>
      </c>
      <c r="AD753" s="1069">
        <f t="shared" si="78"/>
        <v>2621226425</v>
      </c>
      <c r="AE753" s="1069">
        <f t="shared" si="78"/>
        <v>36047757446.650002</v>
      </c>
      <c r="AF753" s="1069">
        <f t="shared" si="78"/>
        <v>4458682903.3599997</v>
      </c>
      <c r="AG753" s="1069">
        <f t="shared" si="78"/>
        <v>23936150863</v>
      </c>
      <c r="AH753" s="1069">
        <f t="shared" si="78"/>
        <v>3775280614</v>
      </c>
      <c r="AI753" s="1070">
        <f t="shared" si="78"/>
        <v>310451978231.16998</v>
      </c>
    </row>
    <row r="754" spans="1:35" s="74" customFormat="1" x14ac:dyDescent="0.25">
      <c r="C754" s="527"/>
      <c r="H754" s="527"/>
      <c r="K754" s="528"/>
      <c r="L754" s="528"/>
      <c r="N754" s="55"/>
      <c r="P754" s="527"/>
      <c r="Q754" s="529"/>
      <c r="R754" s="529"/>
      <c r="S754" s="529"/>
      <c r="T754" s="529"/>
      <c r="U754" s="529"/>
      <c r="V754" s="529"/>
      <c r="W754" s="529"/>
      <c r="X754" s="529"/>
      <c r="Y754" s="529"/>
      <c r="Z754" s="529"/>
      <c r="AA754" s="529"/>
      <c r="AB754" s="529"/>
      <c r="AC754" s="529"/>
      <c r="AD754" s="529"/>
      <c r="AE754" s="530"/>
      <c r="AF754" s="529"/>
      <c r="AG754" s="529"/>
      <c r="AH754" s="529"/>
      <c r="AI754" s="788"/>
    </row>
    <row r="755" spans="1:35" s="74" customFormat="1" x14ac:dyDescent="0.25">
      <c r="C755" s="527"/>
      <c r="H755" s="527"/>
      <c r="K755" s="528"/>
      <c r="L755" s="528"/>
      <c r="N755" s="55"/>
      <c r="P755" s="527"/>
      <c r="Q755" s="529"/>
      <c r="R755" s="529"/>
      <c r="S755" s="529"/>
      <c r="T755" s="529"/>
      <c r="U755" s="529"/>
      <c r="V755" s="529"/>
      <c r="W755" s="529"/>
      <c r="X755" s="529"/>
      <c r="Y755" s="529"/>
      <c r="Z755" s="529"/>
      <c r="AA755" s="529"/>
      <c r="AB755" s="529"/>
      <c r="AC755" s="529"/>
      <c r="AD755" s="529"/>
      <c r="AE755" s="530"/>
      <c r="AF755" s="529"/>
      <c r="AG755" s="529"/>
      <c r="AH755" s="529"/>
      <c r="AI755" s="787"/>
    </row>
    <row r="756" spans="1:35" s="74" customFormat="1" x14ac:dyDescent="0.25">
      <c r="C756" s="527"/>
      <c r="H756" s="527"/>
      <c r="K756" s="528"/>
      <c r="L756" s="528"/>
      <c r="N756" s="55"/>
      <c r="P756" s="527"/>
      <c r="Q756" s="529"/>
      <c r="R756" s="529"/>
      <c r="S756" s="529"/>
      <c r="T756" s="529"/>
      <c r="U756" s="529"/>
      <c r="V756" s="529"/>
      <c r="W756" s="529"/>
      <c r="X756" s="529"/>
      <c r="Y756" s="529"/>
      <c r="Z756" s="529"/>
      <c r="AA756" s="529"/>
      <c r="AB756" s="529"/>
      <c r="AC756" s="529"/>
      <c r="AD756" s="529"/>
      <c r="AE756" s="530"/>
      <c r="AF756" s="529"/>
      <c r="AG756" s="529"/>
      <c r="AH756" s="529"/>
      <c r="AI756" s="76"/>
    </row>
    <row r="757" spans="1:35" s="74" customFormat="1" x14ac:dyDescent="0.25">
      <c r="C757" s="527"/>
      <c r="H757" s="527"/>
      <c r="K757" s="528"/>
      <c r="L757" s="528"/>
      <c r="N757" s="55"/>
      <c r="P757" s="527"/>
      <c r="Q757" s="529"/>
      <c r="R757" s="529"/>
      <c r="S757" s="529"/>
      <c r="T757" s="529"/>
      <c r="U757" s="529"/>
      <c r="V757" s="529"/>
      <c r="W757" s="529"/>
      <c r="X757" s="529"/>
      <c r="Y757" s="529"/>
      <c r="Z757" s="529"/>
      <c r="AA757" s="529"/>
      <c r="AB757" s="529"/>
      <c r="AC757" s="529"/>
      <c r="AD757" s="529"/>
      <c r="AE757" s="530"/>
      <c r="AF757" s="529"/>
      <c r="AG757" s="529"/>
      <c r="AH757" s="529"/>
      <c r="AI757" s="75"/>
    </row>
    <row r="758" spans="1:35" s="74" customFormat="1" x14ac:dyDescent="0.25">
      <c r="C758" s="527"/>
      <c r="H758" s="527"/>
      <c r="K758" s="528"/>
      <c r="L758" s="528"/>
      <c r="N758" s="55"/>
      <c r="P758" s="527"/>
      <c r="Q758" s="529"/>
      <c r="R758" s="529"/>
      <c r="S758" s="529"/>
      <c r="T758" s="529"/>
      <c r="U758" s="529"/>
      <c r="V758" s="529"/>
      <c r="W758" s="529"/>
      <c r="X758" s="529"/>
      <c r="Y758" s="529"/>
      <c r="Z758" s="529"/>
      <c r="AA758" s="529"/>
      <c r="AB758" s="529"/>
      <c r="AC758" s="529"/>
      <c r="AD758" s="529"/>
      <c r="AE758" s="530"/>
      <c r="AF758" s="529"/>
      <c r="AG758" s="529"/>
      <c r="AH758" s="529"/>
      <c r="AI758" s="75"/>
    </row>
    <row r="759" spans="1:35" s="74" customFormat="1" x14ac:dyDescent="0.25">
      <c r="C759" s="527"/>
      <c r="H759" s="527"/>
      <c r="K759" s="528"/>
      <c r="L759" s="528"/>
      <c r="N759" s="55"/>
      <c r="P759" s="527"/>
      <c r="Q759" s="529"/>
      <c r="R759" s="529"/>
      <c r="S759" s="529"/>
      <c r="T759" s="529"/>
      <c r="U759" s="529"/>
      <c r="V759" s="529"/>
      <c r="W759" s="529"/>
      <c r="X759" s="529"/>
      <c r="Y759" s="529"/>
      <c r="Z759" s="529"/>
      <c r="AA759" s="529"/>
      <c r="AB759" s="529"/>
      <c r="AC759" s="529"/>
      <c r="AD759" s="529"/>
      <c r="AE759" s="530"/>
      <c r="AF759" s="529"/>
      <c r="AG759" s="529"/>
      <c r="AH759" s="529"/>
      <c r="AI759" s="75"/>
    </row>
    <row r="760" spans="1:35" s="74" customFormat="1" x14ac:dyDescent="0.25">
      <c r="C760" s="527"/>
      <c r="H760" s="527"/>
      <c r="K760" s="528"/>
      <c r="L760" s="528"/>
      <c r="N760" s="55"/>
      <c r="P760" s="527"/>
      <c r="Q760" s="529"/>
      <c r="R760" s="529"/>
      <c r="S760" s="529"/>
      <c r="T760" s="529"/>
      <c r="U760" s="529"/>
      <c r="V760" s="529"/>
      <c r="W760" s="529"/>
      <c r="X760" s="529"/>
      <c r="Y760" s="529"/>
      <c r="Z760" s="529"/>
      <c r="AA760" s="529"/>
      <c r="AB760" s="529"/>
      <c r="AC760" s="529"/>
      <c r="AD760" s="529"/>
      <c r="AE760" s="530"/>
      <c r="AF760" s="529"/>
      <c r="AG760" s="529"/>
      <c r="AH760" s="529"/>
      <c r="AI760" s="75"/>
    </row>
    <row r="761" spans="1:35" s="74" customFormat="1" x14ac:dyDescent="0.25">
      <c r="C761" s="527"/>
      <c r="H761" s="527"/>
      <c r="K761" s="528"/>
      <c r="L761" s="528"/>
      <c r="N761" s="55"/>
      <c r="P761" s="527"/>
      <c r="Q761" s="529"/>
      <c r="R761" s="529"/>
      <c r="S761" s="529"/>
      <c r="T761" s="529"/>
      <c r="U761" s="529"/>
      <c r="V761" s="529"/>
      <c r="W761" s="529"/>
      <c r="X761" s="529"/>
      <c r="Y761" s="529"/>
      <c r="Z761" s="529"/>
      <c r="AA761" s="529"/>
      <c r="AB761" s="529"/>
      <c r="AC761" s="529"/>
      <c r="AD761" s="529"/>
      <c r="AE761" s="530"/>
      <c r="AF761" s="529"/>
      <c r="AG761" s="529"/>
      <c r="AH761" s="529"/>
      <c r="AI761" s="75"/>
    </row>
    <row r="762" spans="1:35" s="74" customFormat="1" x14ac:dyDescent="0.25">
      <c r="C762" s="527"/>
      <c r="H762" s="527"/>
      <c r="K762" s="528"/>
      <c r="L762" s="528"/>
      <c r="N762" s="55"/>
      <c r="P762" s="527"/>
      <c r="Q762" s="529"/>
      <c r="R762" s="529"/>
      <c r="S762" s="529"/>
      <c r="T762" s="529"/>
      <c r="U762" s="529"/>
      <c r="V762" s="529"/>
      <c r="W762" s="529"/>
      <c r="X762" s="529"/>
      <c r="Y762" s="529"/>
      <c r="Z762" s="529"/>
      <c r="AA762" s="529"/>
      <c r="AB762" s="529"/>
      <c r="AC762" s="529"/>
      <c r="AD762" s="529"/>
      <c r="AE762" s="530"/>
      <c r="AF762" s="529"/>
      <c r="AG762" s="529"/>
      <c r="AH762" s="529"/>
      <c r="AI762" s="75"/>
    </row>
    <row r="763" spans="1:35" s="74" customFormat="1" x14ac:dyDescent="0.25">
      <c r="C763" s="527"/>
      <c r="H763" s="527"/>
      <c r="K763" s="528"/>
      <c r="L763" s="528"/>
      <c r="N763" s="55"/>
      <c r="P763" s="527"/>
      <c r="Q763" s="529"/>
      <c r="R763" s="529"/>
      <c r="S763" s="529"/>
      <c r="T763" s="529"/>
      <c r="U763" s="529"/>
      <c r="V763" s="529"/>
      <c r="W763" s="529"/>
      <c r="X763" s="529"/>
      <c r="Y763" s="529"/>
      <c r="Z763" s="529"/>
      <c r="AA763" s="529"/>
      <c r="AB763" s="529"/>
      <c r="AC763" s="529"/>
      <c r="AD763" s="529"/>
      <c r="AE763" s="530"/>
      <c r="AF763" s="529"/>
      <c r="AG763" s="529"/>
      <c r="AH763" s="529"/>
      <c r="AI763" s="75"/>
    </row>
    <row r="764" spans="1:35" s="74" customFormat="1" x14ac:dyDescent="0.25">
      <c r="C764" s="527"/>
      <c r="H764" s="527"/>
      <c r="K764" s="528"/>
      <c r="L764" s="528"/>
      <c r="N764" s="55"/>
      <c r="P764" s="527"/>
      <c r="Q764" s="529"/>
      <c r="R764" s="529"/>
      <c r="S764" s="529"/>
      <c r="T764" s="529"/>
      <c r="U764" s="529"/>
      <c r="V764" s="529"/>
      <c r="W764" s="529"/>
      <c r="X764" s="529"/>
      <c r="Y764" s="529"/>
      <c r="Z764" s="529"/>
      <c r="AA764" s="529"/>
      <c r="AB764" s="529"/>
      <c r="AC764" s="529"/>
      <c r="AD764" s="529"/>
      <c r="AE764" s="530"/>
      <c r="AF764" s="529"/>
      <c r="AG764" s="529"/>
      <c r="AH764" s="529"/>
      <c r="AI764" s="75"/>
    </row>
    <row r="765" spans="1:35" s="74" customFormat="1" x14ac:dyDescent="0.25">
      <c r="C765" s="527"/>
      <c r="H765" s="527"/>
      <c r="K765" s="528"/>
      <c r="L765" s="528"/>
      <c r="N765" s="55"/>
      <c r="P765" s="527"/>
      <c r="Q765" s="529"/>
      <c r="R765" s="529"/>
      <c r="S765" s="529"/>
      <c r="T765" s="529"/>
      <c r="U765" s="529"/>
      <c r="V765" s="529"/>
      <c r="W765" s="529"/>
      <c r="X765" s="529"/>
      <c r="Y765" s="529"/>
      <c r="Z765" s="529"/>
      <c r="AA765" s="529"/>
      <c r="AB765" s="529"/>
      <c r="AC765" s="529"/>
      <c r="AD765" s="529"/>
      <c r="AE765" s="530"/>
      <c r="AF765" s="529"/>
      <c r="AG765" s="529"/>
      <c r="AH765" s="529"/>
      <c r="AI765" s="75"/>
    </row>
    <row r="766" spans="1:35" s="74" customFormat="1" x14ac:dyDescent="0.25">
      <c r="C766" s="527"/>
      <c r="H766" s="527"/>
      <c r="K766" s="528"/>
      <c r="L766" s="528"/>
      <c r="N766" s="55"/>
      <c r="P766" s="527"/>
      <c r="Q766" s="529"/>
      <c r="R766" s="529"/>
      <c r="S766" s="529"/>
      <c r="T766" s="529"/>
      <c r="U766" s="529"/>
      <c r="V766" s="529"/>
      <c r="W766" s="529"/>
      <c r="X766" s="529"/>
      <c r="Y766" s="529"/>
      <c r="Z766" s="529"/>
      <c r="AA766" s="529"/>
      <c r="AB766" s="529"/>
      <c r="AC766" s="529"/>
      <c r="AD766" s="529"/>
      <c r="AE766" s="530"/>
      <c r="AF766" s="529"/>
      <c r="AG766" s="529"/>
      <c r="AH766" s="529"/>
      <c r="AI766" s="75"/>
    </row>
    <row r="767" spans="1:35" s="74" customFormat="1" x14ac:dyDescent="0.25">
      <c r="C767" s="527"/>
      <c r="H767" s="527"/>
      <c r="K767" s="528"/>
      <c r="L767" s="528"/>
      <c r="N767" s="55"/>
      <c r="P767" s="527"/>
      <c r="Q767" s="529"/>
      <c r="R767" s="529"/>
      <c r="S767" s="529"/>
      <c r="T767" s="529"/>
      <c r="U767" s="529"/>
      <c r="V767" s="529"/>
      <c r="W767" s="529"/>
      <c r="X767" s="529"/>
      <c r="Y767" s="529"/>
      <c r="Z767" s="529"/>
      <c r="AA767" s="529"/>
      <c r="AB767" s="529"/>
      <c r="AC767" s="529"/>
      <c r="AD767" s="529"/>
      <c r="AE767" s="530"/>
      <c r="AF767" s="529"/>
      <c r="AG767" s="529"/>
      <c r="AH767" s="529"/>
      <c r="AI767" s="75"/>
    </row>
    <row r="768" spans="1:35" s="74" customFormat="1" x14ac:dyDescent="0.25">
      <c r="C768" s="527"/>
      <c r="H768" s="527"/>
      <c r="K768" s="528"/>
      <c r="L768" s="528"/>
      <c r="N768" s="55"/>
      <c r="P768" s="527"/>
      <c r="Q768" s="529"/>
      <c r="R768" s="529"/>
      <c r="S768" s="529"/>
      <c r="T768" s="529"/>
      <c r="U768" s="529"/>
      <c r="V768" s="529"/>
      <c r="W768" s="529"/>
      <c r="X768" s="529"/>
      <c r="Y768" s="529"/>
      <c r="Z768" s="529"/>
      <c r="AA768" s="529"/>
      <c r="AB768" s="529"/>
      <c r="AC768" s="529"/>
      <c r="AD768" s="529"/>
      <c r="AE768" s="530"/>
      <c r="AF768" s="529"/>
      <c r="AG768" s="529"/>
      <c r="AH768" s="529"/>
      <c r="AI768" s="75"/>
    </row>
    <row r="769" spans="3:35" s="74" customFormat="1" x14ac:dyDescent="0.25">
      <c r="C769" s="527"/>
      <c r="H769" s="527"/>
      <c r="K769" s="528"/>
      <c r="L769" s="528"/>
      <c r="N769" s="55"/>
      <c r="P769" s="527"/>
      <c r="Q769" s="529"/>
      <c r="R769" s="529"/>
      <c r="S769" s="529"/>
      <c r="T769" s="529"/>
      <c r="U769" s="529"/>
      <c r="V769" s="529"/>
      <c r="W769" s="529"/>
      <c r="X769" s="529"/>
      <c r="Y769" s="529"/>
      <c r="Z769" s="529"/>
      <c r="AA769" s="529"/>
      <c r="AB769" s="529"/>
      <c r="AC769" s="529"/>
      <c r="AD769" s="529"/>
      <c r="AE769" s="530"/>
      <c r="AF769" s="529"/>
      <c r="AG769" s="529"/>
      <c r="AH769" s="529"/>
      <c r="AI769" s="75"/>
    </row>
    <row r="770" spans="3:35" s="74" customFormat="1" x14ac:dyDescent="0.25">
      <c r="C770" s="527"/>
      <c r="H770" s="527"/>
      <c r="K770" s="528"/>
      <c r="L770" s="528"/>
      <c r="N770" s="55"/>
      <c r="P770" s="527"/>
      <c r="Q770" s="529"/>
      <c r="R770" s="529"/>
      <c r="S770" s="529"/>
      <c r="T770" s="529"/>
      <c r="U770" s="529"/>
      <c r="V770" s="529"/>
      <c r="W770" s="529"/>
      <c r="X770" s="529"/>
      <c r="Y770" s="529"/>
      <c r="Z770" s="529"/>
      <c r="AA770" s="529"/>
      <c r="AB770" s="529"/>
      <c r="AC770" s="529"/>
      <c r="AD770" s="529"/>
      <c r="AE770" s="530"/>
      <c r="AF770" s="529"/>
      <c r="AG770" s="529"/>
      <c r="AH770" s="529"/>
      <c r="AI770" s="75"/>
    </row>
    <row r="771" spans="3:35" s="74" customFormat="1" x14ac:dyDescent="0.25">
      <c r="C771" s="527"/>
      <c r="H771" s="527"/>
      <c r="K771" s="528"/>
      <c r="L771" s="528"/>
      <c r="N771" s="55"/>
      <c r="P771" s="527"/>
      <c r="Q771" s="529"/>
      <c r="R771" s="529"/>
      <c r="S771" s="529"/>
      <c r="T771" s="529"/>
      <c r="U771" s="529"/>
      <c r="V771" s="529"/>
      <c r="W771" s="529"/>
      <c r="X771" s="529"/>
      <c r="Y771" s="529"/>
      <c r="Z771" s="529"/>
      <c r="AA771" s="529"/>
      <c r="AB771" s="529"/>
      <c r="AC771" s="529"/>
      <c r="AD771" s="529"/>
      <c r="AE771" s="530"/>
      <c r="AF771" s="529"/>
      <c r="AG771" s="529"/>
      <c r="AH771" s="529"/>
      <c r="AI771" s="75"/>
    </row>
    <row r="772" spans="3:35" s="74" customFormat="1" x14ac:dyDescent="0.25">
      <c r="C772" s="527"/>
      <c r="H772" s="527"/>
      <c r="K772" s="528"/>
      <c r="L772" s="528"/>
      <c r="N772" s="55"/>
      <c r="P772" s="527"/>
      <c r="Q772" s="529"/>
      <c r="R772" s="529"/>
      <c r="S772" s="529"/>
      <c r="T772" s="529"/>
      <c r="U772" s="529"/>
      <c r="V772" s="529"/>
      <c r="W772" s="529"/>
      <c r="X772" s="529"/>
      <c r="Y772" s="529"/>
      <c r="Z772" s="529"/>
      <c r="AA772" s="529"/>
      <c r="AB772" s="529"/>
      <c r="AC772" s="529"/>
      <c r="AD772" s="529"/>
      <c r="AE772" s="530"/>
      <c r="AF772" s="529"/>
      <c r="AG772" s="529"/>
      <c r="AH772" s="529"/>
      <c r="AI772" s="75"/>
    </row>
    <row r="773" spans="3:35" s="74" customFormat="1" x14ac:dyDescent="0.25">
      <c r="C773" s="527"/>
      <c r="H773" s="527"/>
      <c r="K773" s="528"/>
      <c r="L773" s="528"/>
      <c r="N773" s="55"/>
      <c r="P773" s="527"/>
      <c r="Q773" s="529"/>
      <c r="R773" s="529"/>
      <c r="S773" s="529"/>
      <c r="T773" s="529"/>
      <c r="U773" s="529"/>
      <c r="V773" s="529"/>
      <c r="W773" s="529"/>
      <c r="X773" s="529"/>
      <c r="Y773" s="529"/>
      <c r="Z773" s="529"/>
      <c r="AA773" s="529"/>
      <c r="AB773" s="529"/>
      <c r="AC773" s="529"/>
      <c r="AD773" s="529"/>
      <c r="AE773" s="530"/>
      <c r="AF773" s="529"/>
      <c r="AG773" s="529"/>
      <c r="AH773" s="529"/>
      <c r="AI773" s="75"/>
    </row>
    <row r="774" spans="3:35" s="74" customFormat="1" x14ac:dyDescent="0.25">
      <c r="C774" s="527"/>
      <c r="H774" s="527"/>
      <c r="K774" s="528"/>
      <c r="L774" s="528"/>
      <c r="N774" s="55"/>
      <c r="P774" s="527"/>
      <c r="Q774" s="529"/>
      <c r="R774" s="529"/>
      <c r="S774" s="529"/>
      <c r="T774" s="529"/>
      <c r="U774" s="529"/>
      <c r="V774" s="529"/>
      <c r="W774" s="529"/>
      <c r="X774" s="529"/>
      <c r="Y774" s="529"/>
      <c r="Z774" s="529"/>
      <c r="AA774" s="529"/>
      <c r="AB774" s="529"/>
      <c r="AC774" s="529"/>
      <c r="AD774" s="529"/>
      <c r="AE774" s="530"/>
      <c r="AF774" s="529"/>
      <c r="AG774" s="529"/>
      <c r="AH774" s="529"/>
      <c r="AI774" s="75"/>
    </row>
    <row r="775" spans="3:35" s="74" customFormat="1" x14ac:dyDescent="0.25">
      <c r="C775" s="527"/>
      <c r="H775" s="527"/>
      <c r="K775" s="528"/>
      <c r="L775" s="528"/>
      <c r="N775" s="55"/>
      <c r="P775" s="527"/>
      <c r="Q775" s="529"/>
      <c r="R775" s="529"/>
      <c r="S775" s="529"/>
      <c r="T775" s="529"/>
      <c r="U775" s="529"/>
      <c r="V775" s="529"/>
      <c r="W775" s="529"/>
      <c r="X775" s="529"/>
      <c r="Y775" s="529"/>
      <c r="Z775" s="529"/>
      <c r="AA775" s="529"/>
      <c r="AB775" s="529"/>
      <c r="AC775" s="529"/>
      <c r="AD775" s="529"/>
      <c r="AE775" s="530"/>
      <c r="AF775" s="529"/>
      <c r="AG775" s="529"/>
      <c r="AH775" s="529"/>
      <c r="AI775" s="75"/>
    </row>
    <row r="776" spans="3:35" s="74" customFormat="1" x14ac:dyDescent="0.25">
      <c r="C776" s="527"/>
      <c r="H776" s="527"/>
      <c r="K776" s="528"/>
      <c r="L776" s="528"/>
      <c r="N776" s="55"/>
      <c r="P776" s="527"/>
      <c r="Q776" s="529"/>
      <c r="R776" s="529"/>
      <c r="S776" s="529"/>
      <c r="T776" s="529"/>
      <c r="U776" s="529"/>
      <c r="V776" s="529"/>
      <c r="W776" s="529"/>
      <c r="X776" s="529"/>
      <c r="Y776" s="529"/>
      <c r="Z776" s="529"/>
      <c r="AA776" s="529"/>
      <c r="AB776" s="529"/>
      <c r="AC776" s="529"/>
      <c r="AD776" s="529"/>
      <c r="AE776" s="530"/>
      <c r="AF776" s="529"/>
      <c r="AG776" s="529"/>
      <c r="AH776" s="529"/>
      <c r="AI776" s="75"/>
    </row>
    <row r="777" spans="3:35" s="74" customFormat="1" x14ac:dyDescent="0.25">
      <c r="C777" s="527"/>
      <c r="H777" s="527"/>
      <c r="K777" s="528"/>
      <c r="L777" s="528"/>
      <c r="N777" s="55"/>
      <c r="P777" s="527"/>
      <c r="Q777" s="529"/>
      <c r="R777" s="529"/>
      <c r="S777" s="529"/>
      <c r="T777" s="529"/>
      <c r="U777" s="529"/>
      <c r="V777" s="529"/>
      <c r="W777" s="529"/>
      <c r="X777" s="529"/>
      <c r="Y777" s="529"/>
      <c r="Z777" s="529"/>
      <c r="AA777" s="529"/>
      <c r="AB777" s="529"/>
      <c r="AC777" s="529"/>
      <c r="AD777" s="529"/>
      <c r="AE777" s="530"/>
      <c r="AF777" s="529"/>
      <c r="AG777" s="529"/>
      <c r="AH777" s="529"/>
      <c r="AI777" s="75"/>
    </row>
    <row r="778" spans="3:35" s="74" customFormat="1" x14ac:dyDescent="0.25">
      <c r="C778" s="527"/>
      <c r="H778" s="527"/>
      <c r="K778" s="528"/>
      <c r="L778" s="528"/>
      <c r="N778" s="55"/>
      <c r="P778" s="527"/>
      <c r="Q778" s="529"/>
      <c r="R778" s="529"/>
      <c r="S778" s="529"/>
      <c r="T778" s="529"/>
      <c r="U778" s="529"/>
      <c r="V778" s="529"/>
      <c r="W778" s="529"/>
      <c r="X778" s="529"/>
      <c r="Y778" s="529"/>
      <c r="Z778" s="529"/>
      <c r="AA778" s="529"/>
      <c r="AB778" s="529"/>
      <c r="AC778" s="529"/>
      <c r="AD778" s="529"/>
      <c r="AE778" s="530"/>
      <c r="AF778" s="529"/>
      <c r="AG778" s="529"/>
      <c r="AH778" s="529"/>
      <c r="AI778" s="75"/>
    </row>
    <row r="779" spans="3:35" s="74" customFormat="1" x14ac:dyDescent="0.25">
      <c r="C779" s="527"/>
      <c r="H779" s="527"/>
      <c r="K779" s="528"/>
      <c r="L779" s="528"/>
      <c r="N779" s="55"/>
      <c r="P779" s="527"/>
      <c r="Q779" s="529"/>
      <c r="R779" s="529"/>
      <c r="S779" s="529"/>
      <c r="T779" s="529"/>
      <c r="U779" s="529"/>
      <c r="V779" s="529"/>
      <c r="W779" s="529"/>
      <c r="X779" s="529"/>
      <c r="Y779" s="529"/>
      <c r="Z779" s="529"/>
      <c r="AA779" s="529"/>
      <c r="AB779" s="529"/>
      <c r="AC779" s="529"/>
      <c r="AD779" s="529"/>
      <c r="AE779" s="530"/>
      <c r="AF779" s="529"/>
      <c r="AG779" s="529"/>
      <c r="AH779" s="529"/>
      <c r="AI779" s="75"/>
    </row>
    <row r="780" spans="3:35" s="74" customFormat="1" x14ac:dyDescent="0.25">
      <c r="C780" s="527"/>
      <c r="H780" s="527"/>
      <c r="K780" s="528"/>
      <c r="L780" s="528"/>
      <c r="N780" s="55"/>
      <c r="P780" s="527"/>
      <c r="Q780" s="529"/>
      <c r="R780" s="529"/>
      <c r="S780" s="529"/>
      <c r="T780" s="529"/>
      <c r="U780" s="529"/>
      <c r="V780" s="529"/>
      <c r="W780" s="529"/>
      <c r="X780" s="529"/>
      <c r="Y780" s="529"/>
      <c r="Z780" s="529"/>
      <c r="AA780" s="529"/>
      <c r="AB780" s="529"/>
      <c r="AC780" s="529"/>
      <c r="AD780" s="529"/>
      <c r="AE780" s="530"/>
      <c r="AF780" s="529"/>
      <c r="AG780" s="529"/>
      <c r="AH780" s="529"/>
      <c r="AI780" s="75"/>
    </row>
    <row r="781" spans="3:35" s="74" customFormat="1" x14ac:dyDescent="0.25">
      <c r="C781" s="527"/>
      <c r="H781" s="527"/>
      <c r="K781" s="528"/>
      <c r="L781" s="528"/>
      <c r="N781" s="55"/>
      <c r="P781" s="527"/>
      <c r="Q781" s="529"/>
      <c r="R781" s="529"/>
      <c r="S781" s="529"/>
      <c r="T781" s="529"/>
      <c r="U781" s="529"/>
      <c r="V781" s="529"/>
      <c r="W781" s="529"/>
      <c r="X781" s="529"/>
      <c r="Y781" s="529"/>
      <c r="Z781" s="529"/>
      <c r="AA781" s="529"/>
      <c r="AB781" s="529"/>
      <c r="AC781" s="529"/>
      <c r="AD781" s="529"/>
      <c r="AE781" s="530"/>
      <c r="AF781" s="529"/>
      <c r="AG781" s="529"/>
      <c r="AH781" s="529"/>
      <c r="AI781" s="75"/>
    </row>
    <row r="782" spans="3:35" s="74" customFormat="1" x14ac:dyDescent="0.25">
      <c r="C782" s="527"/>
      <c r="H782" s="527"/>
      <c r="K782" s="528"/>
      <c r="L782" s="528"/>
      <c r="N782" s="55"/>
      <c r="P782" s="527"/>
      <c r="Q782" s="529"/>
      <c r="R782" s="529"/>
      <c r="S782" s="529"/>
      <c r="T782" s="529"/>
      <c r="U782" s="529"/>
      <c r="V782" s="529"/>
      <c r="W782" s="529"/>
      <c r="X782" s="529"/>
      <c r="Y782" s="529"/>
      <c r="Z782" s="529"/>
      <c r="AA782" s="529"/>
      <c r="AB782" s="529"/>
      <c r="AC782" s="529"/>
      <c r="AD782" s="529"/>
      <c r="AE782" s="530"/>
      <c r="AF782" s="529"/>
      <c r="AG782" s="529"/>
      <c r="AH782" s="529"/>
      <c r="AI782" s="75"/>
    </row>
    <row r="783" spans="3:35" s="74" customFormat="1" x14ac:dyDescent="0.25">
      <c r="C783" s="527"/>
      <c r="H783" s="527"/>
      <c r="K783" s="528"/>
      <c r="L783" s="528"/>
      <c r="N783" s="55"/>
      <c r="P783" s="527"/>
      <c r="Q783" s="529"/>
      <c r="R783" s="529"/>
      <c r="S783" s="529"/>
      <c r="T783" s="529"/>
      <c r="U783" s="529"/>
      <c r="V783" s="529"/>
      <c r="W783" s="529"/>
      <c r="X783" s="529"/>
      <c r="Y783" s="529"/>
      <c r="Z783" s="529"/>
      <c r="AA783" s="529"/>
      <c r="AB783" s="529"/>
      <c r="AC783" s="529"/>
      <c r="AD783" s="529"/>
      <c r="AE783" s="530"/>
      <c r="AF783" s="529"/>
      <c r="AG783" s="529"/>
      <c r="AH783" s="529"/>
      <c r="AI783" s="75"/>
    </row>
    <row r="784" spans="3:35" s="74" customFormat="1" x14ac:dyDescent="0.25">
      <c r="C784" s="527"/>
      <c r="H784" s="527"/>
      <c r="K784" s="528"/>
      <c r="L784" s="528"/>
      <c r="N784" s="55"/>
      <c r="P784" s="527"/>
      <c r="Q784" s="529"/>
      <c r="R784" s="529"/>
      <c r="S784" s="529"/>
      <c r="T784" s="529"/>
      <c r="U784" s="529"/>
      <c r="V784" s="529"/>
      <c r="W784" s="529"/>
      <c r="X784" s="529"/>
      <c r="Y784" s="529"/>
      <c r="Z784" s="529"/>
      <c r="AA784" s="529"/>
      <c r="AB784" s="529"/>
      <c r="AC784" s="529"/>
      <c r="AD784" s="529"/>
      <c r="AE784" s="530"/>
      <c r="AF784" s="529"/>
      <c r="AG784" s="529"/>
      <c r="AH784" s="529"/>
      <c r="AI784" s="75"/>
    </row>
    <row r="785" spans="3:35" s="74" customFormat="1" x14ac:dyDescent="0.25">
      <c r="C785" s="527"/>
      <c r="H785" s="527"/>
      <c r="K785" s="528"/>
      <c r="L785" s="528"/>
      <c r="N785" s="55"/>
      <c r="P785" s="527"/>
      <c r="Q785" s="529"/>
      <c r="R785" s="529"/>
      <c r="S785" s="529"/>
      <c r="T785" s="529"/>
      <c r="U785" s="529"/>
      <c r="V785" s="529"/>
      <c r="W785" s="529"/>
      <c r="X785" s="529"/>
      <c r="Y785" s="529"/>
      <c r="Z785" s="529"/>
      <c r="AA785" s="529"/>
      <c r="AB785" s="529"/>
      <c r="AC785" s="529"/>
      <c r="AD785" s="529"/>
      <c r="AE785" s="530"/>
      <c r="AF785" s="529"/>
      <c r="AG785" s="529"/>
      <c r="AH785" s="529"/>
      <c r="AI785" s="75"/>
    </row>
    <row r="786" spans="3:35" s="74" customFormat="1" x14ac:dyDescent="0.25">
      <c r="C786" s="527"/>
      <c r="H786" s="527"/>
      <c r="K786" s="528"/>
      <c r="L786" s="528"/>
      <c r="N786" s="55"/>
      <c r="P786" s="527"/>
      <c r="Q786" s="529"/>
      <c r="R786" s="529"/>
      <c r="S786" s="529"/>
      <c r="T786" s="529"/>
      <c r="U786" s="529"/>
      <c r="V786" s="529"/>
      <c r="W786" s="529"/>
      <c r="X786" s="529"/>
      <c r="Y786" s="529"/>
      <c r="Z786" s="529"/>
      <c r="AA786" s="529"/>
      <c r="AB786" s="529"/>
      <c r="AC786" s="529"/>
      <c r="AD786" s="529"/>
      <c r="AE786" s="530"/>
      <c r="AF786" s="529"/>
      <c r="AG786" s="529"/>
      <c r="AH786" s="529"/>
      <c r="AI786" s="75"/>
    </row>
    <row r="787" spans="3:35" s="74" customFormat="1" x14ac:dyDescent="0.25">
      <c r="C787" s="527"/>
      <c r="H787" s="527"/>
      <c r="K787" s="528"/>
      <c r="L787" s="528"/>
      <c r="N787" s="55"/>
      <c r="P787" s="527"/>
      <c r="Q787" s="529"/>
      <c r="R787" s="529"/>
      <c r="S787" s="529"/>
      <c r="T787" s="529"/>
      <c r="U787" s="529"/>
      <c r="V787" s="529"/>
      <c r="W787" s="529"/>
      <c r="X787" s="529"/>
      <c r="Y787" s="529"/>
      <c r="Z787" s="529"/>
      <c r="AA787" s="529"/>
      <c r="AB787" s="529"/>
      <c r="AC787" s="529"/>
      <c r="AD787" s="529"/>
      <c r="AE787" s="530"/>
      <c r="AF787" s="529"/>
      <c r="AG787" s="529"/>
      <c r="AH787" s="529"/>
      <c r="AI787" s="75"/>
    </row>
    <row r="788" spans="3:35" s="74" customFormat="1" x14ac:dyDescent="0.25">
      <c r="C788" s="527"/>
      <c r="H788" s="527"/>
      <c r="K788" s="528"/>
      <c r="L788" s="528"/>
      <c r="N788" s="55"/>
      <c r="P788" s="527"/>
      <c r="Q788" s="529"/>
      <c r="R788" s="529"/>
      <c r="S788" s="529"/>
      <c r="T788" s="529"/>
      <c r="U788" s="529"/>
      <c r="V788" s="529"/>
      <c r="W788" s="529"/>
      <c r="X788" s="529"/>
      <c r="Y788" s="529"/>
      <c r="Z788" s="529"/>
      <c r="AA788" s="529"/>
      <c r="AB788" s="529"/>
      <c r="AC788" s="529"/>
      <c r="AD788" s="529"/>
      <c r="AE788" s="530"/>
      <c r="AF788" s="529"/>
      <c r="AG788" s="529"/>
      <c r="AH788" s="529"/>
      <c r="AI788" s="75"/>
    </row>
    <row r="789" spans="3:35" s="74" customFormat="1" x14ac:dyDescent="0.25">
      <c r="C789" s="527"/>
      <c r="H789" s="527"/>
      <c r="K789" s="528"/>
      <c r="L789" s="528"/>
      <c r="N789" s="55"/>
      <c r="P789" s="527"/>
      <c r="Q789" s="529"/>
      <c r="R789" s="529"/>
      <c r="S789" s="529"/>
      <c r="T789" s="529"/>
      <c r="U789" s="529"/>
      <c r="V789" s="529"/>
      <c r="W789" s="529"/>
      <c r="X789" s="529"/>
      <c r="Y789" s="529"/>
      <c r="Z789" s="529"/>
      <c r="AA789" s="529"/>
      <c r="AB789" s="529"/>
      <c r="AC789" s="529"/>
      <c r="AD789" s="529"/>
      <c r="AE789" s="530"/>
      <c r="AF789" s="529"/>
      <c r="AG789" s="529"/>
      <c r="AH789" s="529"/>
      <c r="AI789" s="75"/>
    </row>
    <row r="790" spans="3:35" s="74" customFormat="1" x14ac:dyDescent="0.25">
      <c r="C790" s="527"/>
      <c r="H790" s="527"/>
      <c r="K790" s="528"/>
      <c r="L790" s="528"/>
      <c r="N790" s="55"/>
      <c r="P790" s="527"/>
      <c r="Q790" s="529"/>
      <c r="R790" s="529"/>
      <c r="S790" s="529"/>
      <c r="T790" s="529"/>
      <c r="U790" s="529"/>
      <c r="V790" s="529"/>
      <c r="W790" s="529"/>
      <c r="X790" s="529"/>
      <c r="Y790" s="529"/>
      <c r="Z790" s="529"/>
      <c r="AA790" s="529"/>
      <c r="AB790" s="529"/>
      <c r="AC790" s="529"/>
      <c r="AD790" s="529"/>
      <c r="AE790" s="530"/>
      <c r="AF790" s="529"/>
      <c r="AG790" s="529"/>
      <c r="AH790" s="529"/>
      <c r="AI790" s="75"/>
    </row>
    <row r="791" spans="3:35" s="74" customFormat="1" x14ac:dyDescent="0.25">
      <c r="C791" s="527"/>
      <c r="H791" s="527"/>
      <c r="K791" s="528"/>
      <c r="L791" s="528"/>
      <c r="N791" s="55"/>
      <c r="P791" s="527"/>
      <c r="Q791" s="529"/>
      <c r="R791" s="529"/>
      <c r="S791" s="529"/>
      <c r="T791" s="529"/>
      <c r="U791" s="529"/>
      <c r="V791" s="529"/>
      <c r="W791" s="529"/>
      <c r="X791" s="529"/>
      <c r="Y791" s="529"/>
      <c r="Z791" s="529"/>
      <c r="AA791" s="529"/>
      <c r="AB791" s="529"/>
      <c r="AC791" s="529"/>
      <c r="AD791" s="529"/>
      <c r="AE791" s="530"/>
      <c r="AF791" s="529"/>
      <c r="AG791" s="529"/>
      <c r="AH791" s="529"/>
      <c r="AI791" s="75"/>
    </row>
    <row r="792" spans="3:35" s="74" customFormat="1" x14ac:dyDescent="0.25">
      <c r="C792" s="527"/>
      <c r="H792" s="527"/>
      <c r="N792" s="55"/>
      <c r="P792" s="527"/>
      <c r="Q792" s="529"/>
      <c r="R792" s="529"/>
      <c r="S792" s="529"/>
      <c r="T792" s="529"/>
      <c r="U792" s="529"/>
      <c r="V792" s="529"/>
      <c r="W792" s="529"/>
      <c r="X792" s="529"/>
      <c r="Y792" s="529"/>
      <c r="Z792" s="529"/>
      <c r="AA792" s="529"/>
      <c r="AB792" s="529"/>
      <c r="AC792" s="529"/>
      <c r="AD792" s="529"/>
      <c r="AE792" s="530"/>
      <c r="AF792" s="529"/>
      <c r="AG792" s="529"/>
      <c r="AH792" s="529"/>
      <c r="AI792" s="75"/>
    </row>
    <row r="793" spans="3:35" s="74" customFormat="1" x14ac:dyDescent="0.25">
      <c r="C793" s="527"/>
      <c r="H793" s="527"/>
      <c r="N793" s="55"/>
      <c r="P793" s="527"/>
      <c r="Q793" s="529"/>
      <c r="R793" s="529"/>
      <c r="S793" s="529"/>
      <c r="T793" s="529"/>
      <c r="U793" s="529"/>
      <c r="V793" s="529"/>
      <c r="W793" s="529"/>
      <c r="X793" s="529"/>
      <c r="Y793" s="529"/>
      <c r="Z793" s="529"/>
      <c r="AA793" s="529"/>
      <c r="AB793" s="529"/>
      <c r="AC793" s="529"/>
      <c r="AD793" s="529"/>
      <c r="AE793" s="530"/>
      <c r="AF793" s="529"/>
      <c r="AG793" s="529"/>
      <c r="AH793" s="529"/>
      <c r="AI793" s="75"/>
    </row>
    <row r="794" spans="3:35" s="74" customFormat="1" x14ac:dyDescent="0.25">
      <c r="C794" s="527"/>
      <c r="H794" s="527"/>
      <c r="N794" s="55"/>
      <c r="P794" s="527"/>
      <c r="Q794" s="529"/>
      <c r="R794" s="529"/>
      <c r="S794" s="529"/>
      <c r="T794" s="529"/>
      <c r="U794" s="529"/>
      <c r="V794" s="529"/>
      <c r="W794" s="529"/>
      <c r="X794" s="529"/>
      <c r="Y794" s="529"/>
      <c r="Z794" s="529"/>
      <c r="AA794" s="529"/>
      <c r="AB794" s="529"/>
      <c r="AC794" s="529"/>
      <c r="AD794" s="529"/>
      <c r="AE794" s="530"/>
      <c r="AF794" s="529"/>
      <c r="AG794" s="529"/>
      <c r="AH794" s="529"/>
      <c r="AI794" s="75"/>
    </row>
    <row r="795" spans="3:35" s="74" customFormat="1" x14ac:dyDescent="0.25">
      <c r="C795" s="527"/>
      <c r="H795" s="527"/>
      <c r="N795" s="55"/>
      <c r="P795" s="527"/>
      <c r="Q795" s="529"/>
      <c r="R795" s="529"/>
      <c r="S795" s="529"/>
      <c r="T795" s="529"/>
      <c r="U795" s="529"/>
      <c r="V795" s="529"/>
      <c r="W795" s="529"/>
      <c r="X795" s="529"/>
      <c r="Y795" s="529"/>
      <c r="Z795" s="529"/>
      <c r="AA795" s="529"/>
      <c r="AB795" s="529"/>
      <c r="AC795" s="529"/>
      <c r="AD795" s="529"/>
      <c r="AE795" s="530"/>
      <c r="AF795" s="529"/>
      <c r="AG795" s="529"/>
      <c r="AH795" s="529"/>
      <c r="AI795" s="75"/>
    </row>
    <row r="796" spans="3:35" s="74" customFormat="1" x14ac:dyDescent="0.25">
      <c r="C796" s="527"/>
      <c r="H796" s="527"/>
      <c r="N796" s="55"/>
      <c r="P796" s="527"/>
      <c r="Q796" s="529"/>
      <c r="R796" s="529"/>
      <c r="S796" s="529"/>
      <c r="T796" s="529"/>
      <c r="U796" s="529"/>
      <c r="V796" s="529"/>
      <c r="W796" s="529"/>
      <c r="X796" s="529"/>
      <c r="Y796" s="529"/>
      <c r="Z796" s="529"/>
      <c r="AA796" s="529"/>
      <c r="AB796" s="529"/>
      <c r="AC796" s="529"/>
      <c r="AD796" s="529"/>
      <c r="AE796" s="530"/>
      <c r="AF796" s="529"/>
      <c r="AG796" s="529"/>
      <c r="AH796" s="529"/>
      <c r="AI796" s="75"/>
    </row>
    <row r="797" spans="3:35" s="74" customFormat="1" x14ac:dyDescent="0.25">
      <c r="C797" s="527"/>
      <c r="H797" s="527"/>
      <c r="N797" s="55"/>
      <c r="P797" s="527"/>
      <c r="Q797" s="529"/>
      <c r="R797" s="529"/>
      <c r="S797" s="529"/>
      <c r="T797" s="529"/>
      <c r="U797" s="529"/>
      <c r="V797" s="529"/>
      <c r="W797" s="529"/>
      <c r="X797" s="529"/>
      <c r="Y797" s="529"/>
      <c r="Z797" s="529"/>
      <c r="AA797" s="529"/>
      <c r="AB797" s="529"/>
      <c r="AC797" s="529"/>
      <c r="AD797" s="529"/>
      <c r="AE797" s="530"/>
      <c r="AF797" s="529"/>
      <c r="AG797" s="529"/>
      <c r="AH797" s="529"/>
      <c r="AI797" s="75"/>
    </row>
    <row r="798" spans="3:35" s="74" customFormat="1" x14ac:dyDescent="0.25">
      <c r="C798" s="527"/>
      <c r="H798" s="527"/>
      <c r="N798" s="55"/>
      <c r="P798" s="527"/>
      <c r="Q798" s="529"/>
      <c r="R798" s="529"/>
      <c r="S798" s="529"/>
      <c r="T798" s="529"/>
      <c r="U798" s="529"/>
      <c r="V798" s="529"/>
      <c r="W798" s="529"/>
      <c r="X798" s="529"/>
      <c r="Y798" s="529"/>
      <c r="Z798" s="529"/>
      <c r="AA798" s="529"/>
      <c r="AB798" s="529"/>
      <c r="AC798" s="529"/>
      <c r="AD798" s="529"/>
      <c r="AE798" s="530"/>
      <c r="AF798" s="529"/>
      <c r="AG798" s="529"/>
      <c r="AH798" s="529"/>
      <c r="AI798" s="75"/>
    </row>
    <row r="799" spans="3:35" s="74" customFormat="1" x14ac:dyDescent="0.25">
      <c r="C799" s="527"/>
      <c r="H799" s="527"/>
      <c r="N799" s="55"/>
      <c r="P799" s="527"/>
      <c r="Q799" s="529"/>
      <c r="R799" s="529"/>
      <c r="S799" s="529"/>
      <c r="T799" s="529"/>
      <c r="U799" s="529"/>
      <c r="V799" s="529"/>
      <c r="W799" s="529"/>
      <c r="X799" s="529"/>
      <c r="Y799" s="529"/>
      <c r="Z799" s="529"/>
      <c r="AA799" s="529"/>
      <c r="AB799" s="529"/>
      <c r="AC799" s="529"/>
      <c r="AD799" s="529"/>
      <c r="AE799" s="530"/>
      <c r="AF799" s="529"/>
      <c r="AG799" s="529"/>
      <c r="AH799" s="529"/>
      <c r="AI799" s="75"/>
    </row>
    <row r="800" spans="3:35" s="74" customFormat="1" x14ac:dyDescent="0.25">
      <c r="C800" s="527"/>
      <c r="H800" s="527"/>
      <c r="N800" s="55"/>
      <c r="P800" s="527"/>
      <c r="Q800" s="529"/>
      <c r="R800" s="529"/>
      <c r="S800" s="529"/>
      <c r="T800" s="529"/>
      <c r="U800" s="529"/>
      <c r="V800" s="529"/>
      <c r="W800" s="529"/>
      <c r="X800" s="529"/>
      <c r="Y800" s="529"/>
      <c r="Z800" s="529"/>
      <c r="AA800" s="529"/>
      <c r="AB800" s="529"/>
      <c r="AC800" s="529"/>
      <c r="AD800" s="529"/>
      <c r="AE800" s="530"/>
      <c r="AF800" s="529"/>
      <c r="AG800" s="529"/>
      <c r="AH800" s="529"/>
      <c r="AI800" s="75"/>
    </row>
    <row r="801" spans="3:35" s="74" customFormat="1" x14ac:dyDescent="0.25">
      <c r="C801" s="527"/>
      <c r="H801" s="527"/>
      <c r="N801" s="55"/>
      <c r="P801" s="527"/>
      <c r="Q801" s="529"/>
      <c r="R801" s="529"/>
      <c r="S801" s="529"/>
      <c r="T801" s="529"/>
      <c r="U801" s="529"/>
      <c r="V801" s="529"/>
      <c r="W801" s="529"/>
      <c r="X801" s="529"/>
      <c r="Y801" s="529"/>
      <c r="Z801" s="529"/>
      <c r="AA801" s="529"/>
      <c r="AB801" s="529"/>
      <c r="AC801" s="529"/>
      <c r="AD801" s="529"/>
      <c r="AE801" s="530"/>
      <c r="AF801" s="529"/>
      <c r="AG801" s="529"/>
      <c r="AH801" s="529"/>
      <c r="AI801" s="75"/>
    </row>
    <row r="802" spans="3:35" s="74" customFormat="1" x14ac:dyDescent="0.25">
      <c r="C802" s="527"/>
      <c r="H802" s="527"/>
      <c r="N802" s="55"/>
      <c r="P802" s="527"/>
      <c r="Q802" s="529"/>
      <c r="R802" s="529"/>
      <c r="S802" s="529"/>
      <c r="T802" s="529"/>
      <c r="U802" s="529"/>
      <c r="V802" s="529"/>
      <c r="W802" s="529"/>
      <c r="X802" s="529"/>
      <c r="Y802" s="529"/>
      <c r="Z802" s="529"/>
      <c r="AA802" s="529"/>
      <c r="AB802" s="529"/>
      <c r="AC802" s="529"/>
      <c r="AD802" s="529"/>
      <c r="AE802" s="530"/>
      <c r="AF802" s="529"/>
      <c r="AG802" s="529"/>
      <c r="AH802" s="529"/>
      <c r="AI802" s="75"/>
    </row>
    <row r="803" spans="3:35" s="74" customFormat="1" x14ac:dyDescent="0.25">
      <c r="C803" s="527"/>
      <c r="H803" s="527"/>
      <c r="N803" s="55"/>
      <c r="P803" s="527"/>
      <c r="Q803" s="529"/>
      <c r="R803" s="529"/>
      <c r="S803" s="529"/>
      <c r="T803" s="529"/>
      <c r="U803" s="529"/>
      <c r="V803" s="529"/>
      <c r="W803" s="529"/>
      <c r="X803" s="529"/>
      <c r="Y803" s="529"/>
      <c r="Z803" s="529"/>
      <c r="AA803" s="529"/>
      <c r="AB803" s="529"/>
      <c r="AC803" s="529"/>
      <c r="AD803" s="529"/>
      <c r="AE803" s="530"/>
      <c r="AF803" s="529"/>
      <c r="AG803" s="529"/>
      <c r="AH803" s="529"/>
      <c r="AI803" s="75"/>
    </row>
    <row r="804" spans="3:35" s="74" customFormat="1" x14ac:dyDescent="0.25">
      <c r="C804" s="527"/>
      <c r="H804" s="527"/>
      <c r="N804" s="55"/>
      <c r="P804" s="527"/>
      <c r="Q804" s="529"/>
      <c r="R804" s="529"/>
      <c r="S804" s="529"/>
      <c r="T804" s="529"/>
      <c r="U804" s="529"/>
      <c r="V804" s="529"/>
      <c r="W804" s="529"/>
      <c r="X804" s="529"/>
      <c r="Y804" s="529"/>
      <c r="Z804" s="529"/>
      <c r="AA804" s="529"/>
      <c r="AB804" s="529"/>
      <c r="AC804" s="529"/>
      <c r="AD804" s="529"/>
      <c r="AE804" s="530"/>
      <c r="AF804" s="529"/>
      <c r="AG804" s="529"/>
      <c r="AH804" s="529"/>
      <c r="AI804" s="75"/>
    </row>
    <row r="805" spans="3:35" s="74" customFormat="1" x14ac:dyDescent="0.25">
      <c r="C805" s="527"/>
      <c r="H805" s="527"/>
      <c r="N805" s="55"/>
      <c r="P805" s="527"/>
      <c r="Q805" s="529"/>
      <c r="R805" s="529"/>
      <c r="S805" s="529"/>
      <c r="T805" s="529"/>
      <c r="U805" s="529"/>
      <c r="V805" s="529"/>
      <c r="W805" s="529"/>
      <c r="X805" s="529"/>
      <c r="Y805" s="529"/>
      <c r="Z805" s="529"/>
      <c r="AA805" s="529"/>
      <c r="AB805" s="529"/>
      <c r="AC805" s="529"/>
      <c r="AD805" s="529"/>
      <c r="AE805" s="530"/>
      <c r="AF805" s="529"/>
      <c r="AG805" s="529"/>
      <c r="AH805" s="529"/>
      <c r="AI805" s="75"/>
    </row>
    <row r="806" spans="3:35" s="74" customFormat="1" x14ac:dyDescent="0.25">
      <c r="C806" s="527"/>
      <c r="H806" s="527"/>
      <c r="N806" s="55"/>
      <c r="P806" s="527"/>
      <c r="Q806" s="529"/>
      <c r="R806" s="529"/>
      <c r="S806" s="529"/>
      <c r="T806" s="529"/>
      <c r="U806" s="529"/>
      <c r="V806" s="529"/>
      <c r="W806" s="529"/>
      <c r="X806" s="529"/>
      <c r="Y806" s="529"/>
      <c r="Z806" s="529"/>
      <c r="AA806" s="529"/>
      <c r="AB806" s="529"/>
      <c r="AC806" s="529"/>
      <c r="AD806" s="529"/>
      <c r="AE806" s="530"/>
      <c r="AF806" s="529"/>
      <c r="AG806" s="529"/>
      <c r="AH806" s="529"/>
      <c r="AI806" s="75"/>
    </row>
    <row r="807" spans="3:35" s="74" customFormat="1" x14ac:dyDescent="0.25">
      <c r="C807" s="527"/>
      <c r="H807" s="527"/>
      <c r="N807" s="55"/>
      <c r="P807" s="527"/>
      <c r="Q807" s="529"/>
      <c r="R807" s="529"/>
      <c r="S807" s="529"/>
      <c r="T807" s="529"/>
      <c r="U807" s="529"/>
      <c r="V807" s="529"/>
      <c r="W807" s="529"/>
      <c r="X807" s="529"/>
      <c r="Y807" s="529"/>
      <c r="Z807" s="529"/>
      <c r="AA807" s="529"/>
      <c r="AB807" s="529"/>
      <c r="AC807" s="529"/>
      <c r="AD807" s="529"/>
      <c r="AE807" s="530"/>
      <c r="AF807" s="529"/>
      <c r="AG807" s="529"/>
      <c r="AH807" s="529"/>
      <c r="AI807" s="75"/>
    </row>
    <row r="808" spans="3:35" s="74" customFormat="1" x14ac:dyDescent="0.25">
      <c r="C808" s="527"/>
      <c r="H808" s="527"/>
      <c r="N808" s="55"/>
      <c r="P808" s="527"/>
      <c r="Q808" s="529"/>
      <c r="R808" s="529"/>
      <c r="S808" s="529"/>
      <c r="T808" s="529"/>
      <c r="U808" s="529"/>
      <c r="V808" s="529"/>
      <c r="W808" s="529"/>
      <c r="X808" s="529"/>
      <c r="Y808" s="529"/>
      <c r="Z808" s="529"/>
      <c r="AA808" s="529"/>
      <c r="AB808" s="529"/>
      <c r="AC808" s="529"/>
      <c r="AD808" s="529"/>
      <c r="AE808" s="530"/>
      <c r="AF808" s="529"/>
      <c r="AG808" s="529"/>
      <c r="AH808" s="529"/>
      <c r="AI808" s="75"/>
    </row>
    <row r="809" spans="3:35" s="74" customFormat="1" x14ac:dyDescent="0.25">
      <c r="C809" s="527"/>
      <c r="H809" s="527"/>
      <c r="N809" s="55"/>
      <c r="P809" s="527"/>
      <c r="Q809" s="529"/>
      <c r="R809" s="529"/>
      <c r="S809" s="529"/>
      <c r="T809" s="529"/>
      <c r="U809" s="529"/>
      <c r="V809" s="529"/>
      <c r="W809" s="529"/>
      <c r="X809" s="529"/>
      <c r="Y809" s="529"/>
      <c r="Z809" s="529"/>
      <c r="AA809" s="529"/>
      <c r="AB809" s="529"/>
      <c r="AC809" s="529"/>
      <c r="AD809" s="529"/>
      <c r="AE809" s="530"/>
      <c r="AF809" s="529"/>
      <c r="AG809" s="529"/>
      <c r="AH809" s="529"/>
      <c r="AI809" s="75"/>
    </row>
    <row r="810" spans="3:35" s="74" customFormat="1" x14ac:dyDescent="0.25">
      <c r="C810" s="527"/>
      <c r="H810" s="527"/>
      <c r="N810" s="55"/>
      <c r="P810" s="527"/>
      <c r="Q810" s="529"/>
      <c r="R810" s="529"/>
      <c r="S810" s="529"/>
      <c r="T810" s="529"/>
      <c r="U810" s="529"/>
      <c r="V810" s="529"/>
      <c r="W810" s="529"/>
      <c r="X810" s="529"/>
      <c r="Y810" s="529"/>
      <c r="Z810" s="529"/>
      <c r="AA810" s="529"/>
      <c r="AB810" s="529"/>
      <c r="AC810" s="529"/>
      <c r="AD810" s="529"/>
      <c r="AE810" s="530"/>
      <c r="AF810" s="529"/>
      <c r="AG810" s="529"/>
      <c r="AH810" s="529"/>
      <c r="AI810" s="75"/>
    </row>
    <row r="811" spans="3:35" s="74" customFormat="1" x14ac:dyDescent="0.25">
      <c r="C811" s="527"/>
      <c r="H811" s="527"/>
      <c r="N811" s="55"/>
      <c r="P811" s="527"/>
      <c r="Q811" s="529"/>
      <c r="R811" s="529"/>
      <c r="S811" s="529"/>
      <c r="T811" s="529"/>
      <c r="U811" s="529"/>
      <c r="V811" s="529"/>
      <c r="W811" s="529"/>
      <c r="X811" s="529"/>
      <c r="Y811" s="529"/>
      <c r="Z811" s="529"/>
      <c r="AA811" s="529"/>
      <c r="AB811" s="529"/>
      <c r="AC811" s="529"/>
      <c r="AD811" s="529"/>
      <c r="AE811" s="530"/>
      <c r="AF811" s="529"/>
      <c r="AG811" s="529"/>
      <c r="AH811" s="529"/>
      <c r="AI811" s="75"/>
    </row>
    <row r="812" spans="3:35" s="74" customFormat="1" x14ac:dyDescent="0.25">
      <c r="C812" s="527"/>
      <c r="H812" s="527"/>
      <c r="N812" s="55"/>
      <c r="P812" s="527"/>
      <c r="Q812" s="529"/>
      <c r="R812" s="529"/>
      <c r="S812" s="529"/>
      <c r="T812" s="529"/>
      <c r="U812" s="529"/>
      <c r="V812" s="529"/>
      <c r="W812" s="529"/>
      <c r="X812" s="529"/>
      <c r="Y812" s="529"/>
      <c r="Z812" s="529"/>
      <c r="AA812" s="529"/>
      <c r="AB812" s="529"/>
      <c r="AC812" s="529"/>
      <c r="AD812" s="529"/>
      <c r="AE812" s="530"/>
      <c r="AF812" s="529"/>
      <c r="AG812" s="529"/>
      <c r="AH812" s="529"/>
      <c r="AI812" s="75"/>
    </row>
    <row r="813" spans="3:35" s="74" customFormat="1" x14ac:dyDescent="0.25">
      <c r="C813" s="527"/>
      <c r="H813" s="527"/>
      <c r="N813" s="55"/>
      <c r="P813" s="527"/>
      <c r="Q813" s="529"/>
      <c r="R813" s="529"/>
      <c r="S813" s="529"/>
      <c r="T813" s="529"/>
      <c r="U813" s="529"/>
      <c r="V813" s="529"/>
      <c r="W813" s="529"/>
      <c r="X813" s="529"/>
      <c r="Y813" s="529"/>
      <c r="Z813" s="529"/>
      <c r="AA813" s="529"/>
      <c r="AB813" s="529"/>
      <c r="AC813" s="529"/>
      <c r="AD813" s="529"/>
      <c r="AE813" s="530"/>
      <c r="AF813" s="529"/>
      <c r="AG813" s="529"/>
      <c r="AH813" s="529"/>
      <c r="AI813" s="75"/>
    </row>
    <row r="814" spans="3:35" s="74" customFormat="1" x14ac:dyDescent="0.25">
      <c r="C814" s="527"/>
      <c r="H814" s="527"/>
      <c r="N814" s="55"/>
      <c r="P814" s="527"/>
      <c r="Q814" s="529"/>
      <c r="R814" s="529"/>
      <c r="S814" s="529"/>
      <c r="T814" s="529"/>
      <c r="U814" s="529"/>
      <c r="V814" s="529"/>
      <c r="W814" s="529"/>
      <c r="X814" s="529"/>
      <c r="Y814" s="529"/>
      <c r="Z814" s="529"/>
      <c r="AA814" s="529"/>
      <c r="AB814" s="529"/>
      <c r="AC814" s="529"/>
      <c r="AD814" s="529"/>
      <c r="AE814" s="530"/>
      <c r="AF814" s="529"/>
      <c r="AG814" s="529"/>
      <c r="AH814" s="529"/>
      <c r="AI814" s="75"/>
    </row>
    <row r="815" spans="3:35" s="74" customFormat="1" x14ac:dyDescent="0.25">
      <c r="C815" s="527"/>
      <c r="H815" s="527"/>
      <c r="N815" s="55"/>
      <c r="P815" s="527"/>
      <c r="Q815" s="529"/>
      <c r="R815" s="529"/>
      <c r="S815" s="529"/>
      <c r="T815" s="529"/>
      <c r="U815" s="529"/>
      <c r="V815" s="529"/>
      <c r="W815" s="529"/>
      <c r="X815" s="529"/>
      <c r="Y815" s="529"/>
      <c r="Z815" s="529"/>
      <c r="AA815" s="529"/>
      <c r="AB815" s="529"/>
      <c r="AC815" s="529"/>
      <c r="AD815" s="529"/>
      <c r="AE815" s="530"/>
      <c r="AF815" s="529"/>
      <c r="AG815" s="529"/>
      <c r="AH815" s="529"/>
      <c r="AI815" s="75"/>
    </row>
    <row r="816" spans="3:35" s="74" customFormat="1" x14ac:dyDescent="0.25">
      <c r="C816" s="527"/>
      <c r="H816" s="527"/>
      <c r="N816" s="55"/>
      <c r="P816" s="527"/>
      <c r="Q816" s="529"/>
      <c r="R816" s="529"/>
      <c r="S816" s="529"/>
      <c r="T816" s="529"/>
      <c r="U816" s="529"/>
      <c r="V816" s="529"/>
      <c r="W816" s="529"/>
      <c r="X816" s="529"/>
      <c r="Y816" s="529"/>
      <c r="Z816" s="529"/>
      <c r="AA816" s="529"/>
      <c r="AB816" s="529"/>
      <c r="AC816" s="529"/>
      <c r="AD816" s="529"/>
      <c r="AE816" s="530"/>
      <c r="AF816" s="529"/>
      <c r="AG816" s="529"/>
      <c r="AH816" s="529"/>
      <c r="AI816" s="75"/>
    </row>
    <row r="817" spans="3:35" s="74" customFormat="1" x14ac:dyDescent="0.25">
      <c r="C817" s="527"/>
      <c r="H817" s="527"/>
      <c r="N817" s="55"/>
      <c r="P817" s="527"/>
      <c r="Q817" s="529"/>
      <c r="R817" s="529"/>
      <c r="S817" s="529"/>
      <c r="T817" s="529"/>
      <c r="U817" s="529"/>
      <c r="V817" s="529"/>
      <c r="W817" s="529"/>
      <c r="X817" s="529"/>
      <c r="Y817" s="529"/>
      <c r="Z817" s="529"/>
      <c r="AA817" s="529"/>
      <c r="AB817" s="529"/>
      <c r="AC817" s="529"/>
      <c r="AD817" s="529"/>
      <c r="AE817" s="530"/>
      <c r="AF817" s="529"/>
      <c r="AG817" s="529"/>
      <c r="AH817" s="529"/>
      <c r="AI817" s="75"/>
    </row>
    <row r="818" spans="3:35" s="74" customFormat="1" x14ac:dyDescent="0.25">
      <c r="C818" s="527"/>
      <c r="H818" s="527"/>
      <c r="N818" s="55"/>
      <c r="P818" s="527"/>
      <c r="Q818" s="529"/>
      <c r="R818" s="529"/>
      <c r="S818" s="529"/>
      <c r="T818" s="529"/>
      <c r="U818" s="529"/>
      <c r="V818" s="529"/>
      <c r="W818" s="529"/>
      <c r="X818" s="529"/>
      <c r="Y818" s="529"/>
      <c r="Z818" s="529"/>
      <c r="AA818" s="529"/>
      <c r="AB818" s="529"/>
      <c r="AC818" s="529"/>
      <c r="AD818" s="529"/>
      <c r="AE818" s="530"/>
      <c r="AF818" s="529"/>
      <c r="AG818" s="529"/>
      <c r="AH818" s="529"/>
      <c r="AI818" s="75"/>
    </row>
    <row r="819" spans="3:35" s="74" customFormat="1" x14ac:dyDescent="0.25">
      <c r="C819" s="527"/>
      <c r="H819" s="527"/>
      <c r="N819" s="55"/>
      <c r="P819" s="527"/>
      <c r="Q819" s="529"/>
      <c r="R819" s="529"/>
      <c r="S819" s="529"/>
      <c r="T819" s="529"/>
      <c r="U819" s="529"/>
      <c r="V819" s="529"/>
      <c r="W819" s="529"/>
      <c r="X819" s="529"/>
      <c r="Y819" s="529"/>
      <c r="Z819" s="529"/>
      <c r="AA819" s="529"/>
      <c r="AB819" s="529"/>
      <c r="AC819" s="529"/>
      <c r="AD819" s="529"/>
      <c r="AE819" s="530"/>
      <c r="AF819" s="529"/>
      <c r="AG819" s="529"/>
      <c r="AH819" s="529"/>
      <c r="AI819" s="75"/>
    </row>
    <row r="820" spans="3:35" s="74" customFormat="1" x14ac:dyDescent="0.25">
      <c r="C820" s="527"/>
      <c r="H820" s="527"/>
      <c r="N820" s="55"/>
      <c r="P820" s="527"/>
      <c r="Q820" s="529"/>
      <c r="R820" s="529"/>
      <c r="S820" s="529"/>
      <c r="T820" s="529"/>
      <c r="U820" s="529"/>
      <c r="V820" s="529"/>
      <c r="W820" s="529"/>
      <c r="X820" s="529"/>
      <c r="Y820" s="529"/>
      <c r="Z820" s="529"/>
      <c r="AA820" s="529"/>
      <c r="AB820" s="529"/>
      <c r="AC820" s="529"/>
      <c r="AD820" s="529"/>
      <c r="AE820" s="530"/>
      <c r="AF820" s="529"/>
      <c r="AG820" s="529"/>
      <c r="AH820" s="529"/>
      <c r="AI820" s="75"/>
    </row>
    <row r="821" spans="3:35" s="74" customFormat="1" x14ac:dyDescent="0.25">
      <c r="C821" s="527"/>
      <c r="H821" s="527"/>
      <c r="N821" s="55"/>
      <c r="P821" s="527"/>
      <c r="Q821" s="529"/>
      <c r="R821" s="529"/>
      <c r="S821" s="529"/>
      <c r="T821" s="529"/>
      <c r="U821" s="529"/>
      <c r="V821" s="529"/>
      <c r="W821" s="529"/>
      <c r="X821" s="529"/>
      <c r="Y821" s="529"/>
      <c r="Z821" s="529"/>
      <c r="AA821" s="529"/>
      <c r="AB821" s="529"/>
      <c r="AC821" s="529"/>
      <c r="AD821" s="529"/>
      <c r="AE821" s="530"/>
      <c r="AF821" s="529"/>
      <c r="AG821" s="529"/>
      <c r="AH821" s="529"/>
      <c r="AI821" s="75"/>
    </row>
    <row r="822" spans="3:35" s="74" customFormat="1" x14ac:dyDescent="0.25">
      <c r="C822" s="527"/>
      <c r="H822" s="527"/>
      <c r="N822" s="55"/>
      <c r="P822" s="527"/>
      <c r="Q822" s="529"/>
      <c r="R822" s="529"/>
      <c r="S822" s="529"/>
      <c r="T822" s="529"/>
      <c r="U822" s="529"/>
      <c r="V822" s="529"/>
      <c r="W822" s="529"/>
      <c r="X822" s="529"/>
      <c r="Y822" s="529"/>
      <c r="Z822" s="529"/>
      <c r="AA822" s="529"/>
      <c r="AB822" s="529"/>
      <c r="AC822" s="529"/>
      <c r="AD822" s="529"/>
      <c r="AE822" s="530"/>
      <c r="AF822" s="529"/>
      <c r="AG822" s="529"/>
      <c r="AH822" s="529"/>
      <c r="AI822" s="75"/>
    </row>
    <row r="823" spans="3:35" s="74" customFormat="1" x14ac:dyDescent="0.25">
      <c r="C823" s="527"/>
      <c r="H823" s="527"/>
      <c r="N823" s="55"/>
      <c r="P823" s="527"/>
      <c r="Q823" s="529"/>
      <c r="R823" s="529"/>
      <c r="S823" s="529"/>
      <c r="T823" s="529"/>
      <c r="U823" s="529"/>
      <c r="V823" s="529"/>
      <c r="W823" s="529"/>
      <c r="X823" s="529"/>
      <c r="Y823" s="529"/>
      <c r="Z823" s="529"/>
      <c r="AA823" s="529"/>
      <c r="AB823" s="529"/>
      <c r="AC823" s="529"/>
      <c r="AD823" s="529"/>
      <c r="AE823" s="530"/>
      <c r="AF823" s="529"/>
      <c r="AG823" s="529"/>
      <c r="AH823" s="529"/>
      <c r="AI823" s="75"/>
    </row>
    <row r="824" spans="3:35" s="74" customFormat="1" x14ac:dyDescent="0.25">
      <c r="C824" s="527"/>
      <c r="H824" s="527"/>
      <c r="N824" s="55"/>
      <c r="P824" s="527"/>
      <c r="Q824" s="529"/>
      <c r="R824" s="529"/>
      <c r="S824" s="529"/>
      <c r="T824" s="529"/>
      <c r="U824" s="529"/>
      <c r="V824" s="529"/>
      <c r="W824" s="529"/>
      <c r="X824" s="529"/>
      <c r="Y824" s="529"/>
      <c r="Z824" s="529"/>
      <c r="AA824" s="529"/>
      <c r="AB824" s="529"/>
      <c r="AC824" s="529"/>
      <c r="AD824" s="529"/>
      <c r="AE824" s="530"/>
      <c r="AF824" s="529"/>
      <c r="AG824" s="529"/>
      <c r="AH824" s="529"/>
      <c r="AI824" s="75"/>
    </row>
    <row r="825" spans="3:35" s="74" customFormat="1" x14ac:dyDescent="0.25">
      <c r="C825" s="527"/>
      <c r="H825" s="527"/>
      <c r="N825" s="55"/>
      <c r="P825" s="527"/>
      <c r="Q825" s="529"/>
      <c r="R825" s="529"/>
      <c r="S825" s="529"/>
      <c r="T825" s="529"/>
      <c r="U825" s="529"/>
      <c r="V825" s="529"/>
      <c r="W825" s="529"/>
      <c r="X825" s="529"/>
      <c r="Y825" s="529"/>
      <c r="Z825" s="529"/>
      <c r="AA825" s="529"/>
      <c r="AB825" s="529"/>
      <c r="AC825" s="529"/>
      <c r="AD825" s="529"/>
      <c r="AE825" s="530"/>
      <c r="AF825" s="529"/>
      <c r="AG825" s="529"/>
      <c r="AH825" s="529"/>
      <c r="AI825" s="75"/>
    </row>
    <row r="826" spans="3:35" s="74" customFormat="1" x14ac:dyDescent="0.25">
      <c r="C826" s="527"/>
      <c r="H826" s="527"/>
      <c r="N826" s="55"/>
      <c r="P826" s="527"/>
      <c r="Q826" s="529"/>
      <c r="R826" s="529"/>
      <c r="S826" s="529"/>
      <c r="T826" s="529"/>
      <c r="U826" s="529"/>
      <c r="V826" s="529"/>
      <c r="W826" s="529"/>
      <c r="X826" s="529"/>
      <c r="Y826" s="529"/>
      <c r="Z826" s="529"/>
      <c r="AA826" s="529"/>
      <c r="AB826" s="529"/>
      <c r="AC826" s="529"/>
      <c r="AD826" s="529"/>
      <c r="AE826" s="530"/>
      <c r="AF826" s="529"/>
      <c r="AG826" s="529"/>
      <c r="AH826" s="529"/>
      <c r="AI826" s="75"/>
    </row>
    <row r="827" spans="3:35" s="74" customFormat="1" x14ac:dyDescent="0.25">
      <c r="C827" s="527"/>
      <c r="H827" s="527"/>
      <c r="N827" s="55"/>
      <c r="P827" s="527"/>
      <c r="Q827" s="529"/>
      <c r="R827" s="529"/>
      <c r="S827" s="529"/>
      <c r="T827" s="529"/>
      <c r="U827" s="529"/>
      <c r="V827" s="529"/>
      <c r="W827" s="529"/>
      <c r="X827" s="529"/>
      <c r="Y827" s="529"/>
      <c r="Z827" s="529"/>
      <c r="AA827" s="529"/>
      <c r="AB827" s="529"/>
      <c r="AC827" s="529"/>
      <c r="AD827" s="529"/>
      <c r="AE827" s="530"/>
      <c r="AF827" s="529"/>
      <c r="AG827" s="529"/>
      <c r="AH827" s="529"/>
      <c r="AI827" s="75"/>
    </row>
    <row r="828" spans="3:35" s="74" customFormat="1" x14ac:dyDescent="0.25">
      <c r="C828" s="527"/>
      <c r="H828" s="527"/>
      <c r="N828" s="55"/>
      <c r="P828" s="527"/>
      <c r="Q828" s="529"/>
      <c r="R828" s="529"/>
      <c r="S828" s="529"/>
      <c r="T828" s="529"/>
      <c r="U828" s="529"/>
      <c r="V828" s="529"/>
      <c r="W828" s="529"/>
      <c r="X828" s="529"/>
      <c r="Y828" s="529"/>
      <c r="Z828" s="529"/>
      <c r="AA828" s="529"/>
      <c r="AB828" s="529"/>
      <c r="AC828" s="529"/>
      <c r="AD828" s="529"/>
      <c r="AE828" s="530"/>
      <c r="AF828" s="529"/>
      <c r="AG828" s="529"/>
      <c r="AH828" s="529"/>
      <c r="AI828" s="75"/>
    </row>
    <row r="829" spans="3:35" s="74" customFormat="1" x14ac:dyDescent="0.25">
      <c r="C829" s="527"/>
      <c r="H829" s="527"/>
      <c r="N829" s="55"/>
      <c r="P829" s="527"/>
      <c r="Q829" s="529"/>
      <c r="R829" s="529"/>
      <c r="S829" s="529"/>
      <c r="T829" s="529"/>
      <c r="U829" s="529"/>
      <c r="V829" s="529"/>
      <c r="W829" s="529"/>
      <c r="X829" s="529"/>
      <c r="Y829" s="529"/>
      <c r="Z829" s="529"/>
      <c r="AA829" s="529"/>
      <c r="AB829" s="529"/>
      <c r="AC829" s="529"/>
      <c r="AD829" s="529"/>
      <c r="AE829" s="530"/>
      <c r="AF829" s="529"/>
      <c r="AG829" s="529"/>
      <c r="AH829" s="529"/>
      <c r="AI829" s="75"/>
    </row>
    <row r="830" spans="3:35" s="74" customFormat="1" x14ac:dyDescent="0.25">
      <c r="C830" s="527"/>
      <c r="H830" s="527"/>
      <c r="N830" s="55"/>
      <c r="P830" s="527"/>
      <c r="Q830" s="529"/>
      <c r="R830" s="529"/>
      <c r="S830" s="529"/>
      <c r="T830" s="529"/>
      <c r="U830" s="529"/>
      <c r="V830" s="529"/>
      <c r="W830" s="529"/>
      <c r="X830" s="529"/>
      <c r="Y830" s="529"/>
      <c r="Z830" s="529"/>
      <c r="AA830" s="529"/>
      <c r="AB830" s="529"/>
      <c r="AC830" s="529"/>
      <c r="AD830" s="529"/>
      <c r="AE830" s="530"/>
      <c r="AF830" s="529"/>
      <c r="AG830" s="529"/>
      <c r="AH830" s="529"/>
      <c r="AI830" s="75"/>
    </row>
    <row r="831" spans="3:35" s="74" customFormat="1" x14ac:dyDescent="0.25">
      <c r="C831" s="527"/>
      <c r="H831" s="527"/>
      <c r="N831" s="55"/>
      <c r="P831" s="527"/>
      <c r="Q831" s="529"/>
      <c r="R831" s="529"/>
      <c r="S831" s="529"/>
      <c r="T831" s="529"/>
      <c r="U831" s="529"/>
      <c r="V831" s="529"/>
      <c r="W831" s="529"/>
      <c r="X831" s="529"/>
      <c r="Y831" s="529"/>
      <c r="Z831" s="529"/>
      <c r="AA831" s="529"/>
      <c r="AB831" s="529"/>
      <c r="AC831" s="529"/>
      <c r="AD831" s="529"/>
      <c r="AE831" s="530"/>
      <c r="AF831" s="529"/>
      <c r="AG831" s="529"/>
      <c r="AH831" s="529"/>
      <c r="AI831" s="75"/>
    </row>
    <row r="832" spans="3:35" s="74" customFormat="1" x14ac:dyDescent="0.25">
      <c r="C832" s="527"/>
      <c r="H832" s="527"/>
      <c r="N832" s="55"/>
      <c r="P832" s="527"/>
      <c r="Q832" s="529"/>
      <c r="R832" s="529"/>
      <c r="S832" s="529"/>
      <c r="T832" s="529"/>
      <c r="U832" s="529"/>
      <c r="V832" s="529"/>
      <c r="W832" s="529"/>
      <c r="X832" s="529"/>
      <c r="Y832" s="529"/>
      <c r="Z832" s="529"/>
      <c r="AA832" s="529"/>
      <c r="AB832" s="529"/>
      <c r="AC832" s="529"/>
      <c r="AD832" s="529"/>
      <c r="AE832" s="530"/>
      <c r="AF832" s="529"/>
      <c r="AG832" s="529"/>
      <c r="AH832" s="529"/>
      <c r="AI832" s="75"/>
    </row>
    <row r="833" spans="3:35" s="74" customFormat="1" x14ac:dyDescent="0.25">
      <c r="C833" s="527"/>
      <c r="H833" s="527"/>
      <c r="N833" s="55"/>
      <c r="P833" s="527"/>
      <c r="Q833" s="529"/>
      <c r="R833" s="529"/>
      <c r="S833" s="529"/>
      <c r="T833" s="529"/>
      <c r="U833" s="529"/>
      <c r="V833" s="529"/>
      <c r="W833" s="529"/>
      <c r="X833" s="529"/>
      <c r="Y833" s="529"/>
      <c r="Z833" s="529"/>
      <c r="AA833" s="529"/>
      <c r="AB833" s="529"/>
      <c r="AC833" s="529"/>
      <c r="AD833" s="529"/>
      <c r="AE833" s="530"/>
      <c r="AF833" s="529"/>
      <c r="AG833" s="529"/>
      <c r="AH833" s="529"/>
      <c r="AI833" s="75"/>
    </row>
    <row r="834" spans="3:35" s="74" customFormat="1" x14ac:dyDescent="0.25">
      <c r="C834" s="527"/>
      <c r="H834" s="527"/>
      <c r="N834" s="55"/>
      <c r="P834" s="527"/>
      <c r="Q834" s="529"/>
      <c r="R834" s="529"/>
      <c r="S834" s="529"/>
      <c r="T834" s="529"/>
      <c r="U834" s="529"/>
      <c r="V834" s="529"/>
      <c r="W834" s="529"/>
      <c r="X834" s="529"/>
      <c r="Y834" s="529"/>
      <c r="Z834" s="529"/>
      <c r="AA834" s="529"/>
      <c r="AB834" s="529"/>
      <c r="AC834" s="529"/>
      <c r="AD834" s="529"/>
      <c r="AE834" s="530"/>
      <c r="AF834" s="529"/>
      <c r="AG834" s="529"/>
      <c r="AH834" s="529"/>
      <c r="AI834" s="75"/>
    </row>
    <row r="835" spans="3:35" s="74" customFormat="1" x14ac:dyDescent="0.25">
      <c r="C835" s="527"/>
      <c r="H835" s="527"/>
      <c r="N835" s="55"/>
      <c r="P835" s="527"/>
      <c r="Q835" s="529"/>
      <c r="R835" s="529"/>
      <c r="S835" s="529"/>
      <c r="T835" s="529"/>
      <c r="U835" s="529"/>
      <c r="V835" s="529"/>
      <c r="W835" s="529"/>
      <c r="X835" s="529"/>
      <c r="Y835" s="529"/>
      <c r="Z835" s="529"/>
      <c r="AA835" s="529"/>
      <c r="AB835" s="529"/>
      <c r="AC835" s="529"/>
      <c r="AD835" s="529"/>
      <c r="AE835" s="530"/>
      <c r="AF835" s="529"/>
      <c r="AG835" s="529"/>
      <c r="AH835" s="529"/>
      <c r="AI835" s="75"/>
    </row>
    <row r="836" spans="3:35" s="74" customFormat="1" x14ac:dyDescent="0.25">
      <c r="C836" s="527"/>
      <c r="H836" s="527"/>
      <c r="N836" s="55"/>
      <c r="P836" s="527"/>
      <c r="Q836" s="529"/>
      <c r="R836" s="529"/>
      <c r="S836" s="529"/>
      <c r="T836" s="529"/>
      <c r="U836" s="529"/>
      <c r="V836" s="529"/>
      <c r="W836" s="529"/>
      <c r="X836" s="529"/>
      <c r="Y836" s="529"/>
      <c r="Z836" s="529"/>
      <c r="AA836" s="529"/>
      <c r="AB836" s="529"/>
      <c r="AC836" s="529"/>
      <c r="AD836" s="529"/>
      <c r="AE836" s="530"/>
      <c r="AF836" s="529"/>
      <c r="AG836" s="529"/>
      <c r="AH836" s="529"/>
      <c r="AI836" s="75"/>
    </row>
    <row r="837" spans="3:35" s="74" customFormat="1" x14ac:dyDescent="0.25">
      <c r="C837" s="527"/>
      <c r="H837" s="527"/>
      <c r="N837" s="55"/>
      <c r="P837" s="527"/>
      <c r="Q837" s="529"/>
      <c r="R837" s="529"/>
      <c r="S837" s="529"/>
      <c r="T837" s="529"/>
      <c r="U837" s="529"/>
      <c r="V837" s="529"/>
      <c r="W837" s="529"/>
      <c r="X837" s="529"/>
      <c r="Y837" s="529"/>
      <c r="Z837" s="529"/>
      <c r="AA837" s="529"/>
      <c r="AB837" s="529"/>
      <c r="AC837" s="529"/>
      <c r="AD837" s="529"/>
      <c r="AE837" s="530"/>
      <c r="AF837" s="529"/>
      <c r="AG837" s="529"/>
      <c r="AH837" s="529"/>
      <c r="AI837" s="75"/>
    </row>
    <row r="838" spans="3:35" s="74" customFormat="1" x14ac:dyDescent="0.25">
      <c r="C838" s="527"/>
      <c r="H838" s="527"/>
      <c r="N838" s="55"/>
      <c r="P838" s="527"/>
      <c r="Q838" s="529"/>
      <c r="R838" s="529"/>
      <c r="S838" s="529"/>
      <c r="T838" s="529"/>
      <c r="U838" s="529"/>
      <c r="V838" s="529"/>
      <c r="W838" s="529"/>
      <c r="X838" s="529"/>
      <c r="Y838" s="529"/>
      <c r="Z838" s="529"/>
      <c r="AA838" s="529"/>
      <c r="AB838" s="529"/>
      <c r="AC838" s="529"/>
      <c r="AD838" s="529"/>
      <c r="AE838" s="530"/>
      <c r="AF838" s="529"/>
      <c r="AG838" s="529"/>
      <c r="AH838" s="529"/>
      <c r="AI838" s="75"/>
    </row>
    <row r="839" spans="3:35" s="74" customFormat="1" x14ac:dyDescent="0.25">
      <c r="C839" s="527"/>
      <c r="H839" s="527"/>
      <c r="N839" s="55"/>
      <c r="P839" s="527"/>
      <c r="Q839" s="529"/>
      <c r="R839" s="529"/>
      <c r="S839" s="529"/>
      <c r="T839" s="529"/>
      <c r="U839" s="529"/>
      <c r="V839" s="529"/>
      <c r="W839" s="529"/>
      <c r="X839" s="529"/>
      <c r="Y839" s="529"/>
      <c r="Z839" s="529"/>
      <c r="AA839" s="529"/>
      <c r="AB839" s="529"/>
      <c r="AC839" s="529"/>
      <c r="AD839" s="529"/>
      <c r="AE839" s="530"/>
      <c r="AF839" s="529"/>
      <c r="AG839" s="529"/>
      <c r="AH839" s="529"/>
      <c r="AI839" s="75"/>
    </row>
    <row r="840" spans="3:35" s="74" customFormat="1" x14ac:dyDescent="0.25">
      <c r="C840" s="527"/>
      <c r="H840" s="527"/>
      <c r="N840" s="55"/>
      <c r="P840" s="527"/>
      <c r="Q840" s="529"/>
      <c r="R840" s="529"/>
      <c r="S840" s="529"/>
      <c r="T840" s="529"/>
      <c r="U840" s="529"/>
      <c r="V840" s="529"/>
      <c r="W840" s="529"/>
      <c r="X840" s="529"/>
      <c r="Y840" s="529"/>
      <c r="Z840" s="529"/>
      <c r="AA840" s="529"/>
      <c r="AB840" s="529"/>
      <c r="AC840" s="529"/>
      <c r="AD840" s="529"/>
      <c r="AE840" s="530"/>
      <c r="AF840" s="529"/>
      <c r="AG840" s="529"/>
      <c r="AH840" s="529"/>
      <c r="AI840" s="75"/>
    </row>
    <row r="841" spans="3:35" s="74" customFormat="1" x14ac:dyDescent="0.25">
      <c r="C841" s="527"/>
      <c r="H841" s="527"/>
      <c r="N841" s="55"/>
      <c r="P841" s="527"/>
      <c r="Q841" s="529"/>
      <c r="R841" s="529"/>
      <c r="S841" s="529"/>
      <c r="T841" s="529"/>
      <c r="U841" s="529"/>
      <c r="V841" s="529"/>
      <c r="W841" s="529"/>
      <c r="X841" s="529"/>
      <c r="Y841" s="529"/>
      <c r="Z841" s="529"/>
      <c r="AA841" s="529"/>
      <c r="AB841" s="529"/>
      <c r="AC841" s="529"/>
      <c r="AD841" s="529"/>
      <c r="AE841" s="530"/>
      <c r="AF841" s="529"/>
      <c r="AG841" s="529"/>
      <c r="AH841" s="529"/>
      <c r="AI841" s="75"/>
    </row>
    <row r="842" spans="3:35" s="74" customFormat="1" x14ac:dyDescent="0.25">
      <c r="C842" s="527"/>
      <c r="H842" s="527"/>
      <c r="N842" s="55"/>
      <c r="P842" s="527"/>
      <c r="Q842" s="529"/>
      <c r="R842" s="529"/>
      <c r="S842" s="529"/>
      <c r="T842" s="529"/>
      <c r="U842" s="529"/>
      <c r="V842" s="529"/>
      <c r="W842" s="529"/>
      <c r="X842" s="529"/>
      <c r="Y842" s="529"/>
      <c r="Z842" s="529"/>
      <c r="AA842" s="529"/>
      <c r="AB842" s="529"/>
      <c r="AC842" s="529"/>
      <c r="AD842" s="529"/>
      <c r="AE842" s="530"/>
      <c r="AF842" s="529"/>
      <c r="AG842" s="529"/>
      <c r="AH842" s="529"/>
      <c r="AI842" s="75"/>
    </row>
    <row r="843" spans="3:35" s="74" customFormat="1" x14ac:dyDescent="0.25">
      <c r="C843" s="527"/>
      <c r="H843" s="527"/>
      <c r="N843" s="55"/>
      <c r="P843" s="527"/>
      <c r="Q843" s="529"/>
      <c r="R843" s="529"/>
      <c r="S843" s="529"/>
      <c r="T843" s="529"/>
      <c r="U843" s="529"/>
      <c r="V843" s="529"/>
      <c r="W843" s="529"/>
      <c r="X843" s="529"/>
      <c r="Y843" s="529"/>
      <c r="Z843" s="529"/>
      <c r="AA843" s="529"/>
      <c r="AB843" s="529"/>
      <c r="AC843" s="529"/>
      <c r="AD843" s="529"/>
      <c r="AE843" s="530"/>
      <c r="AF843" s="529"/>
      <c r="AG843" s="529"/>
      <c r="AH843" s="529"/>
      <c r="AI843" s="75"/>
    </row>
    <row r="844" spans="3:35" s="74" customFormat="1" x14ac:dyDescent="0.25">
      <c r="C844" s="527"/>
      <c r="H844" s="527"/>
      <c r="N844" s="55"/>
      <c r="P844" s="527"/>
      <c r="Q844" s="529"/>
      <c r="R844" s="529"/>
      <c r="S844" s="529"/>
      <c r="T844" s="529"/>
      <c r="U844" s="529"/>
      <c r="V844" s="529"/>
      <c r="W844" s="529"/>
      <c r="X844" s="529"/>
      <c r="Y844" s="529"/>
      <c r="Z844" s="529"/>
      <c r="AA844" s="529"/>
      <c r="AB844" s="529"/>
      <c r="AC844" s="529"/>
      <c r="AD844" s="529"/>
      <c r="AE844" s="530"/>
      <c r="AF844" s="529"/>
      <c r="AG844" s="529"/>
      <c r="AH844" s="529"/>
      <c r="AI844" s="75"/>
    </row>
    <row r="845" spans="3:35" s="74" customFormat="1" x14ac:dyDescent="0.25">
      <c r="C845" s="527"/>
      <c r="H845" s="527"/>
      <c r="N845" s="55"/>
      <c r="P845" s="527"/>
      <c r="Q845" s="529"/>
      <c r="R845" s="529"/>
      <c r="S845" s="529"/>
      <c r="T845" s="529"/>
      <c r="U845" s="529"/>
      <c r="V845" s="529"/>
      <c r="W845" s="529"/>
      <c r="X845" s="529"/>
      <c r="Y845" s="529"/>
      <c r="Z845" s="529"/>
      <c r="AA845" s="529"/>
      <c r="AB845" s="529"/>
      <c r="AC845" s="529"/>
      <c r="AD845" s="529"/>
      <c r="AE845" s="530"/>
      <c r="AF845" s="529"/>
      <c r="AG845" s="529"/>
      <c r="AH845" s="529"/>
      <c r="AI845" s="75"/>
    </row>
    <row r="846" spans="3:35" s="74" customFormat="1" x14ac:dyDescent="0.25">
      <c r="C846" s="527"/>
      <c r="H846" s="527"/>
      <c r="N846" s="55"/>
      <c r="P846" s="527"/>
      <c r="Q846" s="529"/>
      <c r="R846" s="529"/>
      <c r="S846" s="529"/>
      <c r="T846" s="529"/>
      <c r="U846" s="529"/>
      <c r="V846" s="529"/>
      <c r="W846" s="529"/>
      <c r="X846" s="529"/>
      <c r="Y846" s="529"/>
      <c r="Z846" s="529"/>
      <c r="AA846" s="529"/>
      <c r="AB846" s="529"/>
      <c r="AC846" s="529"/>
      <c r="AD846" s="529"/>
      <c r="AE846" s="530"/>
      <c r="AF846" s="529"/>
      <c r="AG846" s="529"/>
      <c r="AH846" s="529"/>
      <c r="AI846" s="75"/>
    </row>
    <row r="847" spans="3:35" s="74" customFormat="1" x14ac:dyDescent="0.25">
      <c r="C847" s="527"/>
      <c r="H847" s="527"/>
      <c r="N847" s="55"/>
      <c r="P847" s="527"/>
      <c r="Q847" s="529"/>
      <c r="R847" s="529"/>
      <c r="S847" s="529"/>
      <c r="T847" s="529"/>
      <c r="U847" s="529"/>
      <c r="V847" s="529"/>
      <c r="W847" s="529"/>
      <c r="X847" s="529"/>
      <c r="Y847" s="529"/>
      <c r="Z847" s="529"/>
      <c r="AA847" s="529"/>
      <c r="AB847" s="529"/>
      <c r="AC847" s="529"/>
      <c r="AD847" s="529"/>
      <c r="AE847" s="530"/>
      <c r="AF847" s="529"/>
      <c r="AG847" s="529"/>
      <c r="AH847" s="529"/>
      <c r="AI847" s="75"/>
    </row>
    <row r="848" spans="3:35" s="74" customFormat="1" x14ac:dyDescent="0.25">
      <c r="C848" s="527"/>
      <c r="H848" s="527"/>
      <c r="N848" s="55"/>
      <c r="P848" s="527"/>
      <c r="Q848" s="529"/>
      <c r="R848" s="529"/>
      <c r="S848" s="529"/>
      <c r="T848" s="529"/>
      <c r="U848" s="529"/>
      <c r="V848" s="529"/>
      <c r="W848" s="529"/>
      <c r="X848" s="529"/>
      <c r="Y848" s="529"/>
      <c r="Z848" s="529"/>
      <c r="AA848" s="529"/>
      <c r="AB848" s="529"/>
      <c r="AC848" s="529"/>
      <c r="AD848" s="529"/>
      <c r="AE848" s="530"/>
      <c r="AF848" s="529"/>
      <c r="AG848" s="529"/>
      <c r="AH848" s="529"/>
      <c r="AI848" s="75"/>
    </row>
    <row r="849" spans="3:35" s="74" customFormat="1" x14ac:dyDescent="0.25">
      <c r="C849" s="527"/>
      <c r="H849" s="527"/>
      <c r="N849" s="55"/>
      <c r="P849" s="527"/>
      <c r="Q849" s="529"/>
      <c r="R849" s="529"/>
      <c r="S849" s="529"/>
      <c r="T849" s="529"/>
      <c r="U849" s="529"/>
      <c r="V849" s="529"/>
      <c r="W849" s="529"/>
      <c r="X849" s="529"/>
      <c r="Y849" s="529"/>
      <c r="Z849" s="529"/>
      <c r="AA849" s="529"/>
      <c r="AB849" s="529"/>
      <c r="AC849" s="529"/>
      <c r="AD849" s="529"/>
      <c r="AE849" s="530"/>
      <c r="AF849" s="529"/>
      <c r="AG849" s="529"/>
      <c r="AH849" s="529"/>
      <c r="AI849" s="75"/>
    </row>
    <row r="850" spans="3:35" s="74" customFormat="1" x14ac:dyDescent="0.25">
      <c r="C850" s="527"/>
      <c r="H850" s="527"/>
      <c r="N850" s="55"/>
      <c r="P850" s="527"/>
      <c r="Q850" s="529"/>
      <c r="R850" s="529"/>
      <c r="S850" s="529"/>
      <c r="T850" s="529"/>
      <c r="U850" s="529"/>
      <c r="V850" s="529"/>
      <c r="W850" s="529"/>
      <c r="X850" s="529"/>
      <c r="Y850" s="529"/>
      <c r="Z850" s="529"/>
      <c r="AA850" s="529"/>
      <c r="AB850" s="529"/>
      <c r="AC850" s="529"/>
      <c r="AD850" s="529"/>
      <c r="AE850" s="530"/>
      <c r="AF850" s="529"/>
      <c r="AG850" s="529"/>
      <c r="AH850" s="529"/>
      <c r="AI850" s="75"/>
    </row>
    <row r="851" spans="3:35" s="74" customFormat="1" x14ac:dyDescent="0.25">
      <c r="C851" s="527"/>
      <c r="H851" s="527"/>
      <c r="N851" s="55"/>
      <c r="P851" s="527"/>
      <c r="Q851" s="529"/>
      <c r="R851" s="529"/>
      <c r="S851" s="529"/>
      <c r="T851" s="529"/>
      <c r="U851" s="529"/>
      <c r="V851" s="529"/>
      <c r="W851" s="529"/>
      <c r="X851" s="529"/>
      <c r="Y851" s="529"/>
      <c r="Z851" s="529"/>
      <c r="AA851" s="529"/>
      <c r="AB851" s="529"/>
      <c r="AC851" s="529"/>
      <c r="AD851" s="529"/>
      <c r="AE851" s="530"/>
      <c r="AF851" s="529"/>
      <c r="AG851" s="529"/>
      <c r="AH851" s="529"/>
      <c r="AI851" s="75"/>
    </row>
    <row r="852" spans="3:35" s="74" customFormat="1" x14ac:dyDescent="0.25">
      <c r="C852" s="527"/>
      <c r="H852" s="527"/>
      <c r="N852" s="55"/>
      <c r="P852" s="527"/>
      <c r="Q852" s="529"/>
      <c r="R852" s="529"/>
      <c r="S852" s="529"/>
      <c r="T852" s="529"/>
      <c r="U852" s="529"/>
      <c r="V852" s="529"/>
      <c r="W852" s="529"/>
      <c r="X852" s="529"/>
      <c r="Y852" s="529"/>
      <c r="Z852" s="529"/>
      <c r="AA852" s="529"/>
      <c r="AB852" s="529"/>
      <c r="AC852" s="529"/>
      <c r="AD852" s="529"/>
      <c r="AE852" s="530"/>
      <c r="AF852" s="529"/>
      <c r="AG852" s="529"/>
      <c r="AH852" s="529"/>
      <c r="AI852" s="75"/>
    </row>
    <row r="853" spans="3:35" s="74" customFormat="1" x14ac:dyDescent="0.25">
      <c r="C853" s="527"/>
      <c r="H853" s="527"/>
      <c r="N853" s="55"/>
      <c r="P853" s="527"/>
      <c r="Q853" s="529"/>
      <c r="R853" s="529"/>
      <c r="S853" s="529"/>
      <c r="T853" s="529"/>
      <c r="U853" s="529"/>
      <c r="V853" s="529"/>
      <c r="W853" s="529"/>
      <c r="X853" s="529"/>
      <c r="Y853" s="529"/>
      <c r="Z853" s="529"/>
      <c r="AA853" s="529"/>
      <c r="AB853" s="529"/>
      <c r="AC853" s="529"/>
      <c r="AD853" s="529"/>
      <c r="AE853" s="530"/>
      <c r="AF853" s="529"/>
      <c r="AG853" s="529"/>
      <c r="AH853" s="529"/>
      <c r="AI853" s="75"/>
    </row>
    <row r="854" spans="3:35" s="74" customFormat="1" x14ac:dyDescent="0.25">
      <c r="C854" s="527"/>
      <c r="H854" s="527"/>
      <c r="N854" s="55"/>
      <c r="P854" s="527"/>
      <c r="Q854" s="529"/>
      <c r="R854" s="529"/>
      <c r="S854" s="529"/>
      <c r="T854" s="529"/>
      <c r="U854" s="529"/>
      <c r="V854" s="529"/>
      <c r="W854" s="529"/>
      <c r="X854" s="529"/>
      <c r="Y854" s="529"/>
      <c r="Z854" s="529"/>
      <c r="AA854" s="529"/>
      <c r="AB854" s="529"/>
      <c r="AC854" s="529"/>
      <c r="AD854" s="529"/>
      <c r="AE854" s="530"/>
      <c r="AF854" s="529"/>
      <c r="AG854" s="529"/>
      <c r="AH854" s="529"/>
      <c r="AI854" s="75"/>
    </row>
    <row r="855" spans="3:35" s="74" customFormat="1" x14ac:dyDescent="0.25">
      <c r="C855" s="527"/>
      <c r="H855" s="527"/>
      <c r="N855" s="55"/>
      <c r="P855" s="527"/>
      <c r="Q855" s="529"/>
      <c r="R855" s="529"/>
      <c r="S855" s="529"/>
      <c r="T855" s="529"/>
      <c r="U855" s="529"/>
      <c r="V855" s="529"/>
      <c r="W855" s="529"/>
      <c r="X855" s="529"/>
      <c r="Y855" s="529"/>
      <c r="Z855" s="529"/>
      <c r="AA855" s="529"/>
      <c r="AB855" s="529"/>
      <c r="AC855" s="529"/>
      <c r="AD855" s="529"/>
      <c r="AE855" s="530"/>
      <c r="AF855" s="529"/>
      <c r="AG855" s="529"/>
      <c r="AH855" s="529"/>
      <c r="AI855" s="75"/>
    </row>
    <row r="856" spans="3:35" s="74" customFormat="1" x14ac:dyDescent="0.25">
      <c r="C856" s="527"/>
      <c r="H856" s="527"/>
      <c r="N856" s="55"/>
      <c r="P856" s="527"/>
      <c r="Q856" s="529"/>
      <c r="R856" s="529"/>
      <c r="S856" s="529"/>
      <c r="T856" s="529"/>
      <c r="U856" s="529"/>
      <c r="V856" s="529"/>
      <c r="W856" s="529"/>
      <c r="X856" s="529"/>
      <c r="Y856" s="529"/>
      <c r="Z856" s="529"/>
      <c r="AA856" s="529"/>
      <c r="AB856" s="529"/>
      <c r="AC856" s="529"/>
      <c r="AD856" s="529"/>
      <c r="AE856" s="530"/>
      <c r="AF856" s="529"/>
      <c r="AG856" s="529"/>
      <c r="AH856" s="529"/>
      <c r="AI856" s="75"/>
    </row>
    <row r="857" spans="3:35" s="74" customFormat="1" x14ac:dyDescent="0.25">
      <c r="C857" s="527"/>
      <c r="H857" s="527"/>
      <c r="N857" s="55"/>
      <c r="P857" s="527"/>
      <c r="Q857" s="529"/>
      <c r="R857" s="529"/>
      <c r="S857" s="529"/>
      <c r="T857" s="529"/>
      <c r="U857" s="529"/>
      <c r="V857" s="529"/>
      <c r="W857" s="529"/>
      <c r="X857" s="529"/>
      <c r="Y857" s="529"/>
      <c r="Z857" s="529"/>
      <c r="AA857" s="529"/>
      <c r="AB857" s="529"/>
      <c r="AC857" s="529"/>
      <c r="AD857" s="529"/>
      <c r="AE857" s="530"/>
      <c r="AF857" s="529"/>
      <c r="AG857" s="529"/>
      <c r="AH857" s="529"/>
      <c r="AI857" s="75"/>
    </row>
    <row r="858" spans="3:35" s="74" customFormat="1" x14ac:dyDescent="0.25">
      <c r="C858" s="527"/>
      <c r="H858" s="527"/>
      <c r="N858" s="55"/>
      <c r="P858" s="527"/>
      <c r="Q858" s="529"/>
      <c r="R858" s="529"/>
      <c r="S858" s="529"/>
      <c r="T858" s="529"/>
      <c r="U858" s="529"/>
      <c r="V858" s="529"/>
      <c r="W858" s="529"/>
      <c r="X858" s="529"/>
      <c r="Y858" s="529"/>
      <c r="Z858" s="529"/>
      <c r="AA858" s="529"/>
      <c r="AB858" s="529"/>
      <c r="AC858" s="529"/>
      <c r="AD858" s="529"/>
      <c r="AE858" s="530"/>
      <c r="AF858" s="529"/>
      <c r="AG858" s="529"/>
      <c r="AH858" s="529"/>
      <c r="AI858" s="75"/>
    </row>
    <row r="859" spans="3:35" s="74" customFormat="1" x14ac:dyDescent="0.25">
      <c r="C859" s="527"/>
      <c r="H859" s="527"/>
      <c r="N859" s="55"/>
      <c r="P859" s="527"/>
      <c r="Q859" s="529"/>
      <c r="R859" s="529"/>
      <c r="S859" s="529"/>
      <c r="T859" s="529"/>
      <c r="U859" s="529"/>
      <c r="V859" s="529"/>
      <c r="W859" s="529"/>
      <c r="X859" s="529"/>
      <c r="Y859" s="529"/>
      <c r="Z859" s="529"/>
      <c r="AA859" s="529"/>
      <c r="AB859" s="529"/>
      <c r="AC859" s="529"/>
      <c r="AD859" s="529"/>
      <c r="AE859" s="530"/>
      <c r="AF859" s="529"/>
      <c r="AG859" s="529"/>
      <c r="AH859" s="529"/>
      <c r="AI859" s="75"/>
    </row>
    <row r="860" spans="3:35" s="74" customFormat="1" x14ac:dyDescent="0.25">
      <c r="C860" s="527"/>
      <c r="H860" s="527"/>
      <c r="N860" s="55"/>
      <c r="P860" s="527"/>
      <c r="Q860" s="529"/>
      <c r="R860" s="529"/>
      <c r="S860" s="529"/>
      <c r="T860" s="529"/>
      <c r="U860" s="529"/>
      <c r="V860" s="529"/>
      <c r="W860" s="529"/>
      <c r="X860" s="529"/>
      <c r="Y860" s="529"/>
      <c r="Z860" s="529"/>
      <c r="AA860" s="529"/>
      <c r="AB860" s="529"/>
      <c r="AC860" s="529"/>
      <c r="AD860" s="529"/>
      <c r="AE860" s="530"/>
      <c r="AF860" s="529"/>
      <c r="AG860" s="529"/>
      <c r="AH860" s="529"/>
      <c r="AI860" s="75"/>
    </row>
    <row r="861" spans="3:35" s="74" customFormat="1" x14ac:dyDescent="0.25">
      <c r="C861" s="527"/>
      <c r="H861" s="527"/>
      <c r="N861" s="55"/>
      <c r="P861" s="527"/>
      <c r="Q861" s="529"/>
      <c r="R861" s="529"/>
      <c r="S861" s="529"/>
      <c r="T861" s="529"/>
      <c r="U861" s="529"/>
      <c r="V861" s="529"/>
      <c r="W861" s="529"/>
      <c r="X861" s="529"/>
      <c r="Y861" s="529"/>
      <c r="Z861" s="529"/>
      <c r="AA861" s="529"/>
      <c r="AB861" s="529"/>
      <c r="AC861" s="529"/>
      <c r="AD861" s="529"/>
      <c r="AE861" s="530"/>
      <c r="AF861" s="529"/>
      <c r="AG861" s="529"/>
      <c r="AH861" s="529"/>
      <c r="AI861" s="75"/>
    </row>
    <row r="862" spans="3:35" s="74" customFormat="1" x14ac:dyDescent="0.25">
      <c r="C862" s="527"/>
      <c r="H862" s="527"/>
      <c r="N862" s="55"/>
      <c r="P862" s="527"/>
      <c r="Q862" s="529"/>
      <c r="R862" s="529"/>
      <c r="S862" s="529"/>
      <c r="T862" s="529"/>
      <c r="U862" s="529"/>
      <c r="V862" s="529"/>
      <c r="W862" s="529"/>
      <c r="X862" s="529"/>
      <c r="Y862" s="529"/>
      <c r="Z862" s="529"/>
      <c r="AA862" s="529"/>
      <c r="AB862" s="529"/>
      <c r="AC862" s="529"/>
      <c r="AD862" s="529"/>
      <c r="AE862" s="530"/>
      <c r="AF862" s="529"/>
      <c r="AG862" s="529"/>
      <c r="AH862" s="529"/>
      <c r="AI862" s="75"/>
    </row>
    <row r="863" spans="3:35" s="74" customFormat="1" x14ac:dyDescent="0.25">
      <c r="C863" s="527"/>
      <c r="H863" s="527"/>
      <c r="N863" s="55"/>
      <c r="P863" s="527"/>
      <c r="Q863" s="529"/>
      <c r="R863" s="529"/>
      <c r="S863" s="529"/>
      <c r="T863" s="529"/>
      <c r="U863" s="529"/>
      <c r="V863" s="529"/>
      <c r="W863" s="529"/>
      <c r="X863" s="529"/>
      <c r="Y863" s="529"/>
      <c r="Z863" s="529"/>
      <c r="AA863" s="529"/>
      <c r="AB863" s="529"/>
      <c r="AC863" s="529"/>
      <c r="AD863" s="529"/>
      <c r="AE863" s="530"/>
      <c r="AF863" s="529"/>
      <c r="AG863" s="529"/>
      <c r="AH863" s="529"/>
      <c r="AI863" s="75"/>
    </row>
    <row r="864" spans="3:35" s="74" customFormat="1" x14ac:dyDescent="0.25">
      <c r="C864" s="527"/>
      <c r="H864" s="527"/>
      <c r="N864" s="55"/>
      <c r="P864" s="527"/>
      <c r="Q864" s="529"/>
      <c r="R864" s="529"/>
      <c r="S864" s="529"/>
      <c r="T864" s="529"/>
      <c r="U864" s="529"/>
      <c r="V864" s="529"/>
      <c r="W864" s="529"/>
      <c r="X864" s="529"/>
      <c r="Y864" s="529"/>
      <c r="Z864" s="529"/>
      <c r="AA864" s="529"/>
      <c r="AB864" s="529"/>
      <c r="AC864" s="529"/>
      <c r="AD864" s="529"/>
      <c r="AE864" s="530"/>
      <c r="AF864" s="529"/>
      <c r="AG864" s="529"/>
      <c r="AH864" s="529"/>
      <c r="AI864" s="75"/>
    </row>
    <row r="865" spans="3:35" s="74" customFormat="1" x14ac:dyDescent="0.25">
      <c r="C865" s="527"/>
      <c r="H865" s="527"/>
      <c r="N865" s="55"/>
      <c r="P865" s="527"/>
      <c r="Q865" s="529"/>
      <c r="R865" s="529"/>
      <c r="S865" s="529"/>
      <c r="T865" s="529"/>
      <c r="U865" s="529"/>
      <c r="V865" s="529"/>
      <c r="W865" s="529"/>
      <c r="X865" s="529"/>
      <c r="Y865" s="529"/>
      <c r="Z865" s="529"/>
      <c r="AA865" s="529"/>
      <c r="AB865" s="529"/>
      <c r="AC865" s="529"/>
      <c r="AD865" s="529"/>
      <c r="AE865" s="530"/>
      <c r="AF865" s="529"/>
      <c r="AG865" s="529"/>
      <c r="AH865" s="529"/>
      <c r="AI865" s="75"/>
    </row>
    <row r="866" spans="3:35" s="74" customFormat="1" x14ac:dyDescent="0.25">
      <c r="C866" s="527"/>
      <c r="H866" s="527"/>
      <c r="N866" s="55"/>
      <c r="P866" s="527"/>
      <c r="Q866" s="529"/>
      <c r="R866" s="529"/>
      <c r="S866" s="529"/>
      <c r="T866" s="529"/>
      <c r="U866" s="529"/>
      <c r="V866" s="529"/>
      <c r="W866" s="529"/>
      <c r="X866" s="529"/>
      <c r="Y866" s="529"/>
      <c r="Z866" s="529"/>
      <c r="AA866" s="529"/>
      <c r="AB866" s="529"/>
      <c r="AC866" s="529"/>
      <c r="AD866" s="529"/>
      <c r="AE866" s="530"/>
      <c r="AF866" s="529"/>
      <c r="AG866" s="529"/>
      <c r="AH866" s="529"/>
      <c r="AI866" s="75"/>
    </row>
    <row r="867" spans="3:35" s="74" customFormat="1" x14ac:dyDescent="0.25">
      <c r="C867" s="527"/>
      <c r="H867" s="527"/>
      <c r="N867" s="55"/>
      <c r="P867" s="527"/>
      <c r="Q867" s="529"/>
      <c r="R867" s="529"/>
      <c r="S867" s="529"/>
      <c r="T867" s="529"/>
      <c r="U867" s="529"/>
      <c r="V867" s="529"/>
      <c r="W867" s="529"/>
      <c r="X867" s="529"/>
      <c r="Y867" s="529"/>
      <c r="Z867" s="529"/>
      <c r="AA867" s="529"/>
      <c r="AB867" s="529"/>
      <c r="AC867" s="529"/>
      <c r="AD867" s="529"/>
      <c r="AE867" s="530"/>
      <c r="AF867" s="529"/>
      <c r="AG867" s="529"/>
      <c r="AH867" s="529"/>
      <c r="AI867" s="75"/>
    </row>
    <row r="868" spans="3:35" s="74" customFormat="1" x14ac:dyDescent="0.25">
      <c r="C868" s="527"/>
      <c r="H868" s="527"/>
      <c r="N868" s="55"/>
      <c r="P868" s="527"/>
      <c r="Q868" s="529"/>
      <c r="R868" s="529"/>
      <c r="S868" s="529"/>
      <c r="T868" s="529"/>
      <c r="U868" s="529"/>
      <c r="V868" s="529"/>
      <c r="W868" s="529"/>
      <c r="X868" s="529"/>
      <c r="Y868" s="529"/>
      <c r="Z868" s="529"/>
      <c r="AA868" s="529"/>
      <c r="AB868" s="529"/>
      <c r="AC868" s="529"/>
      <c r="AD868" s="529"/>
      <c r="AE868" s="530"/>
      <c r="AF868" s="529"/>
      <c r="AG868" s="529"/>
      <c r="AH868" s="529"/>
      <c r="AI868" s="75"/>
    </row>
    <row r="869" spans="3:35" s="74" customFormat="1" x14ac:dyDescent="0.25">
      <c r="C869" s="527"/>
      <c r="H869" s="527"/>
      <c r="N869" s="55"/>
      <c r="P869" s="527"/>
      <c r="Q869" s="529"/>
      <c r="R869" s="529"/>
      <c r="S869" s="529"/>
      <c r="T869" s="529"/>
      <c r="U869" s="529"/>
      <c r="V869" s="529"/>
      <c r="W869" s="529"/>
      <c r="X869" s="529"/>
      <c r="Y869" s="529"/>
      <c r="Z869" s="529"/>
      <c r="AA869" s="529"/>
      <c r="AB869" s="529"/>
      <c r="AC869" s="529"/>
      <c r="AD869" s="529"/>
      <c r="AE869" s="530"/>
      <c r="AF869" s="529"/>
      <c r="AG869" s="529"/>
      <c r="AH869" s="529"/>
      <c r="AI869" s="75"/>
    </row>
    <row r="870" spans="3:35" s="74" customFormat="1" x14ac:dyDescent="0.25">
      <c r="C870" s="527"/>
      <c r="H870" s="527"/>
      <c r="N870" s="55"/>
      <c r="P870" s="527"/>
      <c r="Q870" s="529"/>
      <c r="R870" s="529"/>
      <c r="S870" s="529"/>
      <c r="T870" s="529"/>
      <c r="U870" s="529"/>
      <c r="V870" s="529"/>
      <c r="W870" s="529"/>
      <c r="X870" s="529"/>
      <c r="Y870" s="529"/>
      <c r="Z870" s="529"/>
      <c r="AA870" s="529"/>
      <c r="AB870" s="529"/>
      <c r="AC870" s="529"/>
      <c r="AD870" s="529"/>
      <c r="AE870" s="530"/>
      <c r="AF870" s="529"/>
      <c r="AG870" s="529"/>
      <c r="AH870" s="529"/>
      <c r="AI870" s="75"/>
    </row>
    <row r="871" spans="3:35" s="74" customFormat="1" x14ac:dyDescent="0.25">
      <c r="C871" s="527"/>
      <c r="H871" s="527"/>
      <c r="N871" s="55"/>
      <c r="P871" s="527"/>
      <c r="Q871" s="529"/>
      <c r="R871" s="529"/>
      <c r="S871" s="529"/>
      <c r="T871" s="529"/>
      <c r="U871" s="529"/>
      <c r="V871" s="529"/>
      <c r="W871" s="529"/>
      <c r="X871" s="529"/>
      <c r="Y871" s="529"/>
      <c r="Z871" s="529"/>
      <c r="AA871" s="529"/>
      <c r="AB871" s="529"/>
      <c r="AC871" s="529"/>
      <c r="AD871" s="529"/>
      <c r="AE871" s="530"/>
      <c r="AF871" s="529"/>
      <c r="AG871" s="529"/>
      <c r="AH871" s="529"/>
      <c r="AI871" s="75"/>
    </row>
    <row r="872" spans="3:35" s="74" customFormat="1" x14ac:dyDescent="0.25">
      <c r="C872" s="527"/>
      <c r="H872" s="527"/>
      <c r="N872" s="55"/>
      <c r="P872" s="527"/>
      <c r="Q872" s="529"/>
      <c r="R872" s="529"/>
      <c r="S872" s="529"/>
      <c r="T872" s="529"/>
      <c r="U872" s="529"/>
      <c r="V872" s="529"/>
      <c r="W872" s="529"/>
      <c r="X872" s="529"/>
      <c r="Y872" s="529"/>
      <c r="Z872" s="529"/>
      <c r="AA872" s="529"/>
      <c r="AB872" s="529"/>
      <c r="AC872" s="529"/>
      <c r="AD872" s="529"/>
      <c r="AE872" s="530"/>
      <c r="AF872" s="529"/>
      <c r="AG872" s="529"/>
      <c r="AH872" s="529"/>
      <c r="AI872" s="75"/>
    </row>
    <row r="873" spans="3:35" s="74" customFormat="1" x14ac:dyDescent="0.25">
      <c r="C873" s="527"/>
      <c r="H873" s="527"/>
      <c r="N873" s="55"/>
      <c r="P873" s="527"/>
      <c r="Q873" s="529"/>
      <c r="R873" s="529"/>
      <c r="S873" s="529"/>
      <c r="T873" s="529"/>
      <c r="U873" s="529"/>
      <c r="V873" s="529"/>
      <c r="W873" s="529"/>
      <c r="X873" s="529"/>
      <c r="Y873" s="529"/>
      <c r="Z873" s="529"/>
      <c r="AA873" s="529"/>
      <c r="AB873" s="529"/>
      <c r="AC873" s="529"/>
      <c r="AD873" s="529"/>
      <c r="AE873" s="530"/>
      <c r="AF873" s="529"/>
      <c r="AG873" s="529"/>
      <c r="AH873" s="529"/>
      <c r="AI873" s="75"/>
    </row>
    <row r="874" spans="3:35" s="74" customFormat="1" x14ac:dyDescent="0.25">
      <c r="C874" s="527"/>
      <c r="H874" s="527"/>
      <c r="N874" s="55"/>
      <c r="P874" s="527"/>
      <c r="Q874" s="529"/>
      <c r="R874" s="529"/>
      <c r="S874" s="529"/>
      <c r="T874" s="529"/>
      <c r="U874" s="529"/>
      <c r="V874" s="529"/>
      <c r="W874" s="529"/>
      <c r="X874" s="529"/>
      <c r="Y874" s="529"/>
      <c r="Z874" s="529"/>
      <c r="AA874" s="529"/>
      <c r="AB874" s="529"/>
      <c r="AC874" s="529"/>
      <c r="AD874" s="529"/>
      <c r="AE874" s="530"/>
      <c r="AF874" s="529"/>
      <c r="AG874" s="529"/>
      <c r="AH874" s="529"/>
      <c r="AI874" s="75"/>
    </row>
    <row r="875" spans="3:35" s="74" customFormat="1" x14ac:dyDescent="0.25">
      <c r="C875" s="527"/>
      <c r="H875" s="527"/>
      <c r="N875" s="55"/>
      <c r="P875" s="527"/>
      <c r="Q875" s="529"/>
      <c r="R875" s="529"/>
      <c r="S875" s="529"/>
      <c r="T875" s="529"/>
      <c r="U875" s="529"/>
      <c r="V875" s="529"/>
      <c r="W875" s="529"/>
      <c r="X875" s="529"/>
      <c r="Y875" s="529"/>
      <c r="Z875" s="529"/>
      <c r="AA875" s="529"/>
      <c r="AB875" s="529"/>
      <c r="AC875" s="529"/>
      <c r="AD875" s="529"/>
      <c r="AE875" s="530"/>
      <c r="AF875" s="529"/>
      <c r="AG875" s="529"/>
      <c r="AH875" s="529"/>
      <c r="AI875" s="75"/>
    </row>
    <row r="876" spans="3:35" s="74" customFormat="1" x14ac:dyDescent="0.25">
      <c r="C876" s="527"/>
      <c r="H876" s="527"/>
      <c r="N876" s="55"/>
      <c r="P876" s="527"/>
      <c r="Q876" s="529"/>
      <c r="R876" s="529"/>
      <c r="S876" s="529"/>
      <c r="T876" s="529"/>
      <c r="U876" s="529"/>
      <c r="V876" s="529"/>
      <c r="W876" s="529"/>
      <c r="X876" s="529"/>
      <c r="Y876" s="529"/>
      <c r="Z876" s="529"/>
      <c r="AA876" s="529"/>
      <c r="AB876" s="529"/>
      <c r="AC876" s="529"/>
      <c r="AD876" s="529"/>
      <c r="AE876" s="530"/>
      <c r="AF876" s="529"/>
      <c r="AG876" s="529"/>
      <c r="AH876" s="529"/>
      <c r="AI876" s="75"/>
    </row>
    <row r="877" spans="3:35" s="74" customFormat="1" x14ac:dyDescent="0.25">
      <c r="C877" s="527"/>
      <c r="H877" s="527"/>
      <c r="N877" s="55"/>
      <c r="P877" s="527"/>
      <c r="Q877" s="529"/>
      <c r="R877" s="529"/>
      <c r="S877" s="529"/>
      <c r="T877" s="529"/>
      <c r="U877" s="529"/>
      <c r="V877" s="529"/>
      <c r="W877" s="529"/>
      <c r="X877" s="529"/>
      <c r="Y877" s="529"/>
      <c r="Z877" s="529"/>
      <c r="AA877" s="529"/>
      <c r="AB877" s="529"/>
      <c r="AC877" s="529"/>
      <c r="AD877" s="529"/>
      <c r="AE877" s="530"/>
      <c r="AF877" s="529"/>
      <c r="AG877" s="529"/>
      <c r="AH877" s="529"/>
      <c r="AI877" s="75"/>
    </row>
    <row r="878" spans="3:35" s="74" customFormat="1" x14ac:dyDescent="0.25">
      <c r="C878" s="527"/>
      <c r="H878" s="527"/>
      <c r="N878" s="55"/>
      <c r="P878" s="527"/>
      <c r="Q878" s="529"/>
      <c r="R878" s="529"/>
      <c r="S878" s="529"/>
      <c r="T878" s="529"/>
      <c r="U878" s="529"/>
      <c r="V878" s="529"/>
      <c r="W878" s="529"/>
      <c r="X878" s="529"/>
      <c r="Y878" s="529"/>
      <c r="Z878" s="529"/>
      <c r="AA878" s="529"/>
      <c r="AB878" s="529"/>
      <c r="AC878" s="529"/>
      <c r="AD878" s="529"/>
      <c r="AE878" s="530"/>
      <c r="AF878" s="529"/>
      <c r="AG878" s="529"/>
      <c r="AH878" s="529"/>
      <c r="AI878" s="75"/>
    </row>
    <row r="879" spans="3:35" s="74" customFormat="1" x14ac:dyDescent="0.25">
      <c r="C879" s="527"/>
      <c r="H879" s="527"/>
      <c r="N879" s="55"/>
      <c r="P879" s="527"/>
      <c r="Q879" s="529"/>
      <c r="R879" s="529"/>
      <c r="S879" s="529"/>
      <c r="T879" s="529"/>
      <c r="U879" s="529"/>
      <c r="V879" s="529"/>
      <c r="W879" s="529"/>
      <c r="X879" s="529"/>
      <c r="Y879" s="529"/>
      <c r="Z879" s="529"/>
      <c r="AA879" s="529"/>
      <c r="AB879" s="529"/>
      <c r="AC879" s="529"/>
      <c r="AD879" s="529"/>
      <c r="AE879" s="530"/>
      <c r="AF879" s="529"/>
      <c r="AG879" s="529"/>
      <c r="AH879" s="529"/>
      <c r="AI879" s="75"/>
    </row>
    <row r="880" spans="3:35" s="74" customFormat="1" x14ac:dyDescent="0.25">
      <c r="C880" s="527"/>
      <c r="H880" s="527"/>
      <c r="N880" s="55"/>
      <c r="P880" s="527"/>
      <c r="Q880" s="529"/>
      <c r="R880" s="529"/>
      <c r="S880" s="529"/>
      <c r="T880" s="529"/>
      <c r="U880" s="529"/>
      <c r="V880" s="529"/>
      <c r="W880" s="529"/>
      <c r="X880" s="529"/>
      <c r="Y880" s="529"/>
      <c r="Z880" s="529"/>
      <c r="AA880" s="529"/>
      <c r="AB880" s="529"/>
      <c r="AC880" s="529"/>
      <c r="AD880" s="529"/>
      <c r="AE880" s="530"/>
      <c r="AF880" s="529"/>
      <c r="AG880" s="529"/>
      <c r="AH880" s="529"/>
      <c r="AI880" s="75"/>
    </row>
    <row r="881" spans="3:35" s="74" customFormat="1" x14ac:dyDescent="0.25">
      <c r="C881" s="527"/>
      <c r="H881" s="527"/>
      <c r="N881" s="55"/>
      <c r="P881" s="527"/>
      <c r="Q881" s="529"/>
      <c r="R881" s="529"/>
      <c r="S881" s="529"/>
      <c r="T881" s="529"/>
      <c r="U881" s="529"/>
      <c r="V881" s="529"/>
      <c r="W881" s="529"/>
      <c r="X881" s="529"/>
      <c r="Y881" s="529"/>
      <c r="Z881" s="529"/>
      <c r="AA881" s="529"/>
      <c r="AB881" s="529"/>
      <c r="AC881" s="529"/>
      <c r="AD881" s="529"/>
      <c r="AE881" s="530"/>
      <c r="AF881" s="529"/>
      <c r="AG881" s="529"/>
      <c r="AH881" s="529"/>
      <c r="AI881" s="75"/>
    </row>
    <row r="882" spans="3:35" s="74" customFormat="1" x14ac:dyDescent="0.25">
      <c r="C882" s="527"/>
      <c r="H882" s="527"/>
      <c r="N882" s="55"/>
      <c r="P882" s="527"/>
      <c r="Q882" s="529"/>
      <c r="R882" s="529"/>
      <c r="S882" s="529"/>
      <c r="T882" s="529"/>
      <c r="U882" s="529"/>
      <c r="V882" s="529"/>
      <c r="W882" s="529"/>
      <c r="X882" s="529"/>
      <c r="Y882" s="529"/>
      <c r="Z882" s="529"/>
      <c r="AA882" s="529"/>
      <c r="AB882" s="529"/>
      <c r="AC882" s="529"/>
      <c r="AD882" s="529"/>
      <c r="AE882" s="530"/>
      <c r="AF882" s="529"/>
      <c r="AG882" s="529"/>
      <c r="AH882" s="529"/>
      <c r="AI882" s="75"/>
    </row>
    <row r="883" spans="3:35" s="74" customFormat="1" x14ac:dyDescent="0.25">
      <c r="C883" s="527"/>
      <c r="H883" s="527"/>
      <c r="N883" s="55"/>
      <c r="P883" s="527"/>
      <c r="Q883" s="529"/>
      <c r="R883" s="529"/>
      <c r="S883" s="529"/>
      <c r="T883" s="529"/>
      <c r="U883" s="529"/>
      <c r="V883" s="529"/>
      <c r="W883" s="529"/>
      <c r="X883" s="529"/>
      <c r="Y883" s="529"/>
      <c r="Z883" s="529"/>
      <c r="AA883" s="529"/>
      <c r="AB883" s="529"/>
      <c r="AC883" s="529"/>
      <c r="AD883" s="529"/>
      <c r="AE883" s="530"/>
      <c r="AF883" s="529"/>
      <c r="AG883" s="529"/>
      <c r="AH883" s="529"/>
      <c r="AI883" s="75"/>
    </row>
    <row r="884" spans="3:35" s="74" customFormat="1" x14ac:dyDescent="0.25">
      <c r="C884" s="527"/>
      <c r="H884" s="527"/>
      <c r="N884" s="55"/>
      <c r="P884" s="527"/>
      <c r="Q884" s="529"/>
      <c r="R884" s="529"/>
      <c r="S884" s="529"/>
      <c r="T884" s="529"/>
      <c r="U884" s="529"/>
      <c r="V884" s="529"/>
      <c r="W884" s="529"/>
      <c r="X884" s="529"/>
      <c r="Y884" s="529"/>
      <c r="Z884" s="529"/>
      <c r="AA884" s="529"/>
      <c r="AB884" s="529"/>
      <c r="AC884" s="529"/>
      <c r="AD884" s="529"/>
      <c r="AE884" s="530"/>
      <c r="AF884" s="529"/>
      <c r="AG884" s="529"/>
      <c r="AH884" s="529"/>
      <c r="AI884" s="75"/>
    </row>
    <row r="885" spans="3:35" s="74" customFormat="1" x14ac:dyDescent="0.25">
      <c r="C885" s="527"/>
      <c r="H885" s="527"/>
      <c r="N885" s="55"/>
      <c r="P885" s="527"/>
      <c r="Q885" s="529"/>
      <c r="R885" s="529"/>
      <c r="S885" s="529"/>
      <c r="T885" s="529"/>
      <c r="U885" s="529"/>
      <c r="V885" s="529"/>
      <c r="W885" s="529"/>
      <c r="X885" s="529"/>
      <c r="Y885" s="529"/>
      <c r="Z885" s="529"/>
      <c r="AA885" s="529"/>
      <c r="AB885" s="529"/>
      <c r="AC885" s="529"/>
      <c r="AD885" s="529"/>
      <c r="AE885" s="530"/>
      <c r="AF885" s="529"/>
      <c r="AG885" s="529"/>
      <c r="AH885" s="529"/>
      <c r="AI885" s="75"/>
    </row>
    <row r="886" spans="3:35" s="74" customFormat="1" x14ac:dyDescent="0.25">
      <c r="C886" s="527"/>
      <c r="H886" s="527"/>
      <c r="N886" s="55"/>
      <c r="P886" s="527"/>
      <c r="Q886" s="529"/>
      <c r="R886" s="529"/>
      <c r="S886" s="529"/>
      <c r="T886" s="529"/>
      <c r="U886" s="529"/>
      <c r="V886" s="529"/>
      <c r="W886" s="529"/>
      <c r="X886" s="529"/>
      <c r="Y886" s="529"/>
      <c r="Z886" s="529"/>
      <c r="AA886" s="529"/>
      <c r="AB886" s="529"/>
      <c r="AC886" s="529"/>
      <c r="AD886" s="529"/>
      <c r="AE886" s="530"/>
      <c r="AF886" s="529"/>
      <c r="AG886" s="529"/>
      <c r="AH886" s="529"/>
      <c r="AI886" s="75"/>
    </row>
    <row r="887" spans="3:35" s="74" customFormat="1" x14ac:dyDescent="0.25">
      <c r="C887" s="527"/>
      <c r="H887" s="527"/>
      <c r="N887" s="55"/>
      <c r="P887" s="527"/>
      <c r="Q887" s="529"/>
      <c r="R887" s="529"/>
      <c r="S887" s="529"/>
      <c r="T887" s="529"/>
      <c r="U887" s="529"/>
      <c r="V887" s="529"/>
      <c r="W887" s="529"/>
      <c r="X887" s="529"/>
      <c r="Y887" s="529"/>
      <c r="Z887" s="529"/>
      <c r="AA887" s="529"/>
      <c r="AB887" s="529"/>
      <c r="AC887" s="529"/>
      <c r="AD887" s="529"/>
      <c r="AE887" s="530"/>
      <c r="AF887" s="529"/>
      <c r="AG887" s="529"/>
      <c r="AH887" s="529"/>
      <c r="AI887" s="75"/>
    </row>
    <row r="888" spans="3:35" s="74" customFormat="1" x14ac:dyDescent="0.25">
      <c r="C888" s="527"/>
      <c r="H888" s="527"/>
      <c r="N888" s="55"/>
      <c r="P888" s="527"/>
      <c r="Q888" s="529"/>
      <c r="R888" s="529"/>
      <c r="S888" s="529"/>
      <c r="T888" s="529"/>
      <c r="U888" s="529"/>
      <c r="V888" s="529"/>
      <c r="W888" s="529"/>
      <c r="X888" s="529"/>
      <c r="Y888" s="529"/>
      <c r="Z888" s="529"/>
      <c r="AA888" s="529"/>
      <c r="AB888" s="529"/>
      <c r="AC888" s="529"/>
      <c r="AD888" s="529"/>
      <c r="AE888" s="530"/>
      <c r="AF888" s="529"/>
      <c r="AG888" s="529"/>
      <c r="AH888" s="529"/>
      <c r="AI888" s="75"/>
    </row>
    <row r="889" spans="3:35" s="74" customFormat="1" x14ac:dyDescent="0.25">
      <c r="C889" s="527"/>
      <c r="H889" s="527"/>
      <c r="N889" s="55"/>
      <c r="P889" s="527"/>
      <c r="Q889" s="529"/>
      <c r="R889" s="529"/>
      <c r="S889" s="529"/>
      <c r="T889" s="529"/>
      <c r="U889" s="529"/>
      <c r="V889" s="529"/>
      <c r="W889" s="529"/>
      <c r="X889" s="529"/>
      <c r="Y889" s="529"/>
      <c r="Z889" s="529"/>
      <c r="AA889" s="529"/>
      <c r="AB889" s="529"/>
      <c r="AC889" s="529"/>
      <c r="AD889" s="529"/>
      <c r="AE889" s="530"/>
      <c r="AF889" s="529"/>
      <c r="AG889" s="529"/>
      <c r="AH889" s="529"/>
      <c r="AI889" s="75"/>
    </row>
    <row r="890" spans="3:35" s="74" customFormat="1" x14ac:dyDescent="0.25">
      <c r="C890" s="527"/>
      <c r="H890" s="527"/>
      <c r="N890" s="55"/>
      <c r="P890" s="527"/>
      <c r="Q890" s="529"/>
      <c r="R890" s="529"/>
      <c r="S890" s="529"/>
      <c r="T890" s="529"/>
      <c r="U890" s="529"/>
      <c r="V890" s="529"/>
      <c r="W890" s="529"/>
      <c r="X890" s="529"/>
      <c r="Y890" s="529"/>
      <c r="Z890" s="529"/>
      <c r="AA890" s="529"/>
      <c r="AB890" s="529"/>
      <c r="AC890" s="529"/>
      <c r="AD890" s="529"/>
      <c r="AE890" s="530"/>
      <c r="AF890" s="529"/>
      <c r="AG890" s="529"/>
      <c r="AH890" s="529"/>
      <c r="AI890" s="75"/>
    </row>
    <row r="891" spans="3:35" s="74" customFormat="1" x14ac:dyDescent="0.25">
      <c r="C891" s="527"/>
      <c r="H891" s="527"/>
      <c r="N891" s="55"/>
      <c r="P891" s="527"/>
      <c r="Q891" s="529"/>
      <c r="R891" s="529"/>
      <c r="S891" s="529"/>
      <c r="T891" s="529"/>
      <c r="U891" s="529"/>
      <c r="V891" s="529"/>
      <c r="W891" s="529"/>
      <c r="X891" s="529"/>
      <c r="Y891" s="529"/>
      <c r="Z891" s="529"/>
      <c r="AA891" s="529"/>
      <c r="AB891" s="529"/>
      <c r="AC891" s="529"/>
      <c r="AD891" s="529"/>
      <c r="AE891" s="530"/>
      <c r="AF891" s="529"/>
      <c r="AG891" s="529"/>
      <c r="AH891" s="529"/>
      <c r="AI891" s="75"/>
    </row>
    <row r="892" spans="3:35" s="74" customFormat="1" x14ac:dyDescent="0.25">
      <c r="C892" s="527"/>
      <c r="H892" s="527"/>
      <c r="N892" s="55"/>
      <c r="P892" s="527"/>
      <c r="Q892" s="529"/>
      <c r="R892" s="529"/>
      <c r="S892" s="529"/>
      <c r="T892" s="529"/>
      <c r="U892" s="529"/>
      <c r="V892" s="529"/>
      <c r="W892" s="529"/>
      <c r="X892" s="529"/>
      <c r="Y892" s="529"/>
      <c r="Z892" s="529"/>
      <c r="AA892" s="529"/>
      <c r="AB892" s="529"/>
      <c r="AC892" s="529"/>
      <c r="AD892" s="529"/>
      <c r="AE892" s="530"/>
      <c r="AF892" s="529"/>
      <c r="AG892" s="529"/>
      <c r="AH892" s="529"/>
      <c r="AI892" s="75"/>
    </row>
    <row r="893" spans="3:35" s="74" customFormat="1" x14ac:dyDescent="0.25">
      <c r="C893" s="527"/>
      <c r="H893" s="527"/>
      <c r="N893" s="55"/>
      <c r="P893" s="527"/>
      <c r="Q893" s="529"/>
      <c r="R893" s="529"/>
      <c r="S893" s="529"/>
      <c r="T893" s="529"/>
      <c r="U893" s="529"/>
      <c r="V893" s="529"/>
      <c r="W893" s="529"/>
      <c r="X893" s="529"/>
      <c r="Y893" s="529"/>
      <c r="Z893" s="529"/>
      <c r="AA893" s="529"/>
      <c r="AB893" s="529"/>
      <c r="AC893" s="529"/>
      <c r="AD893" s="529"/>
      <c r="AE893" s="530"/>
      <c r="AF893" s="529"/>
      <c r="AG893" s="529"/>
      <c r="AH893" s="529"/>
      <c r="AI893" s="75"/>
    </row>
    <row r="894" spans="3:35" s="74" customFormat="1" x14ac:dyDescent="0.25">
      <c r="C894" s="527"/>
      <c r="H894" s="527"/>
      <c r="N894" s="55"/>
      <c r="P894" s="527"/>
      <c r="Q894" s="529"/>
      <c r="R894" s="529"/>
      <c r="S894" s="529"/>
      <c r="T894" s="529"/>
      <c r="U894" s="529"/>
      <c r="V894" s="529"/>
      <c r="W894" s="529"/>
      <c r="X894" s="529"/>
      <c r="Y894" s="529"/>
      <c r="Z894" s="529"/>
      <c r="AA894" s="529"/>
      <c r="AB894" s="529"/>
      <c r="AC894" s="529"/>
      <c r="AD894" s="529"/>
      <c r="AE894" s="530"/>
      <c r="AF894" s="529"/>
      <c r="AG894" s="529"/>
      <c r="AH894" s="529"/>
      <c r="AI894" s="75"/>
    </row>
    <row r="895" spans="3:35" s="74" customFormat="1" x14ac:dyDescent="0.25">
      <c r="C895" s="527"/>
      <c r="H895" s="527"/>
      <c r="N895" s="55"/>
      <c r="P895" s="527"/>
      <c r="Q895" s="529"/>
      <c r="R895" s="529"/>
      <c r="S895" s="529"/>
      <c r="T895" s="529"/>
      <c r="U895" s="529"/>
      <c r="V895" s="529"/>
      <c r="W895" s="529"/>
      <c r="X895" s="529"/>
      <c r="Y895" s="529"/>
      <c r="Z895" s="529"/>
      <c r="AA895" s="529"/>
      <c r="AB895" s="529"/>
      <c r="AC895" s="529"/>
      <c r="AD895" s="529"/>
      <c r="AE895" s="530"/>
      <c r="AF895" s="529"/>
      <c r="AG895" s="529"/>
      <c r="AH895" s="529"/>
      <c r="AI895" s="75"/>
    </row>
    <row r="896" spans="3:35" s="74" customFormat="1" x14ac:dyDescent="0.25">
      <c r="C896" s="527"/>
      <c r="H896" s="527"/>
      <c r="N896" s="55"/>
      <c r="P896" s="527"/>
      <c r="Q896" s="529"/>
      <c r="R896" s="529"/>
      <c r="S896" s="529"/>
      <c r="T896" s="529"/>
      <c r="U896" s="529"/>
      <c r="V896" s="529"/>
      <c r="W896" s="529"/>
      <c r="X896" s="529"/>
      <c r="Y896" s="529"/>
      <c r="Z896" s="529"/>
      <c r="AA896" s="529"/>
      <c r="AB896" s="529"/>
      <c r="AC896" s="529"/>
      <c r="AD896" s="529"/>
      <c r="AE896" s="530"/>
      <c r="AF896" s="529"/>
      <c r="AG896" s="529"/>
      <c r="AH896" s="529"/>
      <c r="AI896" s="75"/>
    </row>
    <row r="897" spans="3:35" s="74" customFormat="1" x14ac:dyDescent="0.25">
      <c r="C897" s="527"/>
      <c r="H897" s="527"/>
      <c r="N897" s="55"/>
      <c r="P897" s="527"/>
      <c r="Q897" s="529"/>
      <c r="R897" s="529"/>
      <c r="S897" s="529"/>
      <c r="T897" s="529"/>
      <c r="U897" s="529"/>
      <c r="V897" s="529"/>
      <c r="W897" s="529"/>
      <c r="X897" s="529"/>
      <c r="Y897" s="529"/>
      <c r="Z897" s="529"/>
      <c r="AA897" s="529"/>
      <c r="AB897" s="529"/>
      <c r="AC897" s="529"/>
      <c r="AD897" s="529"/>
      <c r="AE897" s="530"/>
      <c r="AF897" s="529"/>
      <c r="AG897" s="529"/>
      <c r="AH897" s="529"/>
      <c r="AI897" s="75"/>
    </row>
    <row r="898" spans="3:35" s="74" customFormat="1" x14ac:dyDescent="0.25">
      <c r="C898" s="527"/>
      <c r="H898" s="527"/>
      <c r="N898" s="55"/>
      <c r="P898" s="527"/>
      <c r="Q898" s="529"/>
      <c r="R898" s="529"/>
      <c r="S898" s="529"/>
      <c r="T898" s="529"/>
      <c r="U898" s="529"/>
      <c r="V898" s="529"/>
      <c r="W898" s="529"/>
      <c r="X898" s="529"/>
      <c r="Y898" s="529"/>
      <c r="Z898" s="529"/>
      <c r="AA898" s="529"/>
      <c r="AB898" s="529"/>
      <c r="AC898" s="529"/>
      <c r="AD898" s="529"/>
      <c r="AE898" s="530"/>
      <c r="AF898" s="529"/>
      <c r="AG898" s="529"/>
      <c r="AH898" s="529"/>
      <c r="AI898" s="75"/>
    </row>
    <row r="899" spans="3:35" s="74" customFormat="1" x14ac:dyDescent="0.25">
      <c r="C899" s="527"/>
      <c r="H899" s="527"/>
      <c r="N899" s="55"/>
      <c r="P899" s="527"/>
      <c r="Q899" s="529"/>
      <c r="R899" s="529"/>
      <c r="S899" s="529"/>
      <c r="T899" s="529"/>
      <c r="U899" s="529"/>
      <c r="V899" s="529"/>
      <c r="W899" s="529"/>
      <c r="X899" s="529"/>
      <c r="Y899" s="529"/>
      <c r="Z899" s="529"/>
      <c r="AA899" s="529"/>
      <c r="AB899" s="529"/>
      <c r="AC899" s="529"/>
      <c r="AD899" s="529"/>
      <c r="AE899" s="530"/>
      <c r="AF899" s="529"/>
      <c r="AG899" s="529"/>
      <c r="AH899" s="529"/>
      <c r="AI899" s="75"/>
    </row>
    <row r="900" spans="3:35" s="74" customFormat="1" x14ac:dyDescent="0.25">
      <c r="C900" s="527"/>
      <c r="H900" s="527"/>
      <c r="N900" s="55"/>
      <c r="P900" s="527"/>
      <c r="Q900" s="529"/>
      <c r="R900" s="529"/>
      <c r="S900" s="529"/>
      <c r="T900" s="529"/>
      <c r="U900" s="529"/>
      <c r="V900" s="529"/>
      <c r="W900" s="529"/>
      <c r="X900" s="529"/>
      <c r="Y900" s="529"/>
      <c r="Z900" s="529"/>
      <c r="AA900" s="529"/>
      <c r="AB900" s="529"/>
      <c r="AC900" s="529"/>
      <c r="AD900" s="529"/>
      <c r="AE900" s="530"/>
      <c r="AF900" s="529"/>
      <c r="AG900" s="529"/>
      <c r="AH900" s="529"/>
      <c r="AI900" s="75"/>
    </row>
    <row r="901" spans="3:35" s="74" customFormat="1" x14ac:dyDescent="0.25">
      <c r="C901" s="527"/>
      <c r="H901" s="527"/>
      <c r="N901" s="55"/>
      <c r="P901" s="527"/>
      <c r="Q901" s="529"/>
      <c r="R901" s="529"/>
      <c r="S901" s="529"/>
      <c r="T901" s="529"/>
      <c r="U901" s="529"/>
      <c r="V901" s="529"/>
      <c r="W901" s="529"/>
      <c r="X901" s="529"/>
      <c r="Y901" s="529"/>
      <c r="Z901" s="529"/>
      <c r="AA901" s="529"/>
      <c r="AB901" s="529"/>
      <c r="AC901" s="529"/>
      <c r="AD901" s="529"/>
      <c r="AE901" s="530"/>
      <c r="AF901" s="529"/>
      <c r="AG901" s="529"/>
      <c r="AH901" s="529"/>
      <c r="AI901" s="75"/>
    </row>
    <row r="902" spans="3:35" s="74" customFormat="1" x14ac:dyDescent="0.25">
      <c r="C902" s="527"/>
      <c r="H902" s="527"/>
      <c r="N902" s="55"/>
      <c r="P902" s="527"/>
      <c r="Q902" s="529"/>
      <c r="R902" s="529"/>
      <c r="S902" s="529"/>
      <c r="T902" s="529"/>
      <c r="U902" s="529"/>
      <c r="V902" s="529"/>
      <c r="W902" s="529"/>
      <c r="X902" s="529"/>
      <c r="Y902" s="529"/>
      <c r="Z902" s="529"/>
      <c r="AA902" s="529"/>
      <c r="AB902" s="529"/>
      <c r="AC902" s="529"/>
      <c r="AD902" s="529"/>
      <c r="AE902" s="530"/>
      <c r="AF902" s="529"/>
      <c r="AG902" s="529"/>
      <c r="AH902" s="529"/>
      <c r="AI902" s="75"/>
    </row>
    <row r="903" spans="3:35" s="74" customFormat="1" x14ac:dyDescent="0.25">
      <c r="C903" s="527"/>
      <c r="H903" s="527"/>
      <c r="N903" s="55"/>
      <c r="P903" s="527"/>
      <c r="Q903" s="529"/>
      <c r="R903" s="529"/>
      <c r="S903" s="529"/>
      <c r="T903" s="529"/>
      <c r="U903" s="529"/>
      <c r="V903" s="529"/>
      <c r="W903" s="529"/>
      <c r="X903" s="529"/>
      <c r="Y903" s="529"/>
      <c r="Z903" s="529"/>
      <c r="AA903" s="529"/>
      <c r="AB903" s="529"/>
      <c r="AC903" s="529"/>
      <c r="AD903" s="529"/>
      <c r="AE903" s="530"/>
      <c r="AF903" s="529"/>
      <c r="AG903" s="529"/>
      <c r="AH903" s="529"/>
      <c r="AI903" s="75"/>
    </row>
    <row r="904" spans="3:35" s="74" customFormat="1" x14ac:dyDescent="0.25">
      <c r="C904" s="527"/>
      <c r="H904" s="527"/>
      <c r="N904" s="55"/>
      <c r="P904" s="527"/>
      <c r="Q904" s="529"/>
      <c r="R904" s="529"/>
      <c r="S904" s="529"/>
      <c r="T904" s="529"/>
      <c r="U904" s="529"/>
      <c r="V904" s="529"/>
      <c r="W904" s="529"/>
      <c r="X904" s="529"/>
      <c r="Y904" s="529"/>
      <c r="Z904" s="529"/>
      <c r="AA904" s="529"/>
      <c r="AB904" s="529"/>
      <c r="AC904" s="529"/>
      <c r="AD904" s="529"/>
      <c r="AE904" s="530"/>
      <c r="AF904" s="529"/>
      <c r="AG904" s="529"/>
      <c r="AH904" s="529"/>
      <c r="AI904" s="75"/>
    </row>
    <row r="905" spans="3:35" s="74" customFormat="1" x14ac:dyDescent="0.25">
      <c r="C905" s="527"/>
      <c r="H905" s="527"/>
      <c r="N905" s="55"/>
      <c r="P905" s="527"/>
      <c r="Q905" s="529"/>
      <c r="R905" s="529"/>
      <c r="S905" s="529"/>
      <c r="T905" s="529"/>
      <c r="U905" s="529"/>
      <c r="V905" s="529"/>
      <c r="W905" s="529"/>
      <c r="X905" s="529"/>
      <c r="Y905" s="529"/>
      <c r="Z905" s="529"/>
      <c r="AA905" s="529"/>
      <c r="AB905" s="529"/>
      <c r="AC905" s="529"/>
      <c r="AD905" s="529"/>
      <c r="AE905" s="530"/>
      <c r="AF905" s="529"/>
      <c r="AG905" s="529"/>
      <c r="AH905" s="529"/>
      <c r="AI905" s="75"/>
    </row>
    <row r="906" spans="3:35" s="74" customFormat="1" x14ac:dyDescent="0.25">
      <c r="C906" s="527"/>
      <c r="H906" s="527"/>
      <c r="N906" s="55"/>
      <c r="P906" s="527"/>
      <c r="Q906" s="529"/>
      <c r="R906" s="529"/>
      <c r="S906" s="529"/>
      <c r="T906" s="529"/>
      <c r="U906" s="529"/>
      <c r="V906" s="529"/>
      <c r="W906" s="529"/>
      <c r="X906" s="529"/>
      <c r="Y906" s="529"/>
      <c r="Z906" s="529"/>
      <c r="AA906" s="529"/>
      <c r="AB906" s="529"/>
      <c r="AC906" s="529"/>
      <c r="AD906" s="529"/>
      <c r="AE906" s="530"/>
      <c r="AF906" s="529"/>
      <c r="AG906" s="529"/>
      <c r="AH906" s="529"/>
      <c r="AI906" s="75"/>
    </row>
    <row r="907" spans="3:35" s="74" customFormat="1" x14ac:dyDescent="0.25">
      <c r="C907" s="527"/>
      <c r="H907" s="527"/>
      <c r="N907" s="55"/>
      <c r="P907" s="527"/>
      <c r="Q907" s="529"/>
      <c r="R907" s="529"/>
      <c r="S907" s="529"/>
      <c r="T907" s="529"/>
      <c r="U907" s="529"/>
      <c r="V907" s="529"/>
      <c r="W907" s="529"/>
      <c r="X907" s="529"/>
      <c r="Y907" s="529"/>
      <c r="Z907" s="529"/>
      <c r="AA907" s="529"/>
      <c r="AB907" s="529"/>
      <c r="AC907" s="529"/>
      <c r="AD907" s="529"/>
      <c r="AE907" s="530"/>
      <c r="AF907" s="529"/>
      <c r="AG907" s="529"/>
      <c r="AH907" s="529"/>
      <c r="AI907" s="75"/>
    </row>
    <row r="908" spans="3:35" s="74" customFormat="1" x14ac:dyDescent="0.25">
      <c r="C908" s="527"/>
      <c r="H908" s="527"/>
      <c r="N908" s="55"/>
      <c r="P908" s="527"/>
      <c r="Q908" s="529"/>
      <c r="R908" s="529"/>
      <c r="S908" s="529"/>
      <c r="T908" s="529"/>
      <c r="U908" s="529"/>
      <c r="V908" s="529"/>
      <c r="W908" s="529"/>
      <c r="X908" s="529"/>
      <c r="Y908" s="529"/>
      <c r="Z908" s="529"/>
      <c r="AA908" s="529"/>
      <c r="AB908" s="529"/>
      <c r="AC908" s="529"/>
      <c r="AD908" s="529"/>
      <c r="AE908" s="530"/>
      <c r="AF908" s="529"/>
      <c r="AG908" s="529"/>
      <c r="AH908" s="529"/>
      <c r="AI908" s="75"/>
    </row>
    <row r="909" spans="3:35" s="74" customFormat="1" x14ac:dyDescent="0.25">
      <c r="C909" s="527"/>
      <c r="H909" s="527"/>
      <c r="N909" s="55"/>
      <c r="P909" s="527"/>
      <c r="Q909" s="529"/>
      <c r="R909" s="529"/>
      <c r="S909" s="529"/>
      <c r="T909" s="529"/>
      <c r="U909" s="529"/>
      <c r="V909" s="529"/>
      <c r="W909" s="529"/>
      <c r="X909" s="529"/>
      <c r="Y909" s="529"/>
      <c r="Z909" s="529"/>
      <c r="AA909" s="529"/>
      <c r="AB909" s="529"/>
      <c r="AC909" s="529"/>
      <c r="AD909" s="529"/>
      <c r="AE909" s="530"/>
      <c r="AF909" s="529"/>
      <c r="AG909" s="529"/>
      <c r="AH909" s="529"/>
      <c r="AI909" s="75"/>
    </row>
    <row r="910" spans="3:35" s="74" customFormat="1" x14ac:dyDescent="0.25">
      <c r="C910" s="527"/>
      <c r="H910" s="527"/>
      <c r="N910" s="55"/>
      <c r="P910" s="527"/>
      <c r="Q910" s="529"/>
      <c r="R910" s="529"/>
      <c r="S910" s="529"/>
      <c r="T910" s="529"/>
      <c r="U910" s="529"/>
      <c r="V910" s="529"/>
      <c r="W910" s="529"/>
      <c r="X910" s="529"/>
      <c r="Y910" s="529"/>
      <c r="Z910" s="529"/>
      <c r="AA910" s="529"/>
      <c r="AB910" s="529"/>
      <c r="AC910" s="529"/>
      <c r="AD910" s="529"/>
      <c r="AE910" s="530"/>
      <c r="AF910" s="529"/>
      <c r="AG910" s="529"/>
      <c r="AH910" s="529"/>
      <c r="AI910" s="75"/>
    </row>
    <row r="911" spans="3:35" s="74" customFormat="1" x14ac:dyDescent="0.25">
      <c r="C911" s="527"/>
      <c r="H911" s="527"/>
      <c r="N911" s="55"/>
      <c r="P911" s="527"/>
      <c r="Q911" s="529"/>
      <c r="R911" s="529"/>
      <c r="S911" s="529"/>
      <c r="T911" s="529"/>
      <c r="U911" s="529"/>
      <c r="V911" s="529"/>
      <c r="W911" s="529"/>
      <c r="X911" s="529"/>
      <c r="Y911" s="529"/>
      <c r="Z911" s="529"/>
      <c r="AA911" s="529"/>
      <c r="AB911" s="529"/>
      <c r="AC911" s="529"/>
      <c r="AD911" s="529"/>
      <c r="AE911" s="530"/>
      <c r="AF911" s="529"/>
      <c r="AG911" s="529"/>
      <c r="AH911" s="529"/>
      <c r="AI911" s="75"/>
    </row>
    <row r="912" spans="3:35" s="74" customFormat="1" x14ac:dyDescent="0.25">
      <c r="C912" s="527"/>
      <c r="H912" s="527"/>
      <c r="N912" s="55"/>
      <c r="P912" s="527"/>
      <c r="Q912" s="529"/>
      <c r="R912" s="529"/>
      <c r="S912" s="529"/>
      <c r="T912" s="529"/>
      <c r="U912" s="529"/>
      <c r="V912" s="529"/>
      <c r="W912" s="529"/>
      <c r="X912" s="529"/>
      <c r="Y912" s="529"/>
      <c r="Z912" s="529"/>
      <c r="AA912" s="529"/>
      <c r="AB912" s="529"/>
      <c r="AC912" s="529"/>
      <c r="AD912" s="529"/>
      <c r="AE912" s="530"/>
      <c r="AF912" s="529"/>
      <c r="AG912" s="529"/>
      <c r="AH912" s="529"/>
      <c r="AI912" s="75"/>
    </row>
    <row r="913" spans="3:35" s="74" customFormat="1" x14ac:dyDescent="0.25">
      <c r="C913" s="527"/>
      <c r="H913" s="527"/>
      <c r="N913" s="55"/>
      <c r="P913" s="527"/>
      <c r="Q913" s="529"/>
      <c r="R913" s="529"/>
      <c r="S913" s="529"/>
      <c r="T913" s="529"/>
      <c r="U913" s="529"/>
      <c r="V913" s="529"/>
      <c r="W913" s="529"/>
      <c r="X913" s="529"/>
      <c r="Y913" s="529"/>
      <c r="Z913" s="529"/>
      <c r="AA913" s="529"/>
      <c r="AB913" s="529"/>
      <c r="AC913" s="529"/>
      <c r="AD913" s="529"/>
      <c r="AE913" s="530"/>
      <c r="AF913" s="529"/>
      <c r="AG913" s="529"/>
      <c r="AH913" s="529"/>
      <c r="AI913" s="75"/>
    </row>
    <row r="914" spans="3:35" s="74" customFormat="1" x14ac:dyDescent="0.25">
      <c r="C914" s="527"/>
      <c r="H914" s="527"/>
      <c r="N914" s="55"/>
      <c r="P914" s="527"/>
      <c r="Q914" s="529"/>
      <c r="R914" s="529"/>
      <c r="S914" s="529"/>
      <c r="T914" s="529"/>
      <c r="U914" s="529"/>
      <c r="V914" s="529"/>
      <c r="W914" s="529"/>
      <c r="X914" s="529"/>
      <c r="Y914" s="529"/>
      <c r="Z914" s="529"/>
      <c r="AA914" s="529"/>
      <c r="AB914" s="529"/>
      <c r="AC914" s="529"/>
      <c r="AD914" s="529"/>
      <c r="AE914" s="530"/>
      <c r="AF914" s="529"/>
      <c r="AG914" s="529"/>
      <c r="AH914" s="529"/>
      <c r="AI914" s="75"/>
    </row>
    <row r="915" spans="3:35" s="74" customFormat="1" x14ac:dyDescent="0.25">
      <c r="C915" s="527"/>
      <c r="H915" s="527"/>
      <c r="N915" s="55"/>
      <c r="P915" s="527"/>
      <c r="Q915" s="529"/>
      <c r="R915" s="529"/>
      <c r="S915" s="529"/>
      <c r="T915" s="529"/>
      <c r="U915" s="529"/>
      <c r="V915" s="529"/>
      <c r="W915" s="529"/>
      <c r="X915" s="529"/>
      <c r="Y915" s="529"/>
      <c r="Z915" s="529"/>
      <c r="AA915" s="529"/>
      <c r="AB915" s="529"/>
      <c r="AC915" s="529"/>
      <c r="AD915" s="529"/>
      <c r="AE915" s="530"/>
      <c r="AF915" s="529"/>
      <c r="AG915" s="529"/>
      <c r="AH915" s="529"/>
      <c r="AI915" s="75"/>
    </row>
    <row r="916" spans="3:35" s="74" customFormat="1" x14ac:dyDescent="0.25">
      <c r="C916" s="527"/>
      <c r="H916" s="527"/>
      <c r="N916" s="55"/>
      <c r="P916" s="527"/>
      <c r="Q916" s="529"/>
      <c r="R916" s="529"/>
      <c r="S916" s="529"/>
      <c r="T916" s="529"/>
      <c r="U916" s="529"/>
      <c r="V916" s="529"/>
      <c r="W916" s="529"/>
      <c r="X916" s="529"/>
      <c r="Y916" s="529"/>
      <c r="Z916" s="529"/>
      <c r="AA916" s="529"/>
      <c r="AB916" s="529"/>
      <c r="AC916" s="529"/>
      <c r="AD916" s="529"/>
      <c r="AE916" s="530"/>
      <c r="AF916" s="529"/>
      <c r="AG916" s="529"/>
      <c r="AH916" s="529"/>
      <c r="AI916" s="75"/>
    </row>
    <row r="917" spans="3:35" s="74" customFormat="1" x14ac:dyDescent="0.25">
      <c r="C917" s="527"/>
      <c r="H917" s="527"/>
      <c r="N917" s="55"/>
      <c r="P917" s="527"/>
      <c r="Q917" s="529"/>
      <c r="R917" s="529"/>
      <c r="S917" s="529"/>
      <c r="T917" s="529"/>
      <c r="U917" s="529"/>
      <c r="V917" s="529"/>
      <c r="W917" s="529"/>
      <c r="X917" s="529"/>
      <c r="Y917" s="529"/>
      <c r="Z917" s="529"/>
      <c r="AA917" s="529"/>
      <c r="AB917" s="529"/>
      <c r="AC917" s="529"/>
      <c r="AD917" s="529"/>
      <c r="AE917" s="530"/>
      <c r="AF917" s="529"/>
      <c r="AG917" s="529"/>
      <c r="AH917" s="529"/>
      <c r="AI917" s="75"/>
    </row>
    <row r="918" spans="3:35" s="74" customFormat="1" x14ac:dyDescent="0.25">
      <c r="C918" s="527"/>
      <c r="H918" s="527"/>
      <c r="N918" s="55"/>
      <c r="P918" s="527"/>
      <c r="Q918" s="529"/>
      <c r="R918" s="529"/>
      <c r="S918" s="529"/>
      <c r="T918" s="529"/>
      <c r="U918" s="529"/>
      <c r="V918" s="529"/>
      <c r="W918" s="529"/>
      <c r="X918" s="529"/>
      <c r="Y918" s="529"/>
      <c r="Z918" s="529"/>
      <c r="AA918" s="529"/>
      <c r="AB918" s="529"/>
      <c r="AC918" s="529"/>
      <c r="AD918" s="529"/>
      <c r="AE918" s="530"/>
      <c r="AF918" s="529"/>
      <c r="AG918" s="529"/>
      <c r="AH918" s="529"/>
      <c r="AI918" s="75"/>
    </row>
    <row r="919" spans="3:35" s="74" customFormat="1" x14ac:dyDescent="0.25">
      <c r="C919" s="527"/>
      <c r="H919" s="527"/>
      <c r="N919" s="55"/>
      <c r="P919" s="527"/>
      <c r="Q919" s="529"/>
      <c r="R919" s="529"/>
      <c r="S919" s="529"/>
      <c r="T919" s="529"/>
      <c r="U919" s="529"/>
      <c r="V919" s="529"/>
      <c r="W919" s="529"/>
      <c r="X919" s="529"/>
      <c r="Y919" s="529"/>
      <c r="Z919" s="529"/>
      <c r="AA919" s="529"/>
      <c r="AB919" s="529"/>
      <c r="AC919" s="529"/>
      <c r="AD919" s="529"/>
      <c r="AE919" s="530"/>
      <c r="AF919" s="529"/>
      <c r="AG919" s="529"/>
      <c r="AH919" s="529"/>
      <c r="AI919" s="75"/>
    </row>
    <row r="920" spans="3:35" s="74" customFormat="1" x14ac:dyDescent="0.25">
      <c r="C920" s="527"/>
      <c r="H920" s="527"/>
      <c r="N920" s="55"/>
      <c r="P920" s="527"/>
      <c r="Q920" s="529"/>
      <c r="R920" s="529"/>
      <c r="S920" s="529"/>
      <c r="T920" s="529"/>
      <c r="U920" s="529"/>
      <c r="V920" s="529"/>
      <c r="W920" s="529"/>
      <c r="X920" s="529"/>
      <c r="Y920" s="529"/>
      <c r="Z920" s="529"/>
      <c r="AA920" s="529"/>
      <c r="AB920" s="529"/>
      <c r="AC920" s="529"/>
      <c r="AD920" s="529"/>
      <c r="AE920" s="530"/>
      <c r="AF920" s="529"/>
      <c r="AG920" s="529"/>
      <c r="AH920" s="529"/>
      <c r="AI920" s="75"/>
    </row>
    <row r="921" spans="3:35" s="74" customFormat="1" x14ac:dyDescent="0.25">
      <c r="C921" s="527"/>
      <c r="H921" s="527"/>
      <c r="N921" s="55"/>
      <c r="P921" s="527"/>
      <c r="Q921" s="529"/>
      <c r="R921" s="529"/>
      <c r="S921" s="529"/>
      <c r="T921" s="529"/>
      <c r="U921" s="529"/>
      <c r="V921" s="529"/>
      <c r="W921" s="529"/>
      <c r="X921" s="529"/>
      <c r="Y921" s="529"/>
      <c r="Z921" s="529"/>
      <c r="AA921" s="529"/>
      <c r="AB921" s="529"/>
      <c r="AC921" s="529"/>
      <c r="AD921" s="529"/>
      <c r="AE921" s="530"/>
      <c r="AF921" s="529"/>
      <c r="AG921" s="529"/>
      <c r="AH921" s="529"/>
      <c r="AI921" s="75"/>
    </row>
    <row r="922" spans="3:35" s="74" customFormat="1" x14ac:dyDescent="0.25">
      <c r="C922" s="527"/>
      <c r="H922" s="527"/>
      <c r="N922" s="55"/>
      <c r="P922" s="527"/>
      <c r="Q922" s="529"/>
      <c r="R922" s="529"/>
      <c r="S922" s="529"/>
      <c r="T922" s="529"/>
      <c r="U922" s="529"/>
      <c r="V922" s="529"/>
      <c r="W922" s="529"/>
      <c r="X922" s="529"/>
      <c r="Y922" s="529"/>
      <c r="Z922" s="529"/>
      <c r="AA922" s="529"/>
      <c r="AB922" s="529"/>
      <c r="AC922" s="529"/>
      <c r="AD922" s="529"/>
      <c r="AE922" s="530"/>
      <c r="AF922" s="529"/>
      <c r="AG922" s="529"/>
      <c r="AH922" s="529"/>
      <c r="AI922" s="75"/>
    </row>
    <row r="923" spans="3:35" s="74" customFormat="1" x14ac:dyDescent="0.25">
      <c r="C923" s="527"/>
      <c r="H923" s="527"/>
      <c r="N923" s="55"/>
      <c r="P923" s="527"/>
      <c r="Q923" s="529"/>
      <c r="R923" s="529"/>
      <c r="S923" s="529"/>
      <c r="T923" s="529"/>
      <c r="U923" s="529"/>
      <c r="V923" s="529"/>
      <c r="W923" s="529"/>
      <c r="X923" s="529"/>
      <c r="Y923" s="529"/>
      <c r="Z923" s="529"/>
      <c r="AA923" s="529"/>
      <c r="AB923" s="529"/>
      <c r="AC923" s="529"/>
      <c r="AD923" s="529"/>
      <c r="AE923" s="530"/>
      <c r="AF923" s="529"/>
      <c r="AG923" s="529"/>
      <c r="AH923" s="529"/>
      <c r="AI923" s="75"/>
    </row>
    <row r="924" spans="3:35" s="74" customFormat="1" x14ac:dyDescent="0.25">
      <c r="C924" s="527"/>
      <c r="H924" s="527"/>
      <c r="N924" s="55"/>
      <c r="P924" s="527"/>
      <c r="Q924" s="529"/>
      <c r="R924" s="529"/>
      <c r="S924" s="529"/>
      <c r="T924" s="529"/>
      <c r="U924" s="529"/>
      <c r="V924" s="529"/>
      <c r="W924" s="529"/>
      <c r="X924" s="529"/>
      <c r="Y924" s="529"/>
      <c r="Z924" s="529"/>
      <c r="AA924" s="529"/>
      <c r="AB924" s="529"/>
      <c r="AC924" s="529"/>
      <c r="AD924" s="529"/>
      <c r="AE924" s="530"/>
      <c r="AF924" s="529"/>
      <c r="AG924" s="529"/>
      <c r="AH924" s="529"/>
      <c r="AI924" s="75"/>
    </row>
    <row r="925" spans="3:35" s="74" customFormat="1" x14ac:dyDescent="0.25">
      <c r="C925" s="527"/>
      <c r="H925" s="527"/>
      <c r="N925" s="55"/>
      <c r="P925" s="527"/>
      <c r="Q925" s="529"/>
      <c r="R925" s="529"/>
      <c r="S925" s="529"/>
      <c r="T925" s="529"/>
      <c r="U925" s="529"/>
      <c r="V925" s="529"/>
      <c r="W925" s="529"/>
      <c r="X925" s="529"/>
      <c r="Y925" s="529"/>
      <c r="Z925" s="529"/>
      <c r="AA925" s="529"/>
      <c r="AB925" s="529"/>
      <c r="AC925" s="529"/>
      <c r="AD925" s="529"/>
      <c r="AE925" s="530"/>
      <c r="AF925" s="529"/>
      <c r="AG925" s="529"/>
      <c r="AH925" s="529"/>
      <c r="AI925" s="75"/>
    </row>
    <row r="926" spans="3:35" s="74" customFormat="1" x14ac:dyDescent="0.25">
      <c r="C926" s="527"/>
      <c r="H926" s="527"/>
      <c r="N926" s="55"/>
      <c r="P926" s="527"/>
      <c r="Q926" s="529"/>
      <c r="R926" s="529"/>
      <c r="S926" s="529"/>
      <c r="T926" s="529"/>
      <c r="U926" s="529"/>
      <c r="V926" s="529"/>
      <c r="W926" s="529"/>
      <c r="X926" s="529"/>
      <c r="Y926" s="529"/>
      <c r="Z926" s="529"/>
      <c r="AA926" s="529"/>
      <c r="AB926" s="529"/>
      <c r="AC926" s="529"/>
      <c r="AD926" s="529"/>
      <c r="AE926" s="530"/>
      <c r="AF926" s="529"/>
      <c r="AG926" s="529"/>
      <c r="AH926" s="529"/>
      <c r="AI926" s="75"/>
    </row>
    <row r="927" spans="3:35" s="74" customFormat="1" x14ac:dyDescent="0.25">
      <c r="C927" s="527"/>
      <c r="H927" s="527"/>
      <c r="N927" s="55"/>
      <c r="P927" s="527"/>
      <c r="Q927" s="529"/>
      <c r="R927" s="529"/>
      <c r="S927" s="529"/>
      <c r="T927" s="529"/>
      <c r="U927" s="529"/>
      <c r="V927" s="529"/>
      <c r="W927" s="529"/>
      <c r="X927" s="529"/>
      <c r="Y927" s="529"/>
      <c r="Z927" s="529"/>
      <c r="AA927" s="529"/>
      <c r="AB927" s="529"/>
      <c r="AC927" s="529"/>
      <c r="AD927" s="529"/>
      <c r="AE927" s="530"/>
      <c r="AF927" s="529"/>
      <c r="AG927" s="529"/>
      <c r="AH927" s="529"/>
      <c r="AI927" s="75"/>
    </row>
    <row r="928" spans="3:35" s="74" customFormat="1" x14ac:dyDescent="0.25">
      <c r="C928" s="527"/>
      <c r="H928" s="527"/>
      <c r="N928" s="55"/>
      <c r="P928" s="527"/>
      <c r="Q928" s="529"/>
      <c r="R928" s="529"/>
      <c r="S928" s="529"/>
      <c r="T928" s="529"/>
      <c r="U928" s="529"/>
      <c r="V928" s="529"/>
      <c r="W928" s="529"/>
      <c r="X928" s="529"/>
      <c r="Y928" s="529"/>
      <c r="Z928" s="529"/>
      <c r="AA928" s="529"/>
      <c r="AB928" s="529"/>
      <c r="AC928" s="529"/>
      <c r="AD928" s="529"/>
      <c r="AE928" s="530"/>
      <c r="AF928" s="529"/>
      <c r="AG928" s="529"/>
      <c r="AH928" s="529"/>
      <c r="AI928" s="75"/>
    </row>
    <row r="929" spans="3:35" s="74" customFormat="1" x14ac:dyDescent="0.25">
      <c r="C929" s="527"/>
      <c r="H929" s="527"/>
      <c r="N929" s="55"/>
      <c r="P929" s="527"/>
      <c r="Q929" s="529"/>
      <c r="R929" s="529"/>
      <c r="S929" s="529"/>
      <c r="T929" s="529"/>
      <c r="U929" s="529"/>
      <c r="V929" s="529"/>
      <c r="W929" s="529"/>
      <c r="X929" s="529"/>
      <c r="Y929" s="529"/>
      <c r="Z929" s="529"/>
      <c r="AA929" s="529"/>
      <c r="AB929" s="529"/>
      <c r="AC929" s="529"/>
      <c r="AD929" s="529"/>
      <c r="AE929" s="530"/>
      <c r="AF929" s="529"/>
      <c r="AG929" s="529"/>
      <c r="AH929" s="529"/>
      <c r="AI929" s="75"/>
    </row>
    <row r="930" spans="3:35" s="74" customFormat="1" x14ac:dyDescent="0.25">
      <c r="C930" s="527"/>
      <c r="H930" s="527"/>
      <c r="N930" s="55"/>
      <c r="P930" s="527"/>
      <c r="Q930" s="529"/>
      <c r="R930" s="529"/>
      <c r="S930" s="529"/>
      <c r="T930" s="529"/>
      <c r="U930" s="529"/>
      <c r="V930" s="529"/>
      <c r="W930" s="529"/>
      <c r="X930" s="529"/>
      <c r="Y930" s="529"/>
      <c r="Z930" s="529"/>
      <c r="AA930" s="529"/>
      <c r="AB930" s="529"/>
      <c r="AC930" s="529"/>
      <c r="AD930" s="529"/>
      <c r="AE930" s="530"/>
      <c r="AF930" s="529"/>
      <c r="AG930" s="529"/>
      <c r="AH930" s="529"/>
      <c r="AI930" s="75"/>
    </row>
    <row r="931" spans="3:35" s="74" customFormat="1" x14ac:dyDescent="0.25">
      <c r="C931" s="527"/>
      <c r="H931" s="527"/>
      <c r="N931" s="55"/>
      <c r="P931" s="527"/>
      <c r="Q931" s="529"/>
      <c r="R931" s="529"/>
      <c r="S931" s="529"/>
      <c r="T931" s="529"/>
      <c r="U931" s="529"/>
      <c r="V931" s="529"/>
      <c r="W931" s="529"/>
      <c r="X931" s="529"/>
      <c r="Y931" s="529"/>
      <c r="Z931" s="529"/>
      <c r="AA931" s="529"/>
      <c r="AB931" s="529"/>
      <c r="AC931" s="529"/>
      <c r="AD931" s="529"/>
      <c r="AE931" s="530"/>
      <c r="AF931" s="529"/>
      <c r="AG931" s="529"/>
      <c r="AH931" s="529"/>
      <c r="AI931" s="75"/>
    </row>
    <row r="932" spans="3:35" s="74" customFormat="1" x14ac:dyDescent="0.25">
      <c r="C932" s="527"/>
      <c r="H932" s="527"/>
      <c r="N932" s="55"/>
      <c r="P932" s="527"/>
      <c r="Q932" s="529"/>
      <c r="R932" s="529"/>
      <c r="S932" s="529"/>
      <c r="T932" s="529"/>
      <c r="U932" s="529"/>
      <c r="V932" s="529"/>
      <c r="W932" s="529"/>
      <c r="X932" s="529"/>
      <c r="Y932" s="529"/>
      <c r="Z932" s="529"/>
      <c r="AA932" s="529"/>
      <c r="AB932" s="529"/>
      <c r="AC932" s="529"/>
      <c r="AD932" s="529"/>
      <c r="AE932" s="530"/>
      <c r="AF932" s="529"/>
      <c r="AG932" s="529"/>
      <c r="AH932" s="529"/>
      <c r="AI932" s="75"/>
    </row>
    <row r="933" spans="3:35" s="74" customFormat="1" x14ac:dyDescent="0.25">
      <c r="C933" s="527"/>
      <c r="H933" s="527"/>
      <c r="N933" s="55"/>
      <c r="P933" s="527"/>
      <c r="Q933" s="529"/>
      <c r="R933" s="529"/>
      <c r="S933" s="529"/>
      <c r="T933" s="529"/>
      <c r="U933" s="529"/>
      <c r="V933" s="529"/>
      <c r="W933" s="529"/>
      <c r="X933" s="529"/>
      <c r="Y933" s="529"/>
      <c r="Z933" s="529"/>
      <c r="AA933" s="529"/>
      <c r="AB933" s="529"/>
      <c r="AC933" s="529"/>
      <c r="AD933" s="529"/>
      <c r="AE933" s="530"/>
      <c r="AF933" s="529"/>
      <c r="AG933" s="529"/>
      <c r="AH933" s="529"/>
      <c r="AI933" s="75"/>
    </row>
    <row r="934" spans="3:35" s="74" customFormat="1" x14ac:dyDescent="0.25">
      <c r="C934" s="527"/>
      <c r="H934" s="527"/>
      <c r="N934" s="55"/>
      <c r="P934" s="527"/>
      <c r="Q934" s="529"/>
      <c r="R934" s="529"/>
      <c r="S934" s="529"/>
      <c r="T934" s="529"/>
      <c r="U934" s="529"/>
      <c r="V934" s="529"/>
      <c r="W934" s="529"/>
      <c r="X934" s="529"/>
      <c r="Y934" s="529"/>
      <c r="Z934" s="529"/>
      <c r="AA934" s="529"/>
      <c r="AB934" s="529"/>
      <c r="AC934" s="529"/>
      <c r="AD934" s="529"/>
      <c r="AE934" s="530"/>
      <c r="AF934" s="529"/>
      <c r="AG934" s="529"/>
      <c r="AH934" s="529"/>
      <c r="AI934" s="75"/>
    </row>
    <row r="935" spans="3:35" s="74" customFormat="1" x14ac:dyDescent="0.25">
      <c r="C935" s="527"/>
      <c r="H935" s="527"/>
      <c r="N935" s="55"/>
      <c r="P935" s="527"/>
      <c r="Q935" s="529"/>
      <c r="R935" s="529"/>
      <c r="S935" s="529"/>
      <c r="T935" s="529"/>
      <c r="U935" s="529"/>
      <c r="V935" s="529"/>
      <c r="W935" s="529"/>
      <c r="X935" s="529"/>
      <c r="Y935" s="529"/>
      <c r="Z935" s="529"/>
      <c r="AA935" s="529"/>
      <c r="AB935" s="529"/>
      <c r="AC935" s="529"/>
      <c r="AD935" s="529"/>
      <c r="AE935" s="530"/>
      <c r="AF935" s="529"/>
      <c r="AG935" s="529"/>
      <c r="AH935" s="529"/>
      <c r="AI935" s="75"/>
    </row>
    <row r="936" spans="3:35" s="74" customFormat="1" x14ac:dyDescent="0.25">
      <c r="C936" s="527"/>
      <c r="H936" s="527"/>
      <c r="N936" s="55"/>
      <c r="P936" s="527"/>
      <c r="Q936" s="529"/>
      <c r="R936" s="529"/>
      <c r="S936" s="529"/>
      <c r="T936" s="529"/>
      <c r="U936" s="529"/>
      <c r="V936" s="529"/>
      <c r="W936" s="529"/>
      <c r="X936" s="529"/>
      <c r="Y936" s="529"/>
      <c r="Z936" s="529"/>
      <c r="AA936" s="529"/>
      <c r="AB936" s="529"/>
      <c r="AC936" s="529"/>
      <c r="AD936" s="529"/>
      <c r="AE936" s="530"/>
      <c r="AF936" s="529"/>
      <c r="AG936" s="529"/>
      <c r="AH936" s="529"/>
      <c r="AI936" s="75"/>
    </row>
    <row r="937" spans="3:35" s="74" customFormat="1" x14ac:dyDescent="0.25">
      <c r="C937" s="527"/>
      <c r="H937" s="527"/>
      <c r="N937" s="55"/>
      <c r="P937" s="527"/>
      <c r="Q937" s="529"/>
      <c r="R937" s="529"/>
      <c r="S937" s="529"/>
      <c r="T937" s="529"/>
      <c r="U937" s="529"/>
      <c r="V937" s="529"/>
      <c r="W937" s="529"/>
      <c r="X937" s="529"/>
      <c r="Y937" s="529"/>
      <c r="Z937" s="529"/>
      <c r="AA937" s="529"/>
      <c r="AB937" s="529"/>
      <c r="AC937" s="529"/>
      <c r="AD937" s="529"/>
      <c r="AE937" s="530"/>
      <c r="AF937" s="529"/>
      <c r="AG937" s="529"/>
      <c r="AH937" s="529"/>
      <c r="AI937" s="75"/>
    </row>
    <row r="938" spans="3:35" s="74" customFormat="1" x14ac:dyDescent="0.25">
      <c r="C938" s="527"/>
      <c r="H938" s="527"/>
      <c r="N938" s="55"/>
      <c r="P938" s="527"/>
      <c r="Q938" s="529"/>
      <c r="R938" s="529"/>
      <c r="S938" s="529"/>
      <c r="T938" s="529"/>
      <c r="U938" s="529"/>
      <c r="V938" s="529"/>
      <c r="W938" s="529"/>
      <c r="X938" s="529"/>
      <c r="Y938" s="529"/>
      <c r="Z938" s="529"/>
      <c r="AA938" s="529"/>
      <c r="AB938" s="529"/>
      <c r="AC938" s="529"/>
      <c r="AD938" s="529"/>
      <c r="AE938" s="530"/>
      <c r="AF938" s="529"/>
      <c r="AG938" s="529"/>
      <c r="AH938" s="529"/>
      <c r="AI938" s="75"/>
    </row>
    <row r="939" spans="3:35" s="74" customFormat="1" x14ac:dyDescent="0.25">
      <c r="C939" s="527"/>
      <c r="H939" s="527"/>
      <c r="N939" s="55"/>
      <c r="P939" s="527"/>
      <c r="Q939" s="529"/>
      <c r="R939" s="529"/>
      <c r="S939" s="529"/>
      <c r="T939" s="529"/>
      <c r="U939" s="529"/>
      <c r="V939" s="529"/>
      <c r="W939" s="529"/>
      <c r="X939" s="529"/>
      <c r="Y939" s="529"/>
      <c r="Z939" s="529"/>
      <c r="AA939" s="529"/>
      <c r="AB939" s="529"/>
      <c r="AC939" s="529"/>
      <c r="AD939" s="529"/>
      <c r="AE939" s="530"/>
      <c r="AF939" s="529"/>
      <c r="AG939" s="529"/>
      <c r="AH939" s="529"/>
      <c r="AI939" s="75"/>
    </row>
    <row r="940" spans="3:35" s="74" customFormat="1" x14ac:dyDescent="0.25">
      <c r="C940" s="527"/>
      <c r="H940" s="527"/>
      <c r="N940" s="55"/>
      <c r="P940" s="527"/>
      <c r="Q940" s="529"/>
      <c r="R940" s="529"/>
      <c r="S940" s="529"/>
      <c r="T940" s="529"/>
      <c r="U940" s="529"/>
      <c r="V940" s="529"/>
      <c r="W940" s="529"/>
      <c r="X940" s="529"/>
      <c r="Y940" s="529"/>
      <c r="Z940" s="529"/>
      <c r="AA940" s="529"/>
      <c r="AB940" s="529"/>
      <c r="AC940" s="529"/>
      <c r="AD940" s="529"/>
      <c r="AE940" s="530"/>
      <c r="AF940" s="529"/>
      <c r="AG940" s="529"/>
      <c r="AH940" s="529"/>
      <c r="AI940" s="75"/>
    </row>
    <row r="941" spans="3:35" s="74" customFormat="1" x14ac:dyDescent="0.25">
      <c r="C941" s="527"/>
      <c r="H941" s="527"/>
      <c r="N941" s="55"/>
      <c r="P941" s="527"/>
      <c r="Q941" s="529"/>
      <c r="R941" s="529"/>
      <c r="S941" s="529"/>
      <c r="T941" s="529"/>
      <c r="U941" s="529"/>
      <c r="V941" s="529"/>
      <c r="W941" s="529"/>
      <c r="X941" s="529"/>
      <c r="Y941" s="529"/>
      <c r="Z941" s="529"/>
      <c r="AA941" s="529"/>
      <c r="AB941" s="529"/>
      <c r="AC941" s="529"/>
      <c r="AD941" s="529"/>
      <c r="AE941" s="530"/>
      <c r="AF941" s="529"/>
      <c r="AG941" s="529"/>
      <c r="AH941" s="529"/>
      <c r="AI941" s="75"/>
    </row>
    <row r="942" spans="3:35" s="74" customFormat="1" x14ac:dyDescent="0.25">
      <c r="C942" s="527"/>
      <c r="H942" s="527"/>
      <c r="N942" s="55"/>
      <c r="P942" s="527"/>
      <c r="Q942" s="529"/>
      <c r="R942" s="529"/>
      <c r="S942" s="529"/>
      <c r="T942" s="529"/>
      <c r="U942" s="529"/>
      <c r="V942" s="529"/>
      <c r="W942" s="529"/>
      <c r="X942" s="529"/>
      <c r="Y942" s="529"/>
      <c r="Z942" s="529"/>
      <c r="AA942" s="529"/>
      <c r="AB942" s="529"/>
      <c r="AC942" s="529"/>
      <c r="AD942" s="529"/>
      <c r="AE942" s="530"/>
      <c r="AF942" s="529"/>
      <c r="AG942" s="529"/>
      <c r="AH942" s="529"/>
      <c r="AI942" s="75"/>
    </row>
    <row r="943" spans="3:35" s="74" customFormat="1" x14ac:dyDescent="0.25">
      <c r="C943" s="527"/>
      <c r="H943" s="527"/>
      <c r="N943" s="55"/>
      <c r="P943" s="527"/>
      <c r="Q943" s="529"/>
      <c r="R943" s="529"/>
      <c r="S943" s="529"/>
      <c r="T943" s="529"/>
      <c r="U943" s="529"/>
      <c r="V943" s="529"/>
      <c r="W943" s="529"/>
      <c r="X943" s="529"/>
      <c r="Y943" s="529"/>
      <c r="Z943" s="529"/>
      <c r="AA943" s="529"/>
      <c r="AB943" s="529"/>
      <c r="AC943" s="529"/>
      <c r="AD943" s="529"/>
      <c r="AE943" s="530"/>
      <c r="AF943" s="529"/>
      <c r="AG943" s="529"/>
      <c r="AH943" s="529"/>
      <c r="AI943" s="75"/>
    </row>
    <row r="944" spans="3:35" s="74" customFormat="1" x14ac:dyDescent="0.25">
      <c r="C944" s="527"/>
      <c r="H944" s="527"/>
      <c r="N944" s="55"/>
      <c r="P944" s="527"/>
      <c r="Q944" s="529"/>
      <c r="R944" s="529"/>
      <c r="S944" s="529"/>
      <c r="T944" s="529"/>
      <c r="U944" s="529"/>
      <c r="V944" s="529"/>
      <c r="W944" s="529"/>
      <c r="X944" s="529"/>
      <c r="Y944" s="529"/>
      <c r="Z944" s="529"/>
      <c r="AA944" s="529"/>
      <c r="AB944" s="529"/>
      <c r="AC944" s="529"/>
      <c r="AD944" s="529"/>
      <c r="AE944" s="530"/>
      <c r="AF944" s="529"/>
      <c r="AG944" s="529"/>
      <c r="AH944" s="529"/>
      <c r="AI944" s="75"/>
    </row>
    <row r="945" spans="3:35" s="74" customFormat="1" x14ac:dyDescent="0.25">
      <c r="C945" s="527"/>
      <c r="H945" s="527"/>
      <c r="N945" s="55"/>
      <c r="P945" s="527"/>
      <c r="Q945" s="529"/>
      <c r="R945" s="529"/>
      <c r="S945" s="529"/>
      <c r="T945" s="529"/>
      <c r="U945" s="529"/>
      <c r="V945" s="529"/>
      <c r="W945" s="529"/>
      <c r="X945" s="529"/>
      <c r="Y945" s="529"/>
      <c r="Z945" s="529"/>
      <c r="AA945" s="529"/>
      <c r="AB945" s="529"/>
      <c r="AC945" s="529"/>
      <c r="AD945" s="529"/>
      <c r="AE945" s="530"/>
      <c r="AF945" s="529"/>
      <c r="AG945" s="529"/>
      <c r="AH945" s="529"/>
      <c r="AI945" s="75"/>
    </row>
    <row r="946" spans="3:35" s="74" customFormat="1" x14ac:dyDescent="0.25">
      <c r="C946" s="527"/>
      <c r="H946" s="527"/>
      <c r="N946" s="55"/>
      <c r="P946" s="527"/>
      <c r="Q946" s="529"/>
      <c r="R946" s="529"/>
      <c r="S946" s="529"/>
      <c r="T946" s="529"/>
      <c r="U946" s="529"/>
      <c r="V946" s="529"/>
      <c r="W946" s="529"/>
      <c r="X946" s="529"/>
      <c r="Y946" s="529"/>
      <c r="Z946" s="529"/>
      <c r="AA946" s="529"/>
      <c r="AB946" s="529"/>
      <c r="AC946" s="529"/>
      <c r="AD946" s="529"/>
      <c r="AE946" s="530"/>
      <c r="AF946" s="529"/>
      <c r="AG946" s="529"/>
      <c r="AH946" s="529"/>
      <c r="AI946" s="75"/>
    </row>
    <row r="947" spans="3:35" s="74" customFormat="1" x14ac:dyDescent="0.25">
      <c r="C947" s="527"/>
      <c r="H947" s="527"/>
      <c r="N947" s="55"/>
      <c r="P947" s="527"/>
      <c r="Q947" s="529"/>
      <c r="R947" s="529"/>
      <c r="S947" s="529"/>
      <c r="T947" s="529"/>
      <c r="U947" s="529"/>
      <c r="V947" s="529"/>
      <c r="W947" s="529"/>
      <c r="X947" s="529"/>
      <c r="Y947" s="529"/>
      <c r="Z947" s="529"/>
      <c r="AA947" s="529"/>
      <c r="AB947" s="529"/>
      <c r="AC947" s="529"/>
      <c r="AD947" s="529"/>
      <c r="AE947" s="530"/>
      <c r="AF947" s="529"/>
      <c r="AG947" s="529"/>
      <c r="AH947" s="529"/>
      <c r="AI947" s="75"/>
    </row>
    <row r="948" spans="3:35" s="74" customFormat="1" x14ac:dyDescent="0.25">
      <c r="C948" s="527"/>
      <c r="H948" s="527"/>
      <c r="N948" s="55"/>
      <c r="P948" s="527"/>
      <c r="Q948" s="529"/>
      <c r="R948" s="529"/>
      <c r="S948" s="529"/>
      <c r="T948" s="529"/>
      <c r="U948" s="529"/>
      <c r="V948" s="529"/>
      <c r="W948" s="529"/>
      <c r="X948" s="529"/>
      <c r="Y948" s="529"/>
      <c r="Z948" s="529"/>
      <c r="AA948" s="529"/>
      <c r="AB948" s="529"/>
      <c r="AC948" s="529"/>
      <c r="AD948" s="529"/>
      <c r="AE948" s="530"/>
      <c r="AF948" s="529"/>
      <c r="AG948" s="529"/>
      <c r="AH948" s="529"/>
      <c r="AI948" s="75"/>
    </row>
    <row r="949" spans="3:35" s="74" customFormat="1" x14ac:dyDescent="0.25">
      <c r="C949" s="527"/>
      <c r="H949" s="527"/>
      <c r="N949" s="55"/>
      <c r="P949" s="527"/>
      <c r="Q949" s="529"/>
      <c r="R949" s="529"/>
      <c r="S949" s="529"/>
      <c r="T949" s="529"/>
      <c r="U949" s="529"/>
      <c r="V949" s="529"/>
      <c r="W949" s="529"/>
      <c r="X949" s="529"/>
      <c r="Y949" s="529"/>
      <c r="Z949" s="529"/>
      <c r="AA949" s="529"/>
      <c r="AB949" s="529"/>
      <c r="AC949" s="529"/>
      <c r="AD949" s="529"/>
      <c r="AE949" s="530"/>
      <c r="AF949" s="529"/>
      <c r="AG949" s="529"/>
      <c r="AH949" s="529"/>
      <c r="AI949" s="75"/>
    </row>
    <row r="950" spans="3:35" s="74" customFormat="1" x14ac:dyDescent="0.25">
      <c r="C950" s="527"/>
      <c r="H950" s="527"/>
      <c r="N950" s="55"/>
      <c r="P950" s="527"/>
      <c r="Q950" s="529"/>
      <c r="R950" s="529"/>
      <c r="S950" s="529"/>
      <c r="T950" s="529"/>
      <c r="U950" s="529"/>
      <c r="V950" s="529"/>
      <c r="W950" s="529"/>
      <c r="X950" s="529"/>
      <c r="Y950" s="529"/>
      <c r="Z950" s="529"/>
      <c r="AA950" s="529"/>
      <c r="AB950" s="529"/>
      <c r="AC950" s="529"/>
      <c r="AD950" s="529"/>
      <c r="AE950" s="530"/>
      <c r="AF950" s="529"/>
      <c r="AG950" s="529"/>
      <c r="AH950" s="529"/>
      <c r="AI950" s="75"/>
    </row>
    <row r="951" spans="3:35" s="74" customFormat="1" x14ac:dyDescent="0.25">
      <c r="C951" s="527"/>
      <c r="H951" s="527"/>
      <c r="N951" s="55"/>
      <c r="P951" s="527"/>
      <c r="Q951" s="529"/>
      <c r="R951" s="529"/>
      <c r="S951" s="529"/>
      <c r="T951" s="529"/>
      <c r="U951" s="529"/>
      <c r="V951" s="529"/>
      <c r="W951" s="529"/>
      <c r="X951" s="529"/>
      <c r="Y951" s="529"/>
      <c r="Z951" s="529"/>
      <c r="AA951" s="529"/>
      <c r="AB951" s="529"/>
      <c r="AC951" s="529"/>
      <c r="AD951" s="529"/>
      <c r="AE951" s="530"/>
      <c r="AF951" s="529"/>
      <c r="AG951" s="529"/>
      <c r="AH951" s="529"/>
      <c r="AI951" s="75"/>
    </row>
    <row r="952" spans="3:35" s="74" customFormat="1" x14ac:dyDescent="0.25">
      <c r="C952" s="527"/>
      <c r="H952" s="527"/>
      <c r="N952" s="55"/>
      <c r="P952" s="527"/>
      <c r="Q952" s="529"/>
      <c r="R952" s="529"/>
      <c r="S952" s="529"/>
      <c r="T952" s="529"/>
      <c r="U952" s="529"/>
      <c r="V952" s="529"/>
      <c r="W952" s="529"/>
      <c r="X952" s="529"/>
      <c r="Y952" s="529"/>
      <c r="Z952" s="529"/>
      <c r="AA952" s="529"/>
      <c r="AB952" s="529"/>
      <c r="AC952" s="529"/>
      <c r="AD952" s="529"/>
      <c r="AE952" s="530"/>
      <c r="AF952" s="529"/>
      <c r="AG952" s="529"/>
      <c r="AH952" s="529"/>
      <c r="AI952" s="75"/>
    </row>
    <row r="953" spans="3:35" s="74" customFormat="1" x14ac:dyDescent="0.25">
      <c r="C953" s="527"/>
      <c r="H953" s="527"/>
      <c r="N953" s="55"/>
      <c r="P953" s="527"/>
      <c r="Q953" s="529"/>
      <c r="R953" s="529"/>
      <c r="S953" s="529"/>
      <c r="T953" s="529"/>
      <c r="U953" s="529"/>
      <c r="V953" s="529"/>
      <c r="W953" s="529"/>
      <c r="X953" s="529"/>
      <c r="Y953" s="529"/>
      <c r="Z953" s="529"/>
      <c r="AA953" s="529"/>
      <c r="AB953" s="529"/>
      <c r="AC953" s="529"/>
      <c r="AD953" s="529"/>
      <c r="AE953" s="530"/>
      <c r="AF953" s="529"/>
      <c r="AG953" s="529"/>
      <c r="AH953" s="529"/>
      <c r="AI953" s="75"/>
    </row>
    <row r="954" spans="3:35" s="74" customFormat="1" x14ac:dyDescent="0.25">
      <c r="C954" s="527"/>
      <c r="H954" s="527"/>
      <c r="N954" s="55"/>
      <c r="P954" s="527"/>
      <c r="Q954" s="529"/>
      <c r="R954" s="529"/>
      <c r="S954" s="529"/>
      <c r="T954" s="529"/>
      <c r="U954" s="529"/>
      <c r="V954" s="529"/>
      <c r="W954" s="529"/>
      <c r="X954" s="529"/>
      <c r="Y954" s="529"/>
      <c r="Z954" s="529"/>
      <c r="AA954" s="529"/>
      <c r="AB954" s="529"/>
      <c r="AC954" s="529"/>
      <c r="AD954" s="529"/>
      <c r="AE954" s="530"/>
      <c r="AF954" s="529"/>
      <c r="AG954" s="529"/>
      <c r="AH954" s="529"/>
      <c r="AI954" s="75"/>
    </row>
    <row r="955" spans="3:35" s="74" customFormat="1" x14ac:dyDescent="0.25">
      <c r="C955" s="527"/>
      <c r="H955" s="527"/>
      <c r="N955" s="55"/>
      <c r="P955" s="527"/>
      <c r="Q955" s="529"/>
      <c r="R955" s="529"/>
      <c r="S955" s="529"/>
      <c r="T955" s="529"/>
      <c r="U955" s="529"/>
      <c r="V955" s="529"/>
      <c r="W955" s="529"/>
      <c r="X955" s="529"/>
      <c r="Y955" s="529"/>
      <c r="Z955" s="529"/>
      <c r="AA955" s="529"/>
      <c r="AB955" s="529"/>
      <c r="AC955" s="529"/>
      <c r="AD955" s="529"/>
      <c r="AE955" s="530"/>
      <c r="AF955" s="529"/>
      <c r="AG955" s="529"/>
      <c r="AH955" s="529"/>
      <c r="AI955" s="75"/>
    </row>
    <row r="956" spans="3:35" s="74" customFormat="1" x14ac:dyDescent="0.25">
      <c r="C956" s="527"/>
      <c r="H956" s="527"/>
      <c r="N956" s="55"/>
      <c r="P956" s="527"/>
      <c r="Q956" s="529"/>
      <c r="R956" s="529"/>
      <c r="S956" s="529"/>
      <c r="T956" s="529"/>
      <c r="U956" s="529"/>
      <c r="V956" s="529"/>
      <c r="W956" s="529"/>
      <c r="X956" s="529"/>
      <c r="Y956" s="529"/>
      <c r="Z956" s="529"/>
      <c r="AA956" s="529"/>
      <c r="AB956" s="529"/>
      <c r="AC956" s="529"/>
      <c r="AD956" s="529"/>
      <c r="AE956" s="530"/>
      <c r="AF956" s="529"/>
      <c r="AG956" s="529"/>
      <c r="AH956" s="529"/>
      <c r="AI956" s="75"/>
    </row>
    <row r="957" spans="3:35" s="74" customFormat="1" x14ac:dyDescent="0.25">
      <c r="C957" s="527"/>
      <c r="H957" s="527"/>
      <c r="N957" s="55"/>
      <c r="P957" s="527"/>
      <c r="Q957" s="529"/>
      <c r="R957" s="529"/>
      <c r="S957" s="529"/>
      <c r="T957" s="529"/>
      <c r="U957" s="529"/>
      <c r="V957" s="529"/>
      <c r="W957" s="529"/>
      <c r="X957" s="529"/>
      <c r="Y957" s="529"/>
      <c r="Z957" s="529"/>
      <c r="AA957" s="529"/>
      <c r="AB957" s="529"/>
      <c r="AC957" s="529"/>
      <c r="AD957" s="529"/>
      <c r="AE957" s="530"/>
      <c r="AF957" s="529"/>
      <c r="AG957" s="529"/>
      <c r="AH957" s="529"/>
      <c r="AI957" s="75"/>
    </row>
    <row r="958" spans="3:35" s="74" customFormat="1" x14ac:dyDescent="0.25">
      <c r="C958" s="527"/>
      <c r="H958" s="527"/>
      <c r="N958" s="55"/>
      <c r="P958" s="527"/>
      <c r="Q958" s="529"/>
      <c r="R958" s="529"/>
      <c r="S958" s="529"/>
      <c r="T958" s="529"/>
      <c r="U958" s="529"/>
      <c r="V958" s="529"/>
      <c r="W958" s="529"/>
      <c r="X958" s="529"/>
      <c r="Y958" s="529"/>
      <c r="Z958" s="529"/>
      <c r="AA958" s="529"/>
      <c r="AB958" s="529"/>
      <c r="AC958" s="529"/>
      <c r="AD958" s="529"/>
      <c r="AE958" s="530"/>
      <c r="AF958" s="529"/>
      <c r="AG958" s="529"/>
      <c r="AH958" s="529"/>
      <c r="AI958" s="75"/>
    </row>
    <row r="959" spans="3:35" s="74" customFormat="1" x14ac:dyDescent="0.25">
      <c r="C959" s="527"/>
      <c r="H959" s="527"/>
      <c r="N959" s="55"/>
      <c r="P959" s="527"/>
      <c r="Q959" s="529"/>
      <c r="R959" s="529"/>
      <c r="S959" s="529"/>
      <c r="T959" s="529"/>
      <c r="U959" s="529"/>
      <c r="V959" s="529"/>
      <c r="W959" s="529"/>
      <c r="X959" s="529"/>
      <c r="Y959" s="529"/>
      <c r="Z959" s="529"/>
      <c r="AA959" s="529"/>
      <c r="AB959" s="529"/>
      <c r="AC959" s="529"/>
      <c r="AD959" s="529"/>
      <c r="AE959" s="530"/>
      <c r="AF959" s="529"/>
      <c r="AG959" s="529"/>
      <c r="AH959" s="529"/>
      <c r="AI959" s="75"/>
    </row>
    <row r="960" spans="3:35" s="74" customFormat="1" x14ac:dyDescent="0.25">
      <c r="C960" s="527"/>
      <c r="H960" s="527"/>
      <c r="N960" s="55"/>
      <c r="P960" s="527"/>
      <c r="Q960" s="529"/>
      <c r="R960" s="529"/>
      <c r="S960" s="529"/>
      <c r="T960" s="529"/>
      <c r="U960" s="529"/>
      <c r="V960" s="529"/>
      <c r="W960" s="529"/>
      <c r="X960" s="529"/>
      <c r="Y960" s="529"/>
      <c r="Z960" s="529"/>
      <c r="AA960" s="529"/>
      <c r="AB960" s="529"/>
      <c r="AC960" s="529"/>
      <c r="AD960" s="529"/>
      <c r="AE960" s="530"/>
      <c r="AF960" s="529"/>
      <c r="AG960" s="529"/>
      <c r="AH960" s="529"/>
      <c r="AI960" s="75"/>
    </row>
    <row r="961" spans="3:35" s="74" customFormat="1" x14ac:dyDescent="0.25">
      <c r="C961" s="527"/>
      <c r="H961" s="527"/>
      <c r="N961" s="55"/>
      <c r="P961" s="527"/>
      <c r="Q961" s="529"/>
      <c r="R961" s="529"/>
      <c r="S961" s="529"/>
      <c r="T961" s="529"/>
      <c r="U961" s="529"/>
      <c r="V961" s="529"/>
      <c r="W961" s="529"/>
      <c r="X961" s="529"/>
      <c r="Y961" s="529"/>
      <c r="Z961" s="529"/>
      <c r="AA961" s="529"/>
      <c r="AB961" s="529"/>
      <c r="AC961" s="529"/>
      <c r="AD961" s="529"/>
      <c r="AE961" s="530"/>
      <c r="AF961" s="529"/>
      <c r="AG961" s="529"/>
      <c r="AH961" s="529"/>
      <c r="AI961" s="75"/>
    </row>
    <row r="962" spans="3:35" s="74" customFormat="1" x14ac:dyDescent="0.25">
      <c r="C962" s="527"/>
      <c r="H962" s="527"/>
      <c r="N962" s="55"/>
      <c r="P962" s="527"/>
      <c r="Q962" s="529"/>
      <c r="R962" s="529"/>
      <c r="S962" s="529"/>
      <c r="T962" s="529"/>
      <c r="U962" s="529"/>
      <c r="V962" s="529"/>
      <c r="W962" s="529"/>
      <c r="X962" s="529"/>
      <c r="Y962" s="529"/>
      <c r="Z962" s="529"/>
      <c r="AA962" s="529"/>
      <c r="AB962" s="529"/>
      <c r="AC962" s="529"/>
      <c r="AD962" s="529"/>
      <c r="AE962" s="530"/>
      <c r="AF962" s="529"/>
      <c r="AG962" s="529"/>
      <c r="AH962" s="529"/>
      <c r="AI962" s="75"/>
    </row>
    <row r="963" spans="3:35" s="74" customFormat="1" x14ac:dyDescent="0.25">
      <c r="C963" s="527"/>
      <c r="H963" s="527"/>
      <c r="N963" s="55"/>
      <c r="P963" s="527"/>
      <c r="Q963" s="529"/>
      <c r="R963" s="529"/>
      <c r="S963" s="529"/>
      <c r="T963" s="529"/>
      <c r="U963" s="529"/>
      <c r="V963" s="529"/>
      <c r="W963" s="529"/>
      <c r="X963" s="529"/>
      <c r="Y963" s="529"/>
      <c r="Z963" s="529"/>
      <c r="AA963" s="529"/>
      <c r="AB963" s="529"/>
      <c r="AC963" s="529"/>
      <c r="AD963" s="529"/>
      <c r="AE963" s="530"/>
      <c r="AF963" s="529"/>
      <c r="AG963" s="529"/>
      <c r="AH963" s="529"/>
      <c r="AI963" s="75"/>
    </row>
    <row r="964" spans="3:35" s="74" customFormat="1" x14ac:dyDescent="0.25">
      <c r="C964" s="527"/>
      <c r="H964" s="527"/>
      <c r="N964" s="55"/>
      <c r="P964" s="527"/>
      <c r="Q964" s="529"/>
      <c r="R964" s="529"/>
      <c r="S964" s="529"/>
      <c r="T964" s="529"/>
      <c r="U964" s="529"/>
      <c r="V964" s="529"/>
      <c r="W964" s="529"/>
      <c r="X964" s="529"/>
      <c r="Y964" s="529"/>
      <c r="Z964" s="529"/>
      <c r="AA964" s="529"/>
      <c r="AB964" s="529"/>
      <c r="AC964" s="529"/>
      <c r="AD964" s="529"/>
      <c r="AE964" s="530"/>
      <c r="AF964" s="529"/>
      <c r="AG964" s="529"/>
      <c r="AH964" s="529"/>
      <c r="AI964" s="75"/>
    </row>
    <row r="965" spans="3:35" s="74" customFormat="1" x14ac:dyDescent="0.25">
      <c r="C965" s="527"/>
      <c r="H965" s="527"/>
      <c r="N965" s="55"/>
      <c r="P965" s="527"/>
      <c r="Q965" s="529"/>
      <c r="R965" s="529"/>
      <c r="S965" s="529"/>
      <c r="T965" s="529"/>
      <c r="U965" s="529"/>
      <c r="V965" s="529"/>
      <c r="W965" s="529"/>
      <c r="X965" s="529"/>
      <c r="Y965" s="529"/>
      <c r="Z965" s="529"/>
      <c r="AA965" s="529"/>
      <c r="AB965" s="529"/>
      <c r="AC965" s="529"/>
      <c r="AD965" s="529"/>
      <c r="AE965" s="530"/>
      <c r="AF965" s="529"/>
      <c r="AG965" s="529"/>
      <c r="AH965" s="529"/>
      <c r="AI965" s="75"/>
    </row>
    <row r="966" spans="3:35" s="74" customFormat="1" x14ac:dyDescent="0.25">
      <c r="C966" s="527"/>
      <c r="H966" s="527"/>
      <c r="N966" s="55"/>
      <c r="P966" s="527"/>
      <c r="Q966" s="529"/>
      <c r="R966" s="529"/>
      <c r="S966" s="529"/>
      <c r="T966" s="529"/>
      <c r="U966" s="529"/>
      <c r="V966" s="529"/>
      <c r="W966" s="529"/>
      <c r="X966" s="529"/>
      <c r="Y966" s="529"/>
      <c r="Z966" s="529"/>
      <c r="AA966" s="529"/>
      <c r="AB966" s="529"/>
      <c r="AC966" s="529"/>
      <c r="AD966" s="529"/>
      <c r="AE966" s="530"/>
      <c r="AF966" s="529"/>
      <c r="AG966" s="529"/>
      <c r="AH966" s="529"/>
      <c r="AI966" s="75"/>
    </row>
    <row r="967" spans="3:35" s="74" customFormat="1" x14ac:dyDescent="0.25">
      <c r="C967" s="527"/>
      <c r="H967" s="527"/>
      <c r="N967" s="55"/>
      <c r="P967" s="527"/>
      <c r="Q967" s="529"/>
      <c r="R967" s="529"/>
      <c r="S967" s="529"/>
      <c r="T967" s="529"/>
      <c r="U967" s="529"/>
      <c r="V967" s="529"/>
      <c r="W967" s="529"/>
      <c r="X967" s="529"/>
      <c r="Y967" s="529"/>
      <c r="Z967" s="529"/>
      <c r="AA967" s="529"/>
      <c r="AB967" s="529"/>
      <c r="AC967" s="529"/>
      <c r="AD967" s="529"/>
      <c r="AE967" s="530"/>
      <c r="AF967" s="529"/>
      <c r="AG967" s="529"/>
      <c r="AH967" s="529"/>
      <c r="AI967" s="75"/>
    </row>
    <row r="968" spans="3:35" s="74" customFormat="1" x14ac:dyDescent="0.25">
      <c r="C968" s="527"/>
      <c r="H968" s="527"/>
      <c r="N968" s="55"/>
      <c r="P968" s="527"/>
      <c r="Q968" s="529"/>
      <c r="R968" s="529"/>
      <c r="S968" s="529"/>
      <c r="T968" s="529"/>
      <c r="U968" s="529"/>
      <c r="V968" s="529"/>
      <c r="W968" s="529"/>
      <c r="X968" s="529"/>
      <c r="Y968" s="529"/>
      <c r="Z968" s="529"/>
      <c r="AA968" s="529"/>
      <c r="AB968" s="529"/>
      <c r="AC968" s="529"/>
      <c r="AD968" s="529"/>
      <c r="AE968" s="530"/>
      <c r="AF968" s="529"/>
      <c r="AG968" s="529"/>
      <c r="AH968" s="529"/>
      <c r="AI968" s="75"/>
    </row>
    <row r="969" spans="3:35" s="74" customFormat="1" x14ac:dyDescent="0.25">
      <c r="C969" s="527"/>
      <c r="H969" s="527"/>
      <c r="N969" s="55"/>
      <c r="P969" s="527"/>
      <c r="Q969" s="529"/>
      <c r="R969" s="529"/>
      <c r="S969" s="529"/>
      <c r="T969" s="529"/>
      <c r="U969" s="529"/>
      <c r="V969" s="529"/>
      <c r="W969" s="529"/>
      <c r="X969" s="529"/>
      <c r="Y969" s="529"/>
      <c r="Z969" s="529"/>
      <c r="AA969" s="529"/>
      <c r="AB969" s="529"/>
      <c r="AC969" s="529"/>
      <c r="AD969" s="529"/>
      <c r="AE969" s="530"/>
      <c r="AF969" s="529"/>
      <c r="AG969" s="529"/>
      <c r="AH969" s="529"/>
      <c r="AI969" s="75"/>
    </row>
    <row r="970" spans="3:35" s="74" customFormat="1" x14ac:dyDescent="0.25">
      <c r="C970" s="527"/>
      <c r="H970" s="527"/>
      <c r="N970" s="55"/>
      <c r="P970" s="527"/>
      <c r="Q970" s="529"/>
      <c r="R970" s="529"/>
      <c r="S970" s="529"/>
      <c r="T970" s="529"/>
      <c r="U970" s="529"/>
      <c r="V970" s="529"/>
      <c r="W970" s="529"/>
      <c r="X970" s="529"/>
      <c r="Y970" s="529"/>
      <c r="Z970" s="529"/>
      <c r="AA970" s="529"/>
      <c r="AB970" s="529"/>
      <c r="AC970" s="529"/>
      <c r="AD970" s="529"/>
      <c r="AE970" s="530"/>
      <c r="AF970" s="529"/>
      <c r="AG970" s="529"/>
      <c r="AH970" s="529"/>
      <c r="AI970" s="75"/>
    </row>
    <row r="971" spans="3:35" s="74" customFormat="1" x14ac:dyDescent="0.25">
      <c r="C971" s="527"/>
      <c r="H971" s="527"/>
      <c r="N971" s="55"/>
      <c r="P971" s="527"/>
      <c r="Q971" s="529"/>
      <c r="R971" s="529"/>
      <c r="S971" s="529"/>
      <c r="T971" s="529"/>
      <c r="U971" s="529"/>
      <c r="V971" s="529"/>
      <c r="W971" s="529"/>
      <c r="X971" s="529"/>
      <c r="Y971" s="529"/>
      <c r="Z971" s="529"/>
      <c r="AA971" s="529"/>
      <c r="AB971" s="529"/>
      <c r="AC971" s="529"/>
      <c r="AD971" s="529"/>
      <c r="AE971" s="530"/>
      <c r="AF971" s="529"/>
      <c r="AG971" s="529"/>
      <c r="AH971" s="529"/>
      <c r="AI971" s="75"/>
    </row>
    <row r="972" spans="3:35" s="74" customFormat="1" x14ac:dyDescent="0.25">
      <c r="C972" s="527"/>
      <c r="H972" s="527"/>
      <c r="N972" s="55"/>
      <c r="P972" s="527"/>
      <c r="Q972" s="529"/>
      <c r="R972" s="529"/>
      <c r="S972" s="529"/>
      <c r="T972" s="529"/>
      <c r="U972" s="529"/>
      <c r="V972" s="529"/>
      <c r="W972" s="529"/>
      <c r="X972" s="529"/>
      <c r="Y972" s="529"/>
      <c r="Z972" s="529"/>
      <c r="AA972" s="529"/>
      <c r="AB972" s="529"/>
      <c r="AC972" s="529"/>
      <c r="AD972" s="529"/>
      <c r="AE972" s="530"/>
      <c r="AF972" s="529"/>
      <c r="AG972" s="529"/>
      <c r="AH972" s="529"/>
      <c r="AI972" s="75"/>
    </row>
    <row r="973" spans="3:35" s="74" customFormat="1" x14ac:dyDescent="0.25">
      <c r="C973" s="527"/>
      <c r="H973" s="527"/>
      <c r="N973" s="55"/>
      <c r="P973" s="527"/>
      <c r="Q973" s="529"/>
      <c r="R973" s="529"/>
      <c r="S973" s="529"/>
      <c r="T973" s="529"/>
      <c r="U973" s="529"/>
      <c r="V973" s="529"/>
      <c r="W973" s="529"/>
      <c r="X973" s="529"/>
      <c r="Y973" s="529"/>
      <c r="Z973" s="529"/>
      <c r="AA973" s="529"/>
      <c r="AB973" s="529"/>
      <c r="AC973" s="529"/>
      <c r="AD973" s="529"/>
      <c r="AE973" s="530"/>
      <c r="AF973" s="529"/>
      <c r="AG973" s="529"/>
      <c r="AH973" s="529"/>
      <c r="AI973" s="75"/>
    </row>
    <row r="974" spans="3:35" s="74" customFormat="1" x14ac:dyDescent="0.25">
      <c r="C974" s="527"/>
      <c r="H974" s="527"/>
      <c r="N974" s="55"/>
      <c r="P974" s="527"/>
      <c r="Q974" s="529"/>
      <c r="R974" s="529"/>
      <c r="S974" s="529"/>
      <c r="T974" s="529"/>
      <c r="U974" s="529"/>
      <c r="V974" s="529"/>
      <c r="W974" s="529"/>
      <c r="X974" s="529"/>
      <c r="Y974" s="529"/>
      <c r="Z974" s="529"/>
      <c r="AA974" s="529"/>
      <c r="AB974" s="529"/>
      <c r="AC974" s="529"/>
      <c r="AD974" s="529"/>
      <c r="AE974" s="530"/>
      <c r="AF974" s="529"/>
      <c r="AG974" s="529"/>
      <c r="AH974" s="529"/>
      <c r="AI974" s="75"/>
    </row>
    <row r="975" spans="3:35" s="74" customFormat="1" x14ac:dyDescent="0.25">
      <c r="C975" s="527"/>
      <c r="H975" s="527"/>
      <c r="N975" s="55"/>
      <c r="P975" s="527"/>
      <c r="Q975" s="529"/>
      <c r="R975" s="529"/>
      <c r="S975" s="529"/>
      <c r="T975" s="529"/>
      <c r="U975" s="529"/>
      <c r="V975" s="529"/>
      <c r="W975" s="529"/>
      <c r="X975" s="529"/>
      <c r="Y975" s="529"/>
      <c r="Z975" s="529"/>
      <c r="AA975" s="529"/>
      <c r="AB975" s="529"/>
      <c r="AC975" s="529"/>
      <c r="AD975" s="529"/>
      <c r="AE975" s="530"/>
      <c r="AF975" s="529"/>
      <c r="AG975" s="529"/>
      <c r="AH975" s="529"/>
      <c r="AI975" s="75"/>
    </row>
    <row r="976" spans="3:35" s="74" customFormat="1" x14ac:dyDescent="0.25">
      <c r="C976" s="527"/>
      <c r="H976" s="527"/>
      <c r="N976" s="55"/>
      <c r="P976" s="527"/>
      <c r="Q976" s="529"/>
      <c r="R976" s="529"/>
      <c r="S976" s="529"/>
      <c r="T976" s="529"/>
      <c r="U976" s="529"/>
      <c r="V976" s="529"/>
      <c r="W976" s="529"/>
      <c r="X976" s="529"/>
      <c r="Y976" s="529"/>
      <c r="Z976" s="529"/>
      <c r="AA976" s="529"/>
      <c r="AB976" s="529"/>
      <c r="AC976" s="529"/>
      <c r="AD976" s="529"/>
      <c r="AE976" s="530"/>
      <c r="AF976" s="529"/>
      <c r="AG976" s="529"/>
      <c r="AH976" s="529"/>
      <c r="AI976" s="75"/>
    </row>
    <row r="977" spans="3:35" s="74" customFormat="1" x14ac:dyDescent="0.25">
      <c r="C977" s="527"/>
      <c r="H977" s="527"/>
      <c r="N977" s="55"/>
      <c r="P977" s="527"/>
      <c r="Q977" s="529"/>
      <c r="R977" s="529"/>
      <c r="S977" s="529"/>
      <c r="T977" s="529"/>
      <c r="U977" s="529"/>
      <c r="V977" s="529"/>
      <c r="W977" s="529"/>
      <c r="X977" s="529"/>
      <c r="Y977" s="529"/>
      <c r="Z977" s="529"/>
      <c r="AA977" s="529"/>
      <c r="AB977" s="529"/>
      <c r="AC977" s="529"/>
      <c r="AD977" s="529"/>
      <c r="AE977" s="530"/>
      <c r="AF977" s="529"/>
      <c r="AG977" s="529"/>
      <c r="AH977" s="529"/>
      <c r="AI977" s="75"/>
    </row>
    <row r="978" spans="3:35" s="74" customFormat="1" x14ac:dyDescent="0.25">
      <c r="C978" s="527"/>
      <c r="H978" s="527"/>
      <c r="N978" s="55"/>
      <c r="P978" s="527"/>
      <c r="Q978" s="529"/>
      <c r="R978" s="529"/>
      <c r="S978" s="529"/>
      <c r="T978" s="529"/>
      <c r="U978" s="529"/>
      <c r="V978" s="529"/>
      <c r="W978" s="529"/>
      <c r="X978" s="529"/>
      <c r="Y978" s="529"/>
      <c r="Z978" s="529"/>
      <c r="AA978" s="529"/>
      <c r="AB978" s="529"/>
      <c r="AC978" s="529"/>
      <c r="AD978" s="529"/>
      <c r="AE978" s="530"/>
      <c r="AF978" s="529"/>
      <c r="AG978" s="529"/>
      <c r="AH978" s="529"/>
      <c r="AI978" s="75"/>
    </row>
    <row r="979" spans="3:35" s="74" customFormat="1" x14ac:dyDescent="0.25">
      <c r="C979" s="527"/>
      <c r="H979" s="527"/>
      <c r="N979" s="55"/>
      <c r="P979" s="527"/>
      <c r="Q979" s="529"/>
      <c r="R979" s="529"/>
      <c r="S979" s="529"/>
      <c r="T979" s="529"/>
      <c r="U979" s="529"/>
      <c r="V979" s="529"/>
      <c r="W979" s="529"/>
      <c r="X979" s="529"/>
      <c r="Y979" s="529"/>
      <c r="Z979" s="529"/>
      <c r="AA979" s="529"/>
      <c r="AB979" s="529"/>
      <c r="AC979" s="529"/>
      <c r="AD979" s="529"/>
      <c r="AE979" s="530"/>
      <c r="AF979" s="529"/>
      <c r="AG979" s="529"/>
      <c r="AH979" s="529"/>
      <c r="AI979" s="75"/>
    </row>
    <row r="980" spans="3:35" s="74" customFormat="1" x14ac:dyDescent="0.25">
      <c r="C980" s="527"/>
      <c r="H980" s="527"/>
      <c r="N980" s="55"/>
      <c r="P980" s="527"/>
      <c r="Q980" s="529"/>
      <c r="R980" s="529"/>
      <c r="S980" s="529"/>
      <c r="T980" s="529"/>
      <c r="U980" s="529"/>
      <c r="V980" s="529"/>
      <c r="W980" s="529"/>
      <c r="X980" s="529"/>
      <c r="Y980" s="529"/>
      <c r="Z980" s="529"/>
      <c r="AA980" s="529"/>
      <c r="AB980" s="529"/>
      <c r="AC980" s="529"/>
      <c r="AD980" s="529"/>
      <c r="AE980" s="530"/>
      <c r="AF980" s="529"/>
      <c r="AG980" s="529"/>
      <c r="AH980" s="529"/>
      <c r="AI980" s="75"/>
    </row>
    <row r="981" spans="3:35" s="74" customFormat="1" x14ac:dyDescent="0.25">
      <c r="C981" s="527"/>
      <c r="H981" s="527"/>
      <c r="N981" s="55"/>
      <c r="P981" s="527"/>
      <c r="Q981" s="529"/>
      <c r="R981" s="529"/>
      <c r="S981" s="529"/>
      <c r="T981" s="529"/>
      <c r="U981" s="529"/>
      <c r="V981" s="529"/>
      <c r="W981" s="529"/>
      <c r="X981" s="529"/>
      <c r="Y981" s="529"/>
      <c r="Z981" s="529"/>
      <c r="AA981" s="529"/>
      <c r="AB981" s="529"/>
      <c r="AC981" s="529"/>
      <c r="AD981" s="529"/>
      <c r="AE981" s="530"/>
      <c r="AF981" s="529"/>
      <c r="AG981" s="529"/>
      <c r="AH981" s="529"/>
      <c r="AI981" s="75"/>
    </row>
    <row r="982" spans="3:35" s="74" customFormat="1" x14ac:dyDescent="0.25">
      <c r="C982" s="527"/>
      <c r="H982" s="527"/>
      <c r="N982" s="55"/>
      <c r="P982" s="527"/>
      <c r="Q982" s="529"/>
      <c r="R982" s="529"/>
      <c r="S982" s="529"/>
      <c r="T982" s="529"/>
      <c r="U982" s="529"/>
      <c r="V982" s="529"/>
      <c r="W982" s="529"/>
      <c r="X982" s="529"/>
      <c r="Y982" s="529"/>
      <c r="Z982" s="529"/>
      <c r="AA982" s="529"/>
      <c r="AB982" s="529"/>
      <c r="AC982" s="529"/>
      <c r="AD982" s="529"/>
      <c r="AE982" s="530"/>
      <c r="AF982" s="529"/>
      <c r="AG982" s="529"/>
      <c r="AH982" s="529"/>
      <c r="AI982" s="75"/>
    </row>
    <row r="983" spans="3:35" s="74" customFormat="1" x14ac:dyDescent="0.25">
      <c r="C983" s="527"/>
      <c r="H983" s="527"/>
      <c r="N983" s="55"/>
      <c r="P983" s="527"/>
      <c r="Q983" s="529"/>
      <c r="R983" s="529"/>
      <c r="S983" s="529"/>
      <c r="T983" s="529"/>
      <c r="U983" s="529"/>
      <c r="V983" s="529"/>
      <c r="W983" s="529"/>
      <c r="X983" s="529"/>
      <c r="Y983" s="529"/>
      <c r="Z983" s="529"/>
      <c r="AA983" s="529"/>
      <c r="AB983" s="529"/>
      <c r="AC983" s="529"/>
      <c r="AD983" s="529"/>
      <c r="AE983" s="530"/>
      <c r="AF983" s="529"/>
      <c r="AG983" s="529"/>
      <c r="AH983" s="529"/>
      <c r="AI983" s="75"/>
    </row>
    <row r="984" spans="3:35" s="74" customFormat="1" x14ac:dyDescent="0.25">
      <c r="C984" s="527"/>
      <c r="H984" s="527"/>
      <c r="N984" s="55"/>
      <c r="P984" s="527"/>
      <c r="Q984" s="529"/>
      <c r="R984" s="529"/>
      <c r="S984" s="529"/>
      <c r="T984" s="529"/>
      <c r="U984" s="529"/>
      <c r="V984" s="529"/>
      <c r="W984" s="529"/>
      <c r="X984" s="529"/>
      <c r="Y984" s="529"/>
      <c r="Z984" s="529"/>
      <c r="AA984" s="529"/>
      <c r="AB984" s="529"/>
      <c r="AC984" s="529"/>
      <c r="AD984" s="529"/>
      <c r="AE984" s="530"/>
      <c r="AF984" s="529"/>
      <c r="AG984" s="529"/>
      <c r="AH984" s="529"/>
      <c r="AI984" s="75"/>
    </row>
    <row r="985" spans="3:35" s="74" customFormat="1" x14ac:dyDescent="0.25">
      <c r="C985" s="527"/>
      <c r="H985" s="527"/>
      <c r="N985" s="55"/>
      <c r="P985" s="527"/>
      <c r="Q985" s="529"/>
      <c r="R985" s="529"/>
      <c r="S985" s="529"/>
      <c r="T985" s="529"/>
      <c r="U985" s="529"/>
      <c r="V985" s="529"/>
      <c r="W985" s="529"/>
      <c r="X985" s="529"/>
      <c r="Y985" s="529"/>
      <c r="Z985" s="529"/>
      <c r="AA985" s="529"/>
      <c r="AB985" s="529"/>
      <c r="AC985" s="529"/>
      <c r="AD985" s="529"/>
      <c r="AE985" s="530"/>
      <c r="AF985" s="529"/>
      <c r="AG985" s="529"/>
      <c r="AH985" s="529"/>
      <c r="AI985" s="75"/>
    </row>
    <row r="986" spans="3:35" s="74" customFormat="1" x14ac:dyDescent="0.25">
      <c r="C986" s="527"/>
      <c r="H986" s="527"/>
      <c r="N986" s="55"/>
      <c r="P986" s="527"/>
      <c r="Q986" s="529"/>
      <c r="R986" s="529"/>
      <c r="S986" s="529"/>
      <c r="T986" s="529"/>
      <c r="U986" s="529"/>
      <c r="V986" s="529"/>
      <c r="W986" s="529"/>
      <c r="X986" s="529"/>
      <c r="Y986" s="529"/>
      <c r="Z986" s="529"/>
      <c r="AA986" s="529"/>
      <c r="AB986" s="529"/>
      <c r="AC986" s="529"/>
      <c r="AD986" s="529"/>
      <c r="AE986" s="530"/>
      <c r="AF986" s="529"/>
      <c r="AG986" s="529"/>
      <c r="AH986" s="529"/>
      <c r="AI986" s="75"/>
    </row>
    <row r="987" spans="3:35" s="74" customFormat="1" x14ac:dyDescent="0.25">
      <c r="C987" s="527"/>
      <c r="H987" s="527"/>
      <c r="N987" s="55"/>
      <c r="P987" s="527"/>
      <c r="Q987" s="529"/>
      <c r="R987" s="529"/>
      <c r="S987" s="529"/>
      <c r="T987" s="529"/>
      <c r="U987" s="529"/>
      <c r="V987" s="529"/>
      <c r="W987" s="529"/>
      <c r="X987" s="529"/>
      <c r="Y987" s="529"/>
      <c r="Z987" s="529"/>
      <c r="AA987" s="529"/>
      <c r="AB987" s="529"/>
      <c r="AC987" s="529"/>
      <c r="AD987" s="529"/>
      <c r="AE987" s="530"/>
      <c r="AF987" s="529"/>
      <c r="AG987" s="529"/>
      <c r="AH987" s="529"/>
      <c r="AI987" s="75"/>
    </row>
    <row r="988" spans="3:35" s="74" customFormat="1" x14ac:dyDescent="0.25">
      <c r="C988" s="527"/>
      <c r="H988" s="527"/>
      <c r="N988" s="55"/>
      <c r="P988" s="527"/>
      <c r="Q988" s="529"/>
      <c r="R988" s="529"/>
      <c r="S988" s="529"/>
      <c r="T988" s="529"/>
      <c r="U988" s="529"/>
      <c r="V988" s="529"/>
      <c r="W988" s="529"/>
      <c r="X988" s="529"/>
      <c r="Y988" s="529"/>
      <c r="Z988" s="529"/>
      <c r="AA988" s="529"/>
      <c r="AB988" s="529"/>
      <c r="AC988" s="529"/>
      <c r="AD988" s="529"/>
      <c r="AE988" s="530"/>
      <c r="AF988" s="529"/>
      <c r="AG988" s="529"/>
      <c r="AH988" s="529"/>
      <c r="AI988" s="75"/>
    </row>
    <row r="989" spans="3:35" s="74" customFormat="1" x14ac:dyDescent="0.25">
      <c r="C989" s="527"/>
      <c r="H989" s="527"/>
      <c r="N989" s="55"/>
      <c r="P989" s="527"/>
      <c r="Q989" s="529"/>
      <c r="R989" s="529"/>
      <c r="S989" s="529"/>
      <c r="T989" s="529"/>
      <c r="U989" s="529"/>
      <c r="V989" s="529"/>
      <c r="W989" s="529"/>
      <c r="X989" s="529"/>
      <c r="Y989" s="529"/>
      <c r="Z989" s="529"/>
      <c r="AA989" s="529"/>
      <c r="AB989" s="529"/>
      <c r="AC989" s="529"/>
      <c r="AD989" s="529"/>
      <c r="AE989" s="530"/>
      <c r="AF989" s="529"/>
      <c r="AG989" s="529"/>
      <c r="AH989" s="529"/>
      <c r="AI989" s="75"/>
    </row>
    <row r="990" spans="3:35" s="74" customFormat="1" x14ac:dyDescent="0.25">
      <c r="C990" s="527"/>
      <c r="H990" s="527"/>
      <c r="N990" s="55"/>
      <c r="P990" s="527"/>
      <c r="Q990" s="529"/>
      <c r="R990" s="529"/>
      <c r="S990" s="529"/>
      <c r="T990" s="529"/>
      <c r="U990" s="529"/>
      <c r="V990" s="529"/>
      <c r="W990" s="529"/>
      <c r="X990" s="529"/>
      <c r="Y990" s="529"/>
      <c r="Z990" s="529"/>
      <c r="AA990" s="529"/>
      <c r="AB990" s="529"/>
      <c r="AC990" s="529"/>
      <c r="AD990" s="529"/>
      <c r="AE990" s="530"/>
      <c r="AF990" s="529"/>
      <c r="AG990" s="529"/>
      <c r="AH990" s="529"/>
      <c r="AI990" s="75"/>
    </row>
    <row r="991" spans="3:35" s="74" customFormat="1" x14ac:dyDescent="0.25">
      <c r="C991" s="527"/>
      <c r="H991" s="527"/>
      <c r="N991" s="55"/>
      <c r="P991" s="527"/>
      <c r="Q991" s="529"/>
      <c r="R991" s="529"/>
      <c r="S991" s="529"/>
      <c r="T991" s="529"/>
      <c r="U991" s="529"/>
      <c r="V991" s="529"/>
      <c r="W991" s="529"/>
      <c r="X991" s="529"/>
      <c r="Y991" s="529"/>
      <c r="Z991" s="529"/>
      <c r="AA991" s="529"/>
      <c r="AB991" s="529"/>
      <c r="AC991" s="529"/>
      <c r="AD991" s="529"/>
      <c r="AE991" s="530"/>
      <c r="AF991" s="529"/>
      <c r="AG991" s="529"/>
      <c r="AH991" s="529"/>
      <c r="AI991" s="75"/>
    </row>
    <row r="992" spans="3:35" s="74" customFormat="1" x14ac:dyDescent="0.25">
      <c r="C992" s="527"/>
      <c r="H992" s="527"/>
      <c r="N992" s="55"/>
      <c r="P992" s="527"/>
      <c r="Q992" s="529"/>
      <c r="R992" s="529"/>
      <c r="S992" s="529"/>
      <c r="T992" s="529"/>
      <c r="U992" s="529"/>
      <c r="V992" s="529"/>
      <c r="W992" s="529"/>
      <c r="X992" s="529"/>
      <c r="Y992" s="529"/>
      <c r="Z992" s="529"/>
      <c r="AA992" s="529"/>
      <c r="AB992" s="529"/>
      <c r="AC992" s="529"/>
      <c r="AD992" s="529"/>
      <c r="AE992" s="530"/>
      <c r="AF992" s="529"/>
      <c r="AG992" s="529"/>
      <c r="AH992" s="529"/>
      <c r="AI992" s="75"/>
    </row>
    <row r="993" spans="3:35" s="74" customFormat="1" x14ac:dyDescent="0.25">
      <c r="C993" s="527"/>
      <c r="H993" s="527"/>
      <c r="N993" s="55"/>
      <c r="P993" s="527"/>
      <c r="Q993" s="529"/>
      <c r="R993" s="529"/>
      <c r="S993" s="529"/>
      <c r="T993" s="529"/>
      <c r="U993" s="529"/>
      <c r="V993" s="529"/>
      <c r="W993" s="529"/>
      <c r="X993" s="529"/>
      <c r="Y993" s="529"/>
      <c r="Z993" s="529"/>
      <c r="AA993" s="529"/>
      <c r="AB993" s="529"/>
      <c r="AC993" s="529"/>
      <c r="AD993" s="529"/>
      <c r="AE993" s="530"/>
      <c r="AF993" s="529"/>
      <c r="AG993" s="529"/>
      <c r="AH993" s="529"/>
      <c r="AI993" s="75"/>
    </row>
    <row r="994" spans="3:35" s="74" customFormat="1" x14ac:dyDescent="0.25">
      <c r="C994" s="527"/>
      <c r="H994" s="527"/>
      <c r="N994" s="55"/>
      <c r="P994" s="527"/>
      <c r="Q994" s="529"/>
      <c r="R994" s="529"/>
      <c r="S994" s="529"/>
      <c r="T994" s="529"/>
      <c r="U994" s="529"/>
      <c r="V994" s="529"/>
      <c r="W994" s="529"/>
      <c r="X994" s="529"/>
      <c r="Y994" s="529"/>
      <c r="Z994" s="529"/>
      <c r="AA994" s="529"/>
      <c r="AB994" s="529"/>
      <c r="AC994" s="529"/>
      <c r="AD994" s="529"/>
      <c r="AE994" s="530"/>
      <c r="AF994" s="529"/>
      <c r="AG994" s="529"/>
      <c r="AH994" s="529"/>
      <c r="AI994" s="75"/>
    </row>
    <row r="995" spans="3:35" s="74" customFormat="1" x14ac:dyDescent="0.25">
      <c r="C995" s="527"/>
      <c r="H995" s="527"/>
      <c r="N995" s="55"/>
      <c r="P995" s="527"/>
      <c r="Q995" s="529"/>
      <c r="R995" s="529"/>
      <c r="S995" s="529"/>
      <c r="T995" s="529"/>
      <c r="U995" s="529"/>
      <c r="V995" s="529"/>
      <c r="W995" s="529"/>
      <c r="X995" s="529"/>
      <c r="Y995" s="529"/>
      <c r="Z995" s="529"/>
      <c r="AA995" s="529"/>
      <c r="AB995" s="529"/>
      <c r="AC995" s="529"/>
      <c r="AD995" s="529"/>
      <c r="AE995" s="530"/>
      <c r="AF995" s="529"/>
      <c r="AG995" s="529"/>
      <c r="AH995" s="529"/>
      <c r="AI995" s="75"/>
    </row>
    <row r="996" spans="3:35" s="74" customFormat="1" x14ac:dyDescent="0.25">
      <c r="C996" s="527"/>
      <c r="H996" s="527"/>
      <c r="N996" s="55"/>
      <c r="P996" s="527"/>
      <c r="Q996" s="529"/>
      <c r="R996" s="529"/>
      <c r="S996" s="529"/>
      <c r="T996" s="529"/>
      <c r="U996" s="529"/>
      <c r="V996" s="529"/>
      <c r="W996" s="529"/>
      <c r="X996" s="529"/>
      <c r="Y996" s="529"/>
      <c r="Z996" s="529"/>
      <c r="AA996" s="529"/>
      <c r="AB996" s="529"/>
      <c r="AC996" s="529"/>
      <c r="AD996" s="529"/>
      <c r="AE996" s="530"/>
      <c r="AF996" s="529"/>
      <c r="AG996" s="529"/>
      <c r="AH996" s="529"/>
      <c r="AI996" s="75"/>
    </row>
    <row r="997" spans="3:35" s="74" customFormat="1" x14ac:dyDescent="0.25">
      <c r="C997" s="527"/>
      <c r="H997" s="527"/>
      <c r="N997" s="55"/>
      <c r="P997" s="527"/>
      <c r="Q997" s="529"/>
      <c r="R997" s="529"/>
      <c r="S997" s="529"/>
      <c r="T997" s="529"/>
      <c r="U997" s="529"/>
      <c r="V997" s="529"/>
      <c r="W997" s="529"/>
      <c r="X997" s="529"/>
      <c r="Y997" s="529"/>
      <c r="Z997" s="529"/>
      <c r="AA997" s="529"/>
      <c r="AB997" s="529"/>
      <c r="AC997" s="529"/>
      <c r="AD997" s="529"/>
      <c r="AE997" s="530"/>
      <c r="AF997" s="529"/>
      <c r="AG997" s="529"/>
      <c r="AH997" s="529"/>
      <c r="AI997" s="75"/>
    </row>
    <row r="998" spans="3:35" s="74" customFormat="1" x14ac:dyDescent="0.25">
      <c r="C998" s="527"/>
      <c r="H998" s="527"/>
      <c r="N998" s="55"/>
      <c r="P998" s="527"/>
      <c r="Q998" s="529"/>
      <c r="R998" s="529"/>
      <c r="S998" s="529"/>
      <c r="T998" s="529"/>
      <c r="U998" s="529"/>
      <c r="V998" s="529"/>
      <c r="W998" s="529"/>
      <c r="X998" s="529"/>
      <c r="Y998" s="529"/>
      <c r="Z998" s="529"/>
      <c r="AA998" s="529"/>
      <c r="AB998" s="529"/>
      <c r="AC998" s="529"/>
      <c r="AD998" s="529"/>
      <c r="AE998" s="530"/>
      <c r="AF998" s="529"/>
      <c r="AG998" s="529"/>
      <c r="AH998" s="529"/>
      <c r="AI998" s="75"/>
    </row>
    <row r="999" spans="3:35" s="74" customFormat="1" x14ac:dyDescent="0.25">
      <c r="C999" s="527"/>
      <c r="H999" s="527"/>
      <c r="N999" s="55"/>
      <c r="P999" s="527"/>
      <c r="Q999" s="529"/>
      <c r="R999" s="529"/>
      <c r="S999" s="529"/>
      <c r="T999" s="529"/>
      <c r="U999" s="529"/>
      <c r="V999" s="529"/>
      <c r="W999" s="529"/>
      <c r="X999" s="529"/>
      <c r="Y999" s="529"/>
      <c r="Z999" s="529"/>
      <c r="AA999" s="529"/>
      <c r="AB999" s="529"/>
      <c r="AC999" s="529"/>
      <c r="AD999" s="529"/>
      <c r="AE999" s="530"/>
      <c r="AF999" s="529"/>
      <c r="AG999" s="529"/>
      <c r="AH999" s="529"/>
      <c r="AI999" s="75"/>
    </row>
    <row r="1000" spans="3:35" s="74" customFormat="1" x14ac:dyDescent="0.25">
      <c r="C1000" s="527"/>
      <c r="H1000" s="527"/>
      <c r="N1000" s="55"/>
      <c r="P1000" s="527"/>
      <c r="Q1000" s="529"/>
      <c r="R1000" s="529"/>
      <c r="S1000" s="529"/>
      <c r="T1000" s="529"/>
      <c r="U1000" s="529"/>
      <c r="V1000" s="529"/>
      <c r="W1000" s="529"/>
      <c r="X1000" s="529"/>
      <c r="Y1000" s="529"/>
      <c r="Z1000" s="529"/>
      <c r="AA1000" s="529"/>
      <c r="AB1000" s="529"/>
      <c r="AC1000" s="529"/>
      <c r="AD1000" s="529"/>
      <c r="AE1000" s="530"/>
      <c r="AF1000" s="529"/>
      <c r="AG1000" s="529"/>
      <c r="AH1000" s="529"/>
      <c r="AI1000" s="75"/>
    </row>
    <row r="1001" spans="3:35" s="74" customFormat="1" x14ac:dyDescent="0.25">
      <c r="C1001" s="527"/>
      <c r="H1001" s="527"/>
      <c r="N1001" s="55"/>
      <c r="P1001" s="527"/>
      <c r="Q1001" s="529"/>
      <c r="R1001" s="529"/>
      <c r="S1001" s="529"/>
      <c r="T1001" s="529"/>
      <c r="U1001" s="529"/>
      <c r="V1001" s="529"/>
      <c r="W1001" s="529"/>
      <c r="X1001" s="529"/>
      <c r="Y1001" s="529"/>
      <c r="Z1001" s="529"/>
      <c r="AA1001" s="529"/>
      <c r="AB1001" s="529"/>
      <c r="AC1001" s="529"/>
      <c r="AD1001" s="529"/>
      <c r="AE1001" s="530"/>
      <c r="AF1001" s="529"/>
      <c r="AG1001" s="529"/>
      <c r="AH1001" s="529"/>
      <c r="AI1001" s="75"/>
    </row>
    <row r="1002" spans="3:35" s="74" customFormat="1" x14ac:dyDescent="0.25">
      <c r="C1002" s="527"/>
      <c r="H1002" s="527"/>
      <c r="N1002" s="55"/>
      <c r="P1002" s="527"/>
      <c r="Q1002" s="529"/>
      <c r="R1002" s="529"/>
      <c r="S1002" s="529"/>
      <c r="T1002" s="529"/>
      <c r="U1002" s="529"/>
      <c r="V1002" s="529"/>
      <c r="W1002" s="529"/>
      <c r="X1002" s="529"/>
      <c r="Y1002" s="529"/>
      <c r="Z1002" s="529"/>
      <c r="AA1002" s="529"/>
      <c r="AB1002" s="529"/>
      <c r="AC1002" s="529"/>
      <c r="AD1002" s="529"/>
      <c r="AE1002" s="530"/>
      <c r="AF1002" s="529"/>
      <c r="AG1002" s="529"/>
      <c r="AH1002" s="529"/>
      <c r="AI1002" s="75"/>
    </row>
    <row r="1003" spans="3:35" s="74" customFormat="1" x14ac:dyDescent="0.25">
      <c r="C1003" s="527"/>
      <c r="H1003" s="527"/>
      <c r="N1003" s="55"/>
      <c r="P1003" s="527"/>
      <c r="Q1003" s="529"/>
      <c r="R1003" s="529"/>
      <c r="S1003" s="529"/>
      <c r="T1003" s="529"/>
      <c r="U1003" s="529"/>
      <c r="V1003" s="529"/>
      <c r="W1003" s="529"/>
      <c r="X1003" s="529"/>
      <c r="Y1003" s="529"/>
      <c r="Z1003" s="529"/>
      <c r="AA1003" s="529"/>
      <c r="AB1003" s="529"/>
      <c r="AC1003" s="529"/>
      <c r="AD1003" s="529"/>
      <c r="AE1003" s="530"/>
      <c r="AF1003" s="529"/>
      <c r="AG1003" s="529"/>
      <c r="AH1003" s="529"/>
      <c r="AI1003" s="75"/>
    </row>
    <row r="1004" spans="3:35" s="74" customFormat="1" x14ac:dyDescent="0.25">
      <c r="C1004" s="527"/>
      <c r="H1004" s="527"/>
      <c r="N1004" s="55"/>
      <c r="P1004" s="527"/>
      <c r="Q1004" s="529"/>
      <c r="R1004" s="529"/>
      <c r="S1004" s="529"/>
      <c r="T1004" s="529"/>
      <c r="U1004" s="529"/>
      <c r="V1004" s="529"/>
      <c r="W1004" s="529"/>
      <c r="X1004" s="529"/>
      <c r="Y1004" s="529"/>
      <c r="Z1004" s="529"/>
      <c r="AA1004" s="529"/>
      <c r="AB1004" s="529"/>
      <c r="AC1004" s="529"/>
      <c r="AD1004" s="529"/>
      <c r="AE1004" s="530"/>
      <c r="AF1004" s="529"/>
      <c r="AG1004" s="529"/>
      <c r="AH1004" s="529"/>
      <c r="AI1004" s="75"/>
    </row>
    <row r="1005" spans="3:35" s="74" customFormat="1" x14ac:dyDescent="0.25">
      <c r="C1005" s="527"/>
      <c r="H1005" s="527"/>
      <c r="N1005" s="55"/>
      <c r="P1005" s="527"/>
      <c r="Q1005" s="529"/>
      <c r="R1005" s="529"/>
      <c r="S1005" s="529"/>
      <c r="T1005" s="529"/>
      <c r="U1005" s="529"/>
      <c r="V1005" s="529"/>
      <c r="W1005" s="529"/>
      <c r="X1005" s="529"/>
      <c r="Y1005" s="529"/>
      <c r="Z1005" s="529"/>
      <c r="AA1005" s="529"/>
      <c r="AB1005" s="529"/>
      <c r="AC1005" s="529"/>
      <c r="AD1005" s="529"/>
      <c r="AE1005" s="530"/>
      <c r="AF1005" s="529"/>
      <c r="AG1005" s="529"/>
      <c r="AH1005" s="529"/>
      <c r="AI1005" s="75"/>
    </row>
    <row r="1006" spans="3:35" s="74" customFormat="1" x14ac:dyDescent="0.25">
      <c r="C1006" s="527"/>
      <c r="H1006" s="527"/>
      <c r="N1006" s="55"/>
      <c r="P1006" s="527"/>
      <c r="Q1006" s="529"/>
      <c r="R1006" s="529"/>
      <c r="S1006" s="529"/>
      <c r="T1006" s="529"/>
      <c r="U1006" s="529"/>
      <c r="V1006" s="529"/>
      <c r="W1006" s="529"/>
      <c r="X1006" s="529"/>
      <c r="Y1006" s="529"/>
      <c r="Z1006" s="529"/>
      <c r="AA1006" s="529"/>
      <c r="AB1006" s="529"/>
      <c r="AC1006" s="529"/>
      <c r="AD1006" s="529"/>
      <c r="AE1006" s="530"/>
      <c r="AF1006" s="529"/>
      <c r="AG1006" s="529"/>
      <c r="AH1006" s="529"/>
      <c r="AI1006" s="75"/>
    </row>
    <row r="1007" spans="3:35" s="74" customFormat="1" x14ac:dyDescent="0.25">
      <c r="C1007" s="527"/>
      <c r="H1007" s="527"/>
      <c r="N1007" s="55"/>
      <c r="P1007" s="527"/>
      <c r="Q1007" s="529"/>
      <c r="R1007" s="529"/>
      <c r="S1007" s="529"/>
      <c r="T1007" s="529"/>
      <c r="U1007" s="529"/>
      <c r="V1007" s="529"/>
      <c r="W1007" s="529"/>
      <c r="X1007" s="529"/>
      <c r="Y1007" s="529"/>
      <c r="Z1007" s="529"/>
      <c r="AA1007" s="529"/>
      <c r="AB1007" s="529"/>
      <c r="AC1007" s="529"/>
      <c r="AD1007" s="529"/>
      <c r="AE1007" s="530"/>
      <c r="AF1007" s="529"/>
      <c r="AG1007" s="529"/>
      <c r="AH1007" s="529"/>
      <c r="AI1007" s="75"/>
    </row>
    <row r="1008" spans="3:35" s="74" customFormat="1" x14ac:dyDescent="0.25">
      <c r="C1008" s="527"/>
      <c r="H1008" s="527"/>
      <c r="N1008" s="55"/>
      <c r="P1008" s="527"/>
      <c r="Q1008" s="529"/>
      <c r="R1008" s="529"/>
      <c r="S1008" s="529"/>
      <c r="T1008" s="529"/>
      <c r="U1008" s="529"/>
      <c r="V1008" s="529"/>
      <c r="W1008" s="529"/>
      <c r="X1008" s="529"/>
      <c r="Y1008" s="529"/>
      <c r="Z1008" s="529"/>
      <c r="AA1008" s="529"/>
      <c r="AB1008" s="529"/>
      <c r="AC1008" s="529"/>
      <c r="AD1008" s="529"/>
      <c r="AE1008" s="530"/>
      <c r="AF1008" s="529"/>
      <c r="AG1008" s="529"/>
      <c r="AH1008" s="529"/>
      <c r="AI1008" s="75"/>
    </row>
    <row r="1009" spans="3:35" s="74" customFormat="1" x14ac:dyDescent="0.25">
      <c r="C1009" s="527"/>
      <c r="H1009" s="527"/>
      <c r="N1009" s="55"/>
      <c r="P1009" s="527"/>
      <c r="Q1009" s="529"/>
      <c r="R1009" s="529"/>
      <c r="S1009" s="529"/>
      <c r="T1009" s="529"/>
      <c r="U1009" s="529"/>
      <c r="V1009" s="529"/>
      <c r="W1009" s="529"/>
      <c r="X1009" s="529"/>
      <c r="Y1009" s="529"/>
      <c r="Z1009" s="529"/>
      <c r="AA1009" s="529"/>
      <c r="AB1009" s="529"/>
      <c r="AC1009" s="529"/>
      <c r="AD1009" s="529"/>
      <c r="AE1009" s="530"/>
      <c r="AF1009" s="529"/>
      <c r="AG1009" s="529"/>
      <c r="AH1009" s="529"/>
      <c r="AI1009" s="75"/>
    </row>
    <row r="1010" spans="3:35" s="74" customFormat="1" x14ac:dyDescent="0.25">
      <c r="C1010" s="527"/>
      <c r="H1010" s="527"/>
      <c r="N1010" s="55"/>
      <c r="P1010" s="527"/>
      <c r="Q1010" s="529"/>
      <c r="R1010" s="529"/>
      <c r="S1010" s="529"/>
      <c r="T1010" s="529"/>
      <c r="U1010" s="529"/>
      <c r="V1010" s="529"/>
      <c r="W1010" s="529"/>
      <c r="X1010" s="529"/>
      <c r="Y1010" s="529"/>
      <c r="Z1010" s="529"/>
      <c r="AA1010" s="529"/>
      <c r="AB1010" s="529"/>
      <c r="AC1010" s="529"/>
      <c r="AD1010" s="529"/>
      <c r="AE1010" s="530"/>
      <c r="AF1010" s="529"/>
      <c r="AG1010" s="529"/>
      <c r="AH1010" s="529"/>
      <c r="AI1010" s="75"/>
    </row>
    <row r="1011" spans="3:35" s="74" customFormat="1" x14ac:dyDescent="0.25">
      <c r="C1011" s="527"/>
      <c r="H1011" s="527"/>
      <c r="N1011" s="55"/>
      <c r="P1011" s="527"/>
      <c r="Q1011" s="529"/>
      <c r="R1011" s="529"/>
      <c r="S1011" s="529"/>
      <c r="T1011" s="529"/>
      <c r="U1011" s="529"/>
      <c r="V1011" s="529"/>
      <c r="W1011" s="529"/>
      <c r="X1011" s="529"/>
      <c r="Y1011" s="529"/>
      <c r="Z1011" s="529"/>
      <c r="AA1011" s="529"/>
      <c r="AB1011" s="529"/>
      <c r="AC1011" s="529"/>
      <c r="AD1011" s="529"/>
      <c r="AE1011" s="530"/>
      <c r="AF1011" s="529"/>
      <c r="AG1011" s="529"/>
      <c r="AH1011" s="529"/>
      <c r="AI1011" s="75"/>
    </row>
    <row r="1012" spans="3:35" s="74" customFormat="1" x14ac:dyDescent="0.25">
      <c r="C1012" s="527"/>
      <c r="H1012" s="527"/>
      <c r="N1012" s="55"/>
      <c r="P1012" s="527"/>
      <c r="Q1012" s="529"/>
      <c r="R1012" s="529"/>
      <c r="S1012" s="529"/>
      <c r="T1012" s="529"/>
      <c r="U1012" s="529"/>
      <c r="V1012" s="529"/>
      <c r="W1012" s="529"/>
      <c r="X1012" s="529"/>
      <c r="Y1012" s="529"/>
      <c r="Z1012" s="529"/>
      <c r="AA1012" s="529"/>
      <c r="AB1012" s="529"/>
      <c r="AC1012" s="529"/>
      <c r="AD1012" s="529"/>
      <c r="AE1012" s="530"/>
      <c r="AF1012" s="529"/>
      <c r="AG1012" s="529"/>
      <c r="AH1012" s="529"/>
      <c r="AI1012" s="75"/>
    </row>
    <row r="1013" spans="3:35" s="74" customFormat="1" x14ac:dyDescent="0.25">
      <c r="C1013" s="527"/>
      <c r="H1013" s="527"/>
      <c r="N1013" s="55"/>
      <c r="P1013" s="527"/>
      <c r="Q1013" s="529"/>
      <c r="R1013" s="529"/>
      <c r="S1013" s="529"/>
      <c r="T1013" s="529"/>
      <c r="U1013" s="529"/>
      <c r="V1013" s="529"/>
      <c r="W1013" s="529"/>
      <c r="X1013" s="529"/>
      <c r="Y1013" s="529"/>
      <c r="Z1013" s="529"/>
      <c r="AA1013" s="529"/>
      <c r="AB1013" s="529"/>
      <c r="AC1013" s="529"/>
      <c r="AD1013" s="529"/>
      <c r="AE1013" s="530"/>
      <c r="AF1013" s="529"/>
      <c r="AG1013" s="529"/>
      <c r="AH1013" s="529"/>
      <c r="AI1013" s="75"/>
    </row>
    <row r="1014" spans="3:35" s="74" customFormat="1" x14ac:dyDescent="0.25">
      <c r="C1014" s="527"/>
      <c r="H1014" s="527"/>
      <c r="N1014" s="55"/>
      <c r="P1014" s="527"/>
      <c r="Q1014" s="529"/>
      <c r="R1014" s="529"/>
      <c r="S1014" s="529"/>
      <c r="T1014" s="529"/>
      <c r="U1014" s="529"/>
      <c r="V1014" s="529"/>
      <c r="W1014" s="529"/>
      <c r="X1014" s="529"/>
      <c r="Y1014" s="529"/>
      <c r="Z1014" s="529"/>
      <c r="AA1014" s="529"/>
      <c r="AB1014" s="529"/>
      <c r="AC1014" s="529"/>
      <c r="AD1014" s="529"/>
      <c r="AE1014" s="530"/>
      <c r="AF1014" s="529"/>
      <c r="AG1014" s="529"/>
      <c r="AH1014" s="529"/>
      <c r="AI1014" s="75"/>
    </row>
    <row r="1015" spans="3:35" s="74" customFormat="1" x14ac:dyDescent="0.25">
      <c r="C1015" s="527"/>
      <c r="H1015" s="527"/>
      <c r="N1015" s="55"/>
      <c r="P1015" s="527"/>
      <c r="Q1015" s="529"/>
      <c r="R1015" s="529"/>
      <c r="S1015" s="529"/>
      <c r="T1015" s="529"/>
      <c r="U1015" s="529"/>
      <c r="V1015" s="529"/>
      <c r="W1015" s="529"/>
      <c r="X1015" s="529"/>
      <c r="Y1015" s="529"/>
      <c r="Z1015" s="529"/>
      <c r="AA1015" s="529"/>
      <c r="AB1015" s="529"/>
      <c r="AC1015" s="529"/>
      <c r="AD1015" s="529"/>
      <c r="AE1015" s="530"/>
      <c r="AF1015" s="529"/>
      <c r="AG1015" s="529"/>
      <c r="AH1015" s="529"/>
      <c r="AI1015" s="75"/>
    </row>
    <row r="1016" spans="3:35" s="74" customFormat="1" x14ac:dyDescent="0.25">
      <c r="C1016" s="527"/>
      <c r="H1016" s="527"/>
      <c r="N1016" s="55"/>
      <c r="P1016" s="527"/>
      <c r="Q1016" s="529"/>
      <c r="R1016" s="529"/>
      <c r="S1016" s="529"/>
      <c r="T1016" s="529"/>
      <c r="U1016" s="529"/>
      <c r="V1016" s="529"/>
      <c r="W1016" s="529"/>
      <c r="X1016" s="529"/>
      <c r="Y1016" s="529"/>
      <c r="Z1016" s="529"/>
      <c r="AA1016" s="529"/>
      <c r="AB1016" s="529"/>
      <c r="AC1016" s="529"/>
      <c r="AD1016" s="529"/>
      <c r="AE1016" s="530"/>
      <c r="AF1016" s="529"/>
      <c r="AG1016" s="529"/>
      <c r="AH1016" s="529"/>
      <c r="AI1016" s="75"/>
    </row>
    <row r="1017" spans="3:35" s="74" customFormat="1" x14ac:dyDescent="0.25">
      <c r="C1017" s="527"/>
      <c r="H1017" s="527"/>
      <c r="N1017" s="55"/>
      <c r="P1017" s="527"/>
      <c r="Q1017" s="529"/>
      <c r="R1017" s="529"/>
      <c r="S1017" s="529"/>
      <c r="T1017" s="529"/>
      <c r="U1017" s="529"/>
      <c r="V1017" s="529"/>
      <c r="W1017" s="529"/>
      <c r="X1017" s="529"/>
      <c r="Y1017" s="529"/>
      <c r="Z1017" s="529"/>
      <c r="AA1017" s="529"/>
      <c r="AB1017" s="529"/>
      <c r="AC1017" s="529"/>
      <c r="AD1017" s="529"/>
      <c r="AE1017" s="530"/>
      <c r="AF1017" s="529"/>
      <c r="AG1017" s="529"/>
      <c r="AH1017" s="529"/>
      <c r="AI1017" s="75"/>
    </row>
    <row r="1018" spans="3:35" s="74" customFormat="1" x14ac:dyDescent="0.25">
      <c r="C1018" s="527"/>
      <c r="H1018" s="527"/>
      <c r="N1018" s="55"/>
      <c r="P1018" s="527"/>
      <c r="Q1018" s="529"/>
      <c r="R1018" s="529"/>
      <c r="S1018" s="529"/>
      <c r="T1018" s="529"/>
      <c r="U1018" s="529"/>
      <c r="V1018" s="529"/>
      <c r="W1018" s="529"/>
      <c r="X1018" s="529"/>
      <c r="Y1018" s="529"/>
      <c r="Z1018" s="529"/>
      <c r="AA1018" s="529"/>
      <c r="AB1018" s="529"/>
      <c r="AC1018" s="529"/>
      <c r="AD1018" s="529"/>
      <c r="AE1018" s="530"/>
      <c r="AF1018" s="529"/>
      <c r="AG1018" s="529"/>
      <c r="AH1018" s="529"/>
      <c r="AI1018" s="75"/>
    </row>
    <row r="1019" spans="3:35" s="74" customFormat="1" x14ac:dyDescent="0.25">
      <c r="C1019" s="527"/>
      <c r="H1019" s="527"/>
      <c r="N1019" s="55"/>
      <c r="P1019" s="527"/>
      <c r="Q1019" s="529"/>
      <c r="R1019" s="529"/>
      <c r="S1019" s="529"/>
      <c r="T1019" s="529"/>
      <c r="U1019" s="529"/>
      <c r="V1019" s="529"/>
      <c r="W1019" s="529"/>
      <c r="X1019" s="529"/>
      <c r="Y1019" s="529"/>
      <c r="Z1019" s="529"/>
      <c r="AA1019" s="529"/>
      <c r="AB1019" s="529"/>
      <c r="AC1019" s="529"/>
      <c r="AD1019" s="529"/>
      <c r="AE1019" s="530"/>
      <c r="AF1019" s="529"/>
      <c r="AG1019" s="529"/>
      <c r="AH1019" s="529"/>
      <c r="AI1019" s="75"/>
    </row>
    <row r="1020" spans="3:35" s="74" customFormat="1" x14ac:dyDescent="0.25">
      <c r="C1020" s="527"/>
      <c r="H1020" s="527"/>
      <c r="N1020" s="55"/>
      <c r="P1020" s="527"/>
      <c r="Q1020" s="529"/>
      <c r="R1020" s="529"/>
      <c r="S1020" s="529"/>
      <c r="T1020" s="529"/>
      <c r="U1020" s="529"/>
      <c r="V1020" s="529"/>
      <c r="W1020" s="529"/>
      <c r="X1020" s="529"/>
      <c r="Y1020" s="529"/>
      <c r="Z1020" s="529"/>
      <c r="AA1020" s="529"/>
      <c r="AB1020" s="529"/>
      <c r="AC1020" s="529"/>
      <c r="AD1020" s="529"/>
      <c r="AE1020" s="530"/>
      <c r="AF1020" s="529"/>
      <c r="AG1020" s="529"/>
      <c r="AH1020" s="529"/>
      <c r="AI1020" s="75"/>
    </row>
    <row r="1021" spans="3:35" s="74" customFormat="1" x14ac:dyDescent="0.25">
      <c r="C1021" s="527"/>
      <c r="H1021" s="527"/>
      <c r="N1021" s="55"/>
      <c r="P1021" s="527"/>
      <c r="Q1021" s="529"/>
      <c r="R1021" s="529"/>
      <c r="S1021" s="529"/>
      <c r="T1021" s="529"/>
      <c r="U1021" s="529"/>
      <c r="V1021" s="529"/>
      <c r="W1021" s="529"/>
      <c r="X1021" s="529"/>
      <c r="Y1021" s="529"/>
      <c r="Z1021" s="529"/>
      <c r="AA1021" s="529"/>
      <c r="AB1021" s="529"/>
      <c r="AC1021" s="529"/>
      <c r="AD1021" s="529"/>
      <c r="AE1021" s="530"/>
      <c r="AF1021" s="529"/>
      <c r="AG1021" s="529"/>
      <c r="AH1021" s="529"/>
      <c r="AI1021" s="75"/>
    </row>
    <row r="1022" spans="3:35" s="74" customFormat="1" x14ac:dyDescent="0.25">
      <c r="C1022" s="527"/>
      <c r="H1022" s="527"/>
      <c r="N1022" s="55"/>
      <c r="P1022" s="527"/>
      <c r="Q1022" s="529"/>
      <c r="R1022" s="529"/>
      <c r="S1022" s="529"/>
      <c r="T1022" s="529"/>
      <c r="U1022" s="529"/>
      <c r="V1022" s="529"/>
      <c r="W1022" s="529"/>
      <c r="X1022" s="529"/>
      <c r="Y1022" s="529"/>
      <c r="Z1022" s="529"/>
      <c r="AA1022" s="529"/>
      <c r="AB1022" s="529"/>
      <c r="AC1022" s="529"/>
      <c r="AD1022" s="529"/>
      <c r="AE1022" s="530"/>
      <c r="AF1022" s="529"/>
      <c r="AG1022" s="529"/>
      <c r="AH1022" s="529"/>
      <c r="AI1022" s="75"/>
    </row>
    <row r="1023" spans="3:35" s="74" customFormat="1" x14ac:dyDescent="0.25">
      <c r="C1023" s="527"/>
      <c r="H1023" s="527"/>
      <c r="N1023" s="55"/>
      <c r="P1023" s="527"/>
      <c r="Q1023" s="529"/>
      <c r="R1023" s="529"/>
      <c r="S1023" s="529"/>
      <c r="T1023" s="529"/>
      <c r="U1023" s="529"/>
      <c r="V1023" s="529"/>
      <c r="W1023" s="529"/>
      <c r="X1023" s="529"/>
      <c r="Y1023" s="529"/>
      <c r="Z1023" s="529"/>
      <c r="AA1023" s="529"/>
      <c r="AB1023" s="529"/>
      <c r="AC1023" s="529"/>
      <c r="AD1023" s="529"/>
      <c r="AE1023" s="530"/>
      <c r="AF1023" s="529"/>
      <c r="AG1023" s="529"/>
      <c r="AH1023" s="529"/>
      <c r="AI1023" s="75"/>
    </row>
    <row r="1024" spans="3:35" s="74" customFormat="1" x14ac:dyDescent="0.25">
      <c r="C1024" s="527"/>
      <c r="H1024" s="527"/>
      <c r="N1024" s="55"/>
      <c r="P1024" s="527"/>
      <c r="Q1024" s="529"/>
      <c r="R1024" s="529"/>
      <c r="S1024" s="529"/>
      <c r="T1024" s="529"/>
      <c r="U1024" s="529"/>
      <c r="V1024" s="529"/>
      <c r="W1024" s="529"/>
      <c r="X1024" s="529"/>
      <c r="Y1024" s="529"/>
      <c r="Z1024" s="529"/>
      <c r="AA1024" s="529"/>
      <c r="AB1024" s="529"/>
      <c r="AC1024" s="529"/>
      <c r="AD1024" s="529"/>
      <c r="AE1024" s="530"/>
      <c r="AF1024" s="529"/>
      <c r="AG1024" s="529"/>
      <c r="AH1024" s="529"/>
      <c r="AI1024" s="75"/>
    </row>
    <row r="1025" spans="3:35" s="74" customFormat="1" x14ac:dyDescent="0.25">
      <c r="C1025" s="527"/>
      <c r="H1025" s="527"/>
      <c r="N1025" s="55"/>
      <c r="P1025" s="527"/>
      <c r="Q1025" s="529"/>
      <c r="R1025" s="529"/>
      <c r="S1025" s="529"/>
      <c r="T1025" s="529"/>
      <c r="U1025" s="529"/>
      <c r="V1025" s="529"/>
      <c r="W1025" s="529"/>
      <c r="X1025" s="529"/>
      <c r="Y1025" s="529"/>
      <c r="Z1025" s="529"/>
      <c r="AA1025" s="529"/>
      <c r="AB1025" s="529"/>
      <c r="AC1025" s="529"/>
      <c r="AD1025" s="529"/>
      <c r="AE1025" s="530"/>
      <c r="AF1025" s="529"/>
      <c r="AG1025" s="529"/>
      <c r="AH1025" s="529"/>
      <c r="AI1025" s="75"/>
    </row>
    <row r="1026" spans="3:35" s="74" customFormat="1" x14ac:dyDescent="0.25">
      <c r="C1026" s="527"/>
      <c r="H1026" s="527"/>
      <c r="N1026" s="55"/>
      <c r="P1026" s="527"/>
      <c r="Q1026" s="529"/>
      <c r="R1026" s="529"/>
      <c r="S1026" s="529"/>
      <c r="T1026" s="529"/>
      <c r="U1026" s="529"/>
      <c r="V1026" s="529"/>
      <c r="W1026" s="529"/>
      <c r="X1026" s="529"/>
      <c r="Y1026" s="529"/>
      <c r="Z1026" s="529"/>
      <c r="AA1026" s="529"/>
      <c r="AB1026" s="529"/>
      <c r="AC1026" s="529"/>
      <c r="AD1026" s="529"/>
      <c r="AE1026" s="530"/>
      <c r="AF1026" s="529"/>
      <c r="AG1026" s="529"/>
      <c r="AH1026" s="529"/>
      <c r="AI1026" s="75"/>
    </row>
    <row r="1027" spans="3:35" s="74" customFormat="1" x14ac:dyDescent="0.25">
      <c r="C1027" s="527"/>
      <c r="H1027" s="527"/>
      <c r="N1027" s="55"/>
      <c r="P1027" s="527"/>
      <c r="Q1027" s="529"/>
      <c r="R1027" s="529"/>
      <c r="S1027" s="529"/>
      <c r="T1027" s="529"/>
      <c r="U1027" s="529"/>
      <c r="V1027" s="529"/>
      <c r="W1027" s="529"/>
      <c r="X1027" s="529"/>
      <c r="Y1027" s="529"/>
      <c r="Z1027" s="529"/>
      <c r="AA1027" s="529"/>
      <c r="AB1027" s="529"/>
      <c r="AC1027" s="529"/>
      <c r="AD1027" s="529"/>
      <c r="AE1027" s="530"/>
      <c r="AF1027" s="529"/>
      <c r="AG1027" s="529"/>
      <c r="AH1027" s="529"/>
      <c r="AI1027" s="75"/>
    </row>
    <row r="1028" spans="3:35" s="74" customFormat="1" x14ac:dyDescent="0.25">
      <c r="C1028" s="527"/>
      <c r="H1028" s="527"/>
      <c r="N1028" s="55"/>
      <c r="P1028" s="527"/>
      <c r="Q1028" s="529"/>
      <c r="R1028" s="529"/>
      <c r="S1028" s="529"/>
      <c r="T1028" s="529"/>
      <c r="U1028" s="529"/>
      <c r="V1028" s="529"/>
      <c r="W1028" s="529"/>
      <c r="X1028" s="529"/>
      <c r="Y1028" s="529"/>
      <c r="Z1028" s="529"/>
      <c r="AA1028" s="529"/>
      <c r="AB1028" s="529"/>
      <c r="AC1028" s="529"/>
      <c r="AD1028" s="529"/>
      <c r="AE1028" s="530"/>
      <c r="AF1028" s="529"/>
      <c r="AG1028" s="529"/>
      <c r="AH1028" s="529"/>
      <c r="AI1028" s="75"/>
    </row>
    <row r="1029" spans="3:35" s="74" customFormat="1" x14ac:dyDescent="0.25">
      <c r="C1029" s="527"/>
      <c r="H1029" s="527"/>
      <c r="N1029" s="55"/>
      <c r="P1029" s="527"/>
      <c r="Q1029" s="529"/>
      <c r="R1029" s="529"/>
      <c r="S1029" s="529"/>
      <c r="T1029" s="529"/>
      <c r="U1029" s="529"/>
      <c r="V1029" s="529"/>
      <c r="W1029" s="529"/>
      <c r="X1029" s="529"/>
      <c r="Y1029" s="529"/>
      <c r="Z1029" s="529"/>
      <c r="AA1029" s="529"/>
      <c r="AB1029" s="529"/>
      <c r="AC1029" s="529"/>
      <c r="AD1029" s="529"/>
      <c r="AE1029" s="530"/>
      <c r="AF1029" s="529"/>
      <c r="AG1029" s="529"/>
      <c r="AH1029" s="529"/>
      <c r="AI1029" s="75"/>
    </row>
    <row r="1030" spans="3:35" s="74" customFormat="1" x14ac:dyDescent="0.25">
      <c r="C1030" s="527"/>
      <c r="H1030" s="527"/>
      <c r="N1030" s="55"/>
      <c r="P1030" s="527"/>
      <c r="Q1030" s="529"/>
      <c r="R1030" s="529"/>
      <c r="S1030" s="529"/>
      <c r="T1030" s="529"/>
      <c r="U1030" s="529"/>
      <c r="V1030" s="529"/>
      <c r="W1030" s="529"/>
      <c r="X1030" s="529"/>
      <c r="Y1030" s="529"/>
      <c r="Z1030" s="529"/>
      <c r="AA1030" s="529"/>
      <c r="AB1030" s="529"/>
      <c r="AC1030" s="529"/>
      <c r="AD1030" s="529"/>
      <c r="AE1030" s="530"/>
      <c r="AF1030" s="529"/>
      <c r="AG1030" s="529"/>
      <c r="AH1030" s="529"/>
      <c r="AI1030" s="75"/>
    </row>
    <row r="1031" spans="3:35" s="74" customFormat="1" x14ac:dyDescent="0.25">
      <c r="C1031" s="527"/>
      <c r="H1031" s="527"/>
      <c r="N1031" s="55"/>
      <c r="P1031" s="527"/>
      <c r="Q1031" s="529"/>
      <c r="R1031" s="529"/>
      <c r="S1031" s="529"/>
      <c r="T1031" s="529"/>
      <c r="U1031" s="529"/>
      <c r="V1031" s="529"/>
      <c r="W1031" s="529"/>
      <c r="X1031" s="529"/>
      <c r="Y1031" s="529"/>
      <c r="Z1031" s="529"/>
      <c r="AA1031" s="529"/>
      <c r="AB1031" s="529"/>
      <c r="AC1031" s="529"/>
      <c r="AD1031" s="529"/>
      <c r="AE1031" s="530"/>
      <c r="AF1031" s="529"/>
      <c r="AG1031" s="529"/>
      <c r="AH1031" s="529"/>
      <c r="AI1031" s="75"/>
    </row>
    <row r="1032" spans="3:35" s="74" customFormat="1" x14ac:dyDescent="0.25">
      <c r="C1032" s="527"/>
      <c r="H1032" s="527"/>
      <c r="N1032" s="55"/>
      <c r="P1032" s="527"/>
      <c r="Q1032" s="529"/>
      <c r="R1032" s="529"/>
      <c r="S1032" s="529"/>
      <c r="T1032" s="529"/>
      <c r="U1032" s="529"/>
      <c r="V1032" s="529"/>
      <c r="W1032" s="529"/>
      <c r="X1032" s="529"/>
      <c r="Y1032" s="529"/>
      <c r="Z1032" s="529"/>
      <c r="AA1032" s="529"/>
      <c r="AB1032" s="529"/>
      <c r="AC1032" s="529"/>
      <c r="AD1032" s="529"/>
      <c r="AE1032" s="530"/>
      <c r="AF1032" s="529"/>
      <c r="AG1032" s="529"/>
      <c r="AH1032" s="529"/>
      <c r="AI1032" s="75"/>
    </row>
    <row r="1033" spans="3:35" s="74" customFormat="1" x14ac:dyDescent="0.25">
      <c r="C1033" s="527"/>
      <c r="H1033" s="527"/>
      <c r="N1033" s="55"/>
      <c r="P1033" s="527"/>
      <c r="Q1033" s="529"/>
      <c r="R1033" s="529"/>
      <c r="S1033" s="529"/>
      <c r="T1033" s="529"/>
      <c r="U1033" s="529"/>
      <c r="V1033" s="529"/>
      <c r="W1033" s="529"/>
      <c r="X1033" s="529"/>
      <c r="Y1033" s="529"/>
      <c r="Z1033" s="529"/>
      <c r="AA1033" s="529"/>
      <c r="AB1033" s="529"/>
      <c r="AC1033" s="529"/>
      <c r="AD1033" s="529"/>
      <c r="AE1033" s="530"/>
      <c r="AF1033" s="529"/>
      <c r="AG1033" s="529"/>
      <c r="AH1033" s="529"/>
      <c r="AI1033" s="75"/>
    </row>
    <row r="1034" spans="3:35" s="74" customFormat="1" x14ac:dyDescent="0.25">
      <c r="C1034" s="527"/>
      <c r="H1034" s="527"/>
      <c r="N1034" s="55"/>
      <c r="P1034" s="527"/>
      <c r="Q1034" s="529"/>
      <c r="R1034" s="529"/>
      <c r="S1034" s="529"/>
      <c r="T1034" s="529"/>
      <c r="U1034" s="529"/>
      <c r="V1034" s="529"/>
      <c r="W1034" s="529"/>
      <c r="X1034" s="529"/>
      <c r="Y1034" s="529"/>
      <c r="Z1034" s="529"/>
      <c r="AA1034" s="529"/>
      <c r="AB1034" s="529"/>
      <c r="AC1034" s="529"/>
      <c r="AD1034" s="529"/>
      <c r="AE1034" s="530"/>
      <c r="AF1034" s="529"/>
      <c r="AG1034" s="529"/>
      <c r="AH1034" s="529"/>
      <c r="AI1034" s="75"/>
    </row>
    <row r="1035" spans="3:35" s="74" customFormat="1" x14ac:dyDescent="0.25">
      <c r="C1035" s="527"/>
      <c r="H1035" s="527"/>
      <c r="N1035" s="55"/>
      <c r="P1035" s="527"/>
      <c r="Q1035" s="529"/>
      <c r="R1035" s="529"/>
      <c r="S1035" s="529"/>
      <c r="T1035" s="529"/>
      <c r="U1035" s="529"/>
      <c r="V1035" s="529"/>
      <c r="W1035" s="529"/>
      <c r="X1035" s="529"/>
      <c r="Y1035" s="529"/>
      <c r="Z1035" s="529"/>
      <c r="AA1035" s="529"/>
      <c r="AB1035" s="529"/>
      <c r="AC1035" s="529"/>
      <c r="AD1035" s="529"/>
      <c r="AE1035" s="530"/>
      <c r="AF1035" s="529"/>
      <c r="AG1035" s="529"/>
      <c r="AH1035" s="529"/>
      <c r="AI1035" s="75"/>
    </row>
    <row r="1036" spans="3:35" s="74" customFormat="1" x14ac:dyDescent="0.25">
      <c r="C1036" s="527"/>
      <c r="H1036" s="527"/>
      <c r="N1036" s="55"/>
      <c r="P1036" s="527"/>
      <c r="Q1036" s="529"/>
      <c r="R1036" s="529"/>
      <c r="S1036" s="529"/>
      <c r="T1036" s="529"/>
      <c r="U1036" s="529"/>
      <c r="V1036" s="529"/>
      <c r="W1036" s="529"/>
      <c r="X1036" s="529"/>
      <c r="Y1036" s="529"/>
      <c r="Z1036" s="529"/>
      <c r="AA1036" s="529"/>
      <c r="AB1036" s="529"/>
      <c r="AC1036" s="529"/>
      <c r="AD1036" s="529"/>
      <c r="AE1036" s="530"/>
      <c r="AF1036" s="529"/>
      <c r="AG1036" s="529"/>
      <c r="AH1036" s="529"/>
      <c r="AI1036" s="75"/>
    </row>
    <row r="1037" spans="3:35" s="74" customFormat="1" x14ac:dyDescent="0.25">
      <c r="C1037" s="527"/>
      <c r="H1037" s="527"/>
      <c r="N1037" s="55"/>
      <c r="P1037" s="527"/>
      <c r="Q1037" s="529"/>
      <c r="R1037" s="529"/>
      <c r="S1037" s="529"/>
      <c r="T1037" s="529"/>
      <c r="U1037" s="529"/>
      <c r="V1037" s="529"/>
      <c r="W1037" s="529"/>
      <c r="X1037" s="529"/>
      <c r="Y1037" s="529"/>
      <c r="Z1037" s="529"/>
      <c r="AA1037" s="529"/>
      <c r="AB1037" s="529"/>
      <c r="AC1037" s="529"/>
      <c r="AD1037" s="529"/>
      <c r="AE1037" s="530"/>
      <c r="AF1037" s="529"/>
      <c r="AG1037" s="529"/>
      <c r="AH1037" s="529"/>
      <c r="AI1037" s="75"/>
    </row>
    <row r="1038" spans="3:35" s="74" customFormat="1" x14ac:dyDescent="0.25">
      <c r="C1038" s="527"/>
      <c r="H1038" s="527"/>
      <c r="N1038" s="55"/>
      <c r="P1038" s="527"/>
      <c r="Q1038" s="529"/>
      <c r="R1038" s="529"/>
      <c r="S1038" s="529"/>
      <c r="T1038" s="529"/>
      <c r="U1038" s="529"/>
      <c r="V1038" s="529"/>
      <c r="W1038" s="529"/>
      <c r="X1038" s="529"/>
      <c r="Y1038" s="529"/>
      <c r="Z1038" s="529"/>
      <c r="AA1038" s="529"/>
      <c r="AB1038" s="529"/>
      <c r="AC1038" s="529"/>
      <c r="AD1038" s="529"/>
      <c r="AE1038" s="530"/>
      <c r="AF1038" s="529"/>
      <c r="AG1038" s="529"/>
      <c r="AH1038" s="529"/>
      <c r="AI1038" s="75"/>
    </row>
    <row r="1039" spans="3:35" s="74" customFormat="1" x14ac:dyDescent="0.25">
      <c r="C1039" s="527"/>
      <c r="H1039" s="527"/>
      <c r="N1039" s="55"/>
      <c r="P1039" s="527"/>
      <c r="Q1039" s="529"/>
      <c r="R1039" s="529"/>
      <c r="S1039" s="529"/>
      <c r="T1039" s="529"/>
      <c r="U1039" s="529"/>
      <c r="V1039" s="529"/>
      <c r="W1039" s="529"/>
      <c r="X1039" s="529"/>
      <c r="Y1039" s="529"/>
      <c r="Z1039" s="529"/>
      <c r="AA1039" s="529"/>
      <c r="AB1039" s="529"/>
      <c r="AC1039" s="529"/>
      <c r="AD1039" s="529"/>
      <c r="AE1039" s="530"/>
      <c r="AF1039" s="529"/>
      <c r="AG1039" s="529"/>
      <c r="AH1039" s="529"/>
      <c r="AI1039" s="75"/>
    </row>
    <row r="1040" spans="3:35" s="74" customFormat="1" x14ac:dyDescent="0.25">
      <c r="C1040" s="527"/>
      <c r="H1040" s="527"/>
      <c r="N1040" s="55"/>
      <c r="P1040" s="527"/>
      <c r="Q1040" s="529"/>
      <c r="R1040" s="529"/>
      <c r="S1040" s="529"/>
      <c r="T1040" s="529"/>
      <c r="U1040" s="529"/>
      <c r="V1040" s="529"/>
      <c r="W1040" s="529"/>
      <c r="X1040" s="529"/>
      <c r="Y1040" s="529"/>
      <c r="Z1040" s="529"/>
      <c r="AA1040" s="529"/>
      <c r="AB1040" s="529"/>
      <c r="AC1040" s="529"/>
      <c r="AD1040" s="529"/>
      <c r="AE1040" s="530"/>
      <c r="AF1040" s="529"/>
      <c r="AG1040" s="529"/>
      <c r="AH1040" s="529"/>
      <c r="AI1040" s="75"/>
    </row>
    <row r="1041" spans="3:35" s="74" customFormat="1" x14ac:dyDescent="0.25">
      <c r="C1041" s="527"/>
      <c r="H1041" s="527"/>
      <c r="N1041" s="55"/>
      <c r="P1041" s="527"/>
      <c r="Q1041" s="529"/>
      <c r="R1041" s="529"/>
      <c r="S1041" s="529"/>
      <c r="T1041" s="529"/>
      <c r="U1041" s="529"/>
      <c r="V1041" s="529"/>
      <c r="W1041" s="529"/>
      <c r="X1041" s="529"/>
      <c r="Y1041" s="529"/>
      <c r="Z1041" s="529"/>
      <c r="AA1041" s="529"/>
      <c r="AB1041" s="529"/>
      <c r="AC1041" s="529"/>
      <c r="AD1041" s="529"/>
      <c r="AE1041" s="530"/>
      <c r="AF1041" s="529"/>
      <c r="AG1041" s="529"/>
      <c r="AH1041" s="529"/>
      <c r="AI1041" s="75"/>
    </row>
    <row r="1042" spans="3:35" s="74" customFormat="1" x14ac:dyDescent="0.25">
      <c r="C1042" s="527"/>
      <c r="H1042" s="527"/>
      <c r="N1042" s="55"/>
      <c r="P1042" s="527"/>
      <c r="Q1042" s="529"/>
      <c r="R1042" s="529"/>
      <c r="S1042" s="529"/>
      <c r="T1042" s="529"/>
      <c r="U1042" s="529"/>
      <c r="V1042" s="529"/>
      <c r="W1042" s="529"/>
      <c r="X1042" s="529"/>
      <c r="Y1042" s="529"/>
      <c r="Z1042" s="529"/>
      <c r="AA1042" s="529"/>
      <c r="AB1042" s="529"/>
      <c r="AC1042" s="529"/>
      <c r="AD1042" s="529"/>
      <c r="AE1042" s="530"/>
      <c r="AF1042" s="529"/>
      <c r="AG1042" s="529"/>
      <c r="AH1042" s="529"/>
      <c r="AI1042" s="75"/>
    </row>
    <row r="1043" spans="3:35" s="74" customFormat="1" x14ac:dyDescent="0.25">
      <c r="C1043" s="527"/>
      <c r="H1043" s="527"/>
      <c r="N1043" s="55"/>
      <c r="P1043" s="527"/>
      <c r="Q1043" s="529"/>
      <c r="R1043" s="529"/>
      <c r="S1043" s="529"/>
      <c r="T1043" s="529"/>
      <c r="U1043" s="529"/>
      <c r="V1043" s="529"/>
      <c r="W1043" s="529"/>
      <c r="X1043" s="529"/>
      <c r="Y1043" s="529"/>
      <c r="Z1043" s="529"/>
      <c r="AA1043" s="529"/>
      <c r="AB1043" s="529"/>
      <c r="AC1043" s="529"/>
      <c r="AD1043" s="529"/>
      <c r="AE1043" s="530"/>
      <c r="AF1043" s="529"/>
      <c r="AG1043" s="529"/>
      <c r="AH1043" s="529"/>
      <c r="AI1043" s="75"/>
    </row>
    <row r="1044" spans="3:35" s="74" customFormat="1" x14ac:dyDescent="0.25">
      <c r="C1044" s="527"/>
      <c r="H1044" s="527"/>
      <c r="N1044" s="55"/>
      <c r="P1044" s="527"/>
      <c r="Q1044" s="529"/>
      <c r="R1044" s="529"/>
      <c r="S1044" s="529"/>
      <c r="T1044" s="529"/>
      <c r="U1044" s="529"/>
      <c r="V1044" s="529"/>
      <c r="W1044" s="529"/>
      <c r="X1044" s="529"/>
      <c r="Y1044" s="529"/>
      <c r="Z1044" s="529"/>
      <c r="AA1044" s="529"/>
      <c r="AB1044" s="529"/>
      <c r="AC1044" s="529"/>
      <c r="AD1044" s="529"/>
      <c r="AE1044" s="530"/>
      <c r="AF1044" s="529"/>
      <c r="AG1044" s="529"/>
      <c r="AH1044" s="529"/>
      <c r="AI1044" s="75"/>
    </row>
    <row r="1045" spans="3:35" s="74" customFormat="1" x14ac:dyDescent="0.25">
      <c r="C1045" s="527"/>
      <c r="H1045" s="527"/>
      <c r="N1045" s="55"/>
      <c r="P1045" s="527"/>
      <c r="Q1045" s="529"/>
      <c r="R1045" s="529"/>
      <c r="S1045" s="529"/>
      <c r="T1045" s="529"/>
      <c r="U1045" s="529"/>
      <c r="V1045" s="529"/>
      <c r="W1045" s="529"/>
      <c r="X1045" s="529"/>
      <c r="Y1045" s="529"/>
      <c r="Z1045" s="529"/>
      <c r="AA1045" s="529"/>
      <c r="AB1045" s="529"/>
      <c r="AC1045" s="529"/>
      <c r="AD1045" s="529"/>
      <c r="AE1045" s="530"/>
      <c r="AF1045" s="529"/>
      <c r="AG1045" s="529"/>
      <c r="AH1045" s="529"/>
      <c r="AI1045" s="75"/>
    </row>
    <row r="1046" spans="3:35" s="74" customFormat="1" x14ac:dyDescent="0.25">
      <c r="C1046" s="527"/>
      <c r="H1046" s="527"/>
      <c r="N1046" s="55"/>
      <c r="P1046" s="527"/>
      <c r="Q1046" s="529"/>
      <c r="R1046" s="529"/>
      <c r="S1046" s="529"/>
      <c r="T1046" s="529"/>
      <c r="U1046" s="529"/>
      <c r="V1046" s="529"/>
      <c r="W1046" s="529"/>
      <c r="X1046" s="529"/>
      <c r="Y1046" s="529"/>
      <c r="Z1046" s="529"/>
      <c r="AA1046" s="529"/>
      <c r="AB1046" s="529"/>
      <c r="AC1046" s="529"/>
      <c r="AD1046" s="529"/>
      <c r="AE1046" s="530"/>
      <c r="AF1046" s="529"/>
      <c r="AG1046" s="529"/>
      <c r="AH1046" s="529"/>
      <c r="AI1046" s="75"/>
    </row>
    <row r="1047" spans="3:35" s="74" customFormat="1" x14ac:dyDescent="0.25">
      <c r="C1047" s="527"/>
      <c r="H1047" s="527"/>
      <c r="N1047" s="55"/>
      <c r="P1047" s="527"/>
      <c r="Q1047" s="529"/>
      <c r="R1047" s="529"/>
      <c r="S1047" s="529"/>
      <c r="T1047" s="529"/>
      <c r="U1047" s="529"/>
      <c r="V1047" s="529"/>
      <c r="W1047" s="529"/>
      <c r="X1047" s="529"/>
      <c r="Y1047" s="529"/>
      <c r="Z1047" s="529"/>
      <c r="AA1047" s="529"/>
      <c r="AB1047" s="529"/>
      <c r="AC1047" s="529"/>
      <c r="AD1047" s="529"/>
      <c r="AE1047" s="530"/>
      <c r="AF1047" s="529"/>
      <c r="AG1047" s="529"/>
      <c r="AH1047" s="529"/>
      <c r="AI1047" s="75"/>
    </row>
    <row r="1048" spans="3:35" s="74" customFormat="1" x14ac:dyDescent="0.25">
      <c r="C1048" s="527"/>
      <c r="H1048" s="527"/>
      <c r="N1048" s="55"/>
      <c r="P1048" s="527"/>
      <c r="Q1048" s="529"/>
      <c r="R1048" s="529"/>
      <c r="S1048" s="529"/>
      <c r="T1048" s="529"/>
      <c r="U1048" s="529"/>
      <c r="V1048" s="529"/>
      <c r="W1048" s="529"/>
      <c r="X1048" s="529"/>
      <c r="Y1048" s="529"/>
      <c r="Z1048" s="529"/>
      <c r="AA1048" s="529"/>
      <c r="AB1048" s="529"/>
      <c r="AC1048" s="529"/>
      <c r="AD1048" s="529"/>
      <c r="AE1048" s="530"/>
      <c r="AF1048" s="529"/>
      <c r="AG1048" s="529"/>
      <c r="AH1048" s="529"/>
      <c r="AI1048" s="75"/>
    </row>
    <row r="1049" spans="3:35" s="74" customFormat="1" x14ac:dyDescent="0.25">
      <c r="C1049" s="527"/>
      <c r="H1049" s="527"/>
      <c r="N1049" s="55"/>
      <c r="P1049" s="527"/>
      <c r="Q1049" s="529"/>
      <c r="R1049" s="529"/>
      <c r="S1049" s="529"/>
      <c r="T1049" s="529"/>
      <c r="U1049" s="529"/>
      <c r="V1049" s="529"/>
      <c r="W1049" s="529"/>
      <c r="X1049" s="529"/>
      <c r="Y1049" s="529"/>
      <c r="Z1049" s="529"/>
      <c r="AA1049" s="529"/>
      <c r="AB1049" s="529"/>
      <c r="AC1049" s="529"/>
      <c r="AD1049" s="529"/>
      <c r="AE1049" s="530"/>
      <c r="AF1049" s="529"/>
      <c r="AG1049" s="529"/>
      <c r="AH1049" s="529"/>
      <c r="AI1049" s="75"/>
    </row>
    <row r="1050" spans="3:35" s="74" customFormat="1" x14ac:dyDescent="0.25">
      <c r="C1050" s="527"/>
      <c r="H1050" s="527"/>
      <c r="N1050" s="55"/>
      <c r="P1050" s="527"/>
      <c r="Q1050" s="529"/>
      <c r="R1050" s="529"/>
      <c r="S1050" s="529"/>
      <c r="T1050" s="529"/>
      <c r="U1050" s="529"/>
      <c r="V1050" s="529"/>
      <c r="W1050" s="529"/>
      <c r="X1050" s="529"/>
      <c r="Y1050" s="529"/>
      <c r="Z1050" s="529"/>
      <c r="AA1050" s="529"/>
      <c r="AB1050" s="529"/>
      <c r="AC1050" s="529"/>
      <c r="AD1050" s="529"/>
      <c r="AE1050" s="530"/>
      <c r="AF1050" s="529"/>
      <c r="AG1050" s="529"/>
      <c r="AH1050" s="529"/>
      <c r="AI1050" s="75"/>
    </row>
    <row r="1051" spans="3:35" s="74" customFormat="1" x14ac:dyDescent="0.25">
      <c r="C1051" s="527"/>
      <c r="H1051" s="527"/>
      <c r="N1051" s="55"/>
      <c r="P1051" s="527"/>
      <c r="Q1051" s="529"/>
      <c r="R1051" s="529"/>
      <c r="S1051" s="529"/>
      <c r="T1051" s="529"/>
      <c r="U1051" s="529"/>
      <c r="V1051" s="529"/>
      <c r="W1051" s="529"/>
      <c r="X1051" s="529"/>
      <c r="Y1051" s="529"/>
      <c r="Z1051" s="529"/>
      <c r="AA1051" s="529"/>
      <c r="AB1051" s="529"/>
      <c r="AC1051" s="529"/>
      <c r="AD1051" s="529"/>
      <c r="AE1051" s="530"/>
      <c r="AF1051" s="529"/>
      <c r="AG1051" s="529"/>
      <c r="AH1051" s="529"/>
      <c r="AI1051" s="75"/>
    </row>
    <row r="1052" spans="3:35" s="74" customFormat="1" x14ac:dyDescent="0.25">
      <c r="C1052" s="527"/>
      <c r="H1052" s="527"/>
      <c r="N1052" s="55"/>
      <c r="P1052" s="527"/>
      <c r="Q1052" s="529"/>
      <c r="R1052" s="529"/>
      <c r="S1052" s="529"/>
      <c r="T1052" s="529"/>
      <c r="U1052" s="529"/>
      <c r="V1052" s="529"/>
      <c r="W1052" s="529"/>
      <c r="X1052" s="529"/>
      <c r="Y1052" s="529"/>
      <c r="Z1052" s="529"/>
      <c r="AA1052" s="529"/>
      <c r="AB1052" s="529"/>
      <c r="AC1052" s="529"/>
      <c r="AD1052" s="529"/>
      <c r="AE1052" s="530"/>
      <c r="AF1052" s="529"/>
      <c r="AG1052" s="529"/>
      <c r="AH1052" s="529"/>
      <c r="AI1052" s="75"/>
    </row>
    <row r="1053" spans="3:35" s="74" customFormat="1" x14ac:dyDescent="0.25">
      <c r="C1053" s="527"/>
      <c r="H1053" s="527"/>
      <c r="N1053" s="55"/>
      <c r="P1053" s="527"/>
      <c r="Q1053" s="529"/>
      <c r="R1053" s="529"/>
      <c r="S1053" s="529"/>
      <c r="T1053" s="529"/>
      <c r="U1053" s="529"/>
      <c r="V1053" s="529"/>
      <c r="W1053" s="529"/>
      <c r="X1053" s="529"/>
      <c r="Y1053" s="529"/>
      <c r="Z1053" s="529"/>
      <c r="AA1053" s="529"/>
      <c r="AB1053" s="529"/>
      <c r="AC1053" s="529"/>
      <c r="AD1053" s="529"/>
      <c r="AE1053" s="530"/>
      <c r="AF1053" s="529"/>
      <c r="AG1053" s="529"/>
      <c r="AH1053" s="529"/>
      <c r="AI1053" s="75"/>
    </row>
    <row r="1054" spans="3:35" s="74" customFormat="1" x14ac:dyDescent="0.25">
      <c r="C1054" s="527"/>
      <c r="H1054" s="527"/>
      <c r="N1054" s="55"/>
      <c r="P1054" s="527"/>
      <c r="Q1054" s="529"/>
      <c r="R1054" s="529"/>
      <c r="S1054" s="529"/>
      <c r="T1054" s="529"/>
      <c r="U1054" s="529"/>
      <c r="V1054" s="529"/>
      <c r="W1054" s="529"/>
      <c r="X1054" s="529"/>
      <c r="Y1054" s="529"/>
      <c r="Z1054" s="529"/>
      <c r="AA1054" s="529"/>
      <c r="AB1054" s="529"/>
      <c r="AC1054" s="529"/>
      <c r="AD1054" s="529"/>
      <c r="AE1054" s="530"/>
      <c r="AF1054" s="529"/>
      <c r="AG1054" s="529"/>
      <c r="AH1054" s="529"/>
      <c r="AI1054" s="75"/>
    </row>
    <row r="1055" spans="3:35" s="74" customFormat="1" x14ac:dyDescent="0.25">
      <c r="C1055" s="527"/>
      <c r="H1055" s="527"/>
      <c r="N1055" s="55"/>
      <c r="P1055" s="527"/>
      <c r="Q1055" s="529"/>
      <c r="R1055" s="529"/>
      <c r="S1055" s="529"/>
      <c r="T1055" s="529"/>
      <c r="U1055" s="529"/>
      <c r="V1055" s="529"/>
      <c r="W1055" s="529"/>
      <c r="X1055" s="529"/>
      <c r="Y1055" s="529"/>
      <c r="Z1055" s="529"/>
      <c r="AA1055" s="529"/>
      <c r="AB1055" s="529"/>
      <c r="AC1055" s="529"/>
      <c r="AD1055" s="529"/>
      <c r="AE1055" s="530"/>
      <c r="AF1055" s="529"/>
      <c r="AG1055" s="529"/>
      <c r="AH1055" s="529"/>
      <c r="AI1055" s="75"/>
    </row>
    <row r="1056" spans="3:35" s="74" customFormat="1" x14ac:dyDescent="0.25">
      <c r="C1056" s="527"/>
      <c r="H1056" s="527"/>
      <c r="N1056" s="55"/>
      <c r="P1056" s="527"/>
      <c r="Q1056" s="529"/>
      <c r="R1056" s="529"/>
      <c r="S1056" s="529"/>
      <c r="T1056" s="529"/>
      <c r="U1056" s="529"/>
      <c r="V1056" s="529"/>
      <c r="W1056" s="529"/>
      <c r="X1056" s="529"/>
      <c r="Y1056" s="529"/>
      <c r="Z1056" s="529"/>
      <c r="AA1056" s="529"/>
      <c r="AB1056" s="529"/>
      <c r="AC1056" s="529"/>
      <c r="AD1056" s="529"/>
      <c r="AE1056" s="530"/>
      <c r="AF1056" s="529"/>
      <c r="AG1056" s="529"/>
      <c r="AH1056" s="529"/>
      <c r="AI1056" s="75"/>
    </row>
    <row r="1057" spans="3:35" s="74" customFormat="1" x14ac:dyDescent="0.25">
      <c r="C1057" s="527"/>
      <c r="H1057" s="527"/>
      <c r="N1057" s="55"/>
      <c r="P1057" s="527"/>
      <c r="Q1057" s="529"/>
      <c r="R1057" s="529"/>
      <c r="S1057" s="529"/>
      <c r="T1057" s="529"/>
      <c r="U1057" s="529"/>
      <c r="V1057" s="529"/>
      <c r="W1057" s="529"/>
      <c r="X1057" s="529"/>
      <c r="Y1057" s="529"/>
      <c r="Z1057" s="529"/>
      <c r="AA1057" s="529"/>
      <c r="AB1057" s="529"/>
      <c r="AC1057" s="529"/>
      <c r="AD1057" s="529"/>
      <c r="AE1057" s="530"/>
      <c r="AF1057" s="529"/>
      <c r="AG1057" s="529"/>
      <c r="AH1057" s="529"/>
      <c r="AI1057" s="75"/>
    </row>
    <row r="1058" spans="3:35" s="74" customFormat="1" x14ac:dyDescent="0.25">
      <c r="C1058" s="527"/>
      <c r="H1058" s="527"/>
      <c r="N1058" s="55"/>
      <c r="P1058" s="527"/>
      <c r="Q1058" s="529"/>
      <c r="R1058" s="529"/>
      <c r="S1058" s="529"/>
      <c r="T1058" s="529"/>
      <c r="U1058" s="529"/>
      <c r="V1058" s="529"/>
      <c r="W1058" s="529"/>
      <c r="X1058" s="529"/>
      <c r="Y1058" s="529"/>
      <c r="Z1058" s="529"/>
      <c r="AA1058" s="529"/>
      <c r="AB1058" s="529"/>
      <c r="AC1058" s="529"/>
      <c r="AD1058" s="529"/>
      <c r="AE1058" s="530"/>
      <c r="AF1058" s="529"/>
      <c r="AG1058" s="529"/>
      <c r="AH1058" s="529"/>
      <c r="AI1058" s="75"/>
    </row>
    <row r="1059" spans="3:35" s="74" customFormat="1" x14ac:dyDescent="0.25">
      <c r="C1059" s="527"/>
      <c r="H1059" s="527"/>
      <c r="N1059" s="55"/>
      <c r="P1059" s="527"/>
      <c r="Q1059" s="529"/>
      <c r="R1059" s="529"/>
      <c r="S1059" s="529"/>
      <c r="T1059" s="529"/>
      <c r="U1059" s="529"/>
      <c r="V1059" s="529"/>
      <c r="W1059" s="529"/>
      <c r="X1059" s="529"/>
      <c r="Y1059" s="529"/>
      <c r="Z1059" s="529"/>
      <c r="AA1059" s="529"/>
      <c r="AB1059" s="529"/>
      <c r="AC1059" s="529"/>
      <c r="AD1059" s="529"/>
      <c r="AE1059" s="530"/>
      <c r="AF1059" s="529"/>
      <c r="AG1059" s="529"/>
      <c r="AH1059" s="529"/>
      <c r="AI1059" s="75"/>
    </row>
    <row r="1060" spans="3:35" s="74" customFormat="1" x14ac:dyDescent="0.25">
      <c r="C1060" s="527"/>
      <c r="H1060" s="527"/>
      <c r="N1060" s="55"/>
      <c r="P1060" s="527"/>
      <c r="Q1060" s="529"/>
      <c r="R1060" s="529"/>
      <c r="S1060" s="529"/>
      <c r="T1060" s="529"/>
      <c r="U1060" s="529"/>
      <c r="V1060" s="529"/>
      <c r="W1060" s="529"/>
      <c r="X1060" s="529"/>
      <c r="Y1060" s="529"/>
      <c r="Z1060" s="529"/>
      <c r="AA1060" s="529"/>
      <c r="AB1060" s="529"/>
      <c r="AC1060" s="529"/>
      <c r="AD1060" s="529"/>
      <c r="AE1060" s="530"/>
      <c r="AF1060" s="529"/>
      <c r="AG1060" s="529"/>
      <c r="AH1060" s="529"/>
      <c r="AI1060" s="75"/>
    </row>
    <row r="1061" spans="3:35" s="74" customFormat="1" x14ac:dyDescent="0.25">
      <c r="C1061" s="527"/>
      <c r="H1061" s="527"/>
      <c r="N1061" s="55"/>
      <c r="P1061" s="527"/>
      <c r="Q1061" s="529"/>
      <c r="R1061" s="529"/>
      <c r="S1061" s="529"/>
      <c r="T1061" s="529"/>
      <c r="U1061" s="529"/>
      <c r="V1061" s="529"/>
      <c r="W1061" s="529"/>
      <c r="X1061" s="529"/>
      <c r="Y1061" s="529"/>
      <c r="Z1061" s="529"/>
      <c r="AA1061" s="529"/>
      <c r="AB1061" s="529"/>
      <c r="AC1061" s="529"/>
      <c r="AD1061" s="529"/>
      <c r="AE1061" s="530"/>
      <c r="AF1061" s="529"/>
      <c r="AG1061" s="529"/>
      <c r="AH1061" s="529"/>
      <c r="AI1061" s="75"/>
    </row>
    <row r="1062" spans="3:35" s="74" customFormat="1" x14ac:dyDescent="0.25">
      <c r="C1062" s="527"/>
      <c r="H1062" s="527"/>
      <c r="N1062" s="55"/>
      <c r="P1062" s="527"/>
      <c r="Q1062" s="529"/>
      <c r="R1062" s="529"/>
      <c r="S1062" s="529"/>
      <c r="T1062" s="529"/>
      <c r="U1062" s="529"/>
      <c r="V1062" s="529"/>
      <c r="W1062" s="529"/>
      <c r="X1062" s="529"/>
      <c r="Y1062" s="529"/>
      <c r="Z1062" s="529"/>
      <c r="AA1062" s="529"/>
      <c r="AB1062" s="529"/>
      <c r="AC1062" s="529"/>
      <c r="AD1062" s="529"/>
      <c r="AE1062" s="530"/>
      <c r="AF1062" s="529"/>
      <c r="AG1062" s="529"/>
      <c r="AH1062" s="529"/>
      <c r="AI1062" s="75"/>
    </row>
    <row r="1063" spans="3:35" s="74" customFormat="1" x14ac:dyDescent="0.25">
      <c r="C1063" s="527"/>
      <c r="H1063" s="527"/>
      <c r="N1063" s="55"/>
      <c r="P1063" s="527"/>
      <c r="Q1063" s="529"/>
      <c r="R1063" s="529"/>
      <c r="S1063" s="529"/>
      <c r="T1063" s="529"/>
      <c r="U1063" s="529"/>
      <c r="V1063" s="529"/>
      <c r="W1063" s="529"/>
      <c r="X1063" s="529"/>
      <c r="Y1063" s="529"/>
      <c r="Z1063" s="529"/>
      <c r="AA1063" s="529"/>
      <c r="AB1063" s="529"/>
      <c r="AC1063" s="529"/>
      <c r="AD1063" s="529"/>
      <c r="AE1063" s="530"/>
      <c r="AF1063" s="529"/>
      <c r="AG1063" s="529"/>
      <c r="AH1063" s="529"/>
      <c r="AI1063" s="75"/>
    </row>
    <row r="1064" spans="3:35" s="74" customFormat="1" x14ac:dyDescent="0.25">
      <c r="C1064" s="527"/>
      <c r="H1064" s="527"/>
      <c r="N1064" s="55"/>
      <c r="P1064" s="527"/>
      <c r="Q1064" s="529"/>
      <c r="R1064" s="529"/>
      <c r="S1064" s="529"/>
      <c r="T1064" s="529"/>
      <c r="U1064" s="529"/>
      <c r="V1064" s="529"/>
      <c r="W1064" s="529"/>
      <c r="X1064" s="529"/>
      <c r="Y1064" s="529"/>
      <c r="Z1064" s="529"/>
      <c r="AA1064" s="529"/>
      <c r="AB1064" s="529"/>
      <c r="AC1064" s="529"/>
      <c r="AD1064" s="529"/>
      <c r="AE1064" s="530"/>
      <c r="AF1064" s="529"/>
      <c r="AG1064" s="529"/>
      <c r="AH1064" s="529"/>
      <c r="AI1064" s="75"/>
    </row>
    <row r="1065" spans="3:35" s="74" customFormat="1" x14ac:dyDescent="0.25">
      <c r="C1065" s="527"/>
      <c r="H1065" s="527"/>
      <c r="N1065" s="55"/>
      <c r="P1065" s="527"/>
      <c r="Q1065" s="529"/>
      <c r="R1065" s="529"/>
      <c r="S1065" s="529"/>
      <c r="T1065" s="529"/>
      <c r="U1065" s="529"/>
      <c r="V1065" s="529"/>
      <c r="W1065" s="529"/>
      <c r="X1065" s="529"/>
      <c r="Y1065" s="529"/>
      <c r="Z1065" s="529"/>
      <c r="AA1065" s="529"/>
      <c r="AB1065" s="529"/>
      <c r="AC1065" s="529"/>
      <c r="AD1065" s="529"/>
      <c r="AE1065" s="530"/>
      <c r="AF1065" s="529"/>
      <c r="AG1065" s="529"/>
      <c r="AH1065" s="529"/>
      <c r="AI1065" s="75"/>
    </row>
    <row r="1066" spans="3:35" s="74" customFormat="1" x14ac:dyDescent="0.25">
      <c r="C1066" s="527"/>
      <c r="H1066" s="527"/>
      <c r="N1066" s="55"/>
      <c r="P1066" s="527"/>
      <c r="Q1066" s="529"/>
      <c r="R1066" s="529"/>
      <c r="S1066" s="529"/>
      <c r="T1066" s="529"/>
      <c r="U1066" s="529"/>
      <c r="V1066" s="529"/>
      <c r="W1066" s="529"/>
      <c r="X1066" s="529"/>
      <c r="Y1066" s="529"/>
      <c r="Z1066" s="529"/>
      <c r="AA1066" s="529"/>
      <c r="AB1066" s="529"/>
      <c r="AC1066" s="529"/>
      <c r="AD1066" s="529"/>
      <c r="AE1066" s="530"/>
      <c r="AF1066" s="529"/>
      <c r="AG1066" s="529"/>
      <c r="AH1066" s="529"/>
      <c r="AI1066" s="75"/>
    </row>
    <row r="1067" spans="3:35" s="74" customFormat="1" x14ac:dyDescent="0.25">
      <c r="C1067" s="527"/>
      <c r="H1067" s="527"/>
      <c r="N1067" s="55"/>
      <c r="P1067" s="527"/>
      <c r="Q1067" s="529"/>
      <c r="R1067" s="529"/>
      <c r="S1067" s="529"/>
      <c r="T1067" s="529"/>
      <c r="U1067" s="529"/>
      <c r="V1067" s="529"/>
      <c r="W1067" s="529"/>
      <c r="X1067" s="529"/>
      <c r="Y1067" s="529"/>
      <c r="Z1067" s="529"/>
      <c r="AA1067" s="529"/>
      <c r="AB1067" s="529"/>
      <c r="AC1067" s="529"/>
      <c r="AD1067" s="529"/>
      <c r="AE1067" s="530"/>
      <c r="AF1067" s="529"/>
      <c r="AG1067" s="529"/>
      <c r="AH1067" s="529"/>
      <c r="AI1067" s="75"/>
    </row>
    <row r="1068" spans="3:35" s="74" customFormat="1" x14ac:dyDescent="0.25">
      <c r="C1068" s="527"/>
      <c r="H1068" s="527"/>
      <c r="N1068" s="55"/>
      <c r="P1068" s="527"/>
      <c r="Q1068" s="529"/>
      <c r="R1068" s="529"/>
      <c r="S1068" s="529"/>
      <c r="T1068" s="529"/>
      <c r="U1068" s="529"/>
      <c r="V1068" s="529"/>
      <c r="W1068" s="529"/>
      <c r="X1068" s="529"/>
      <c r="Y1068" s="529"/>
      <c r="Z1068" s="529"/>
      <c r="AA1068" s="529"/>
      <c r="AB1068" s="529"/>
      <c r="AC1068" s="529"/>
      <c r="AD1068" s="529"/>
      <c r="AE1068" s="530"/>
      <c r="AF1068" s="529"/>
      <c r="AG1068" s="529"/>
      <c r="AH1068" s="529"/>
      <c r="AI1068" s="75"/>
    </row>
    <row r="1069" spans="3:35" s="74" customFormat="1" x14ac:dyDescent="0.25">
      <c r="C1069" s="527"/>
      <c r="H1069" s="527"/>
      <c r="N1069" s="55"/>
      <c r="P1069" s="527"/>
      <c r="Q1069" s="529"/>
      <c r="R1069" s="529"/>
      <c r="S1069" s="529"/>
      <c r="T1069" s="529"/>
      <c r="U1069" s="529"/>
      <c r="V1069" s="529"/>
      <c r="W1069" s="529"/>
      <c r="X1069" s="529"/>
      <c r="Y1069" s="529"/>
      <c r="Z1069" s="529"/>
      <c r="AA1069" s="529"/>
      <c r="AB1069" s="529"/>
      <c r="AC1069" s="529"/>
      <c r="AD1069" s="529"/>
      <c r="AE1069" s="530"/>
      <c r="AF1069" s="529"/>
      <c r="AG1069" s="529"/>
      <c r="AH1069" s="529"/>
      <c r="AI1069" s="75"/>
    </row>
    <row r="1070" spans="3:35" s="74" customFormat="1" x14ac:dyDescent="0.25">
      <c r="C1070" s="527"/>
      <c r="H1070" s="527"/>
      <c r="N1070" s="55"/>
      <c r="P1070" s="527"/>
      <c r="Q1070" s="529"/>
      <c r="R1070" s="529"/>
      <c r="S1070" s="529"/>
      <c r="T1070" s="529"/>
      <c r="U1070" s="529"/>
      <c r="V1070" s="529"/>
      <c r="W1070" s="529"/>
      <c r="X1070" s="529"/>
      <c r="Y1070" s="529"/>
      <c r="Z1070" s="529"/>
      <c r="AA1070" s="529"/>
      <c r="AB1070" s="529"/>
      <c r="AC1070" s="529"/>
      <c r="AD1070" s="529"/>
      <c r="AE1070" s="530"/>
      <c r="AF1070" s="529"/>
      <c r="AG1070" s="529"/>
      <c r="AH1070" s="529"/>
      <c r="AI1070" s="75"/>
    </row>
    <row r="1071" spans="3:35" s="74" customFormat="1" x14ac:dyDescent="0.25">
      <c r="C1071" s="527"/>
      <c r="H1071" s="527"/>
      <c r="N1071" s="55"/>
      <c r="P1071" s="527"/>
      <c r="Q1071" s="529"/>
      <c r="R1071" s="529"/>
      <c r="S1071" s="529"/>
      <c r="T1071" s="529"/>
      <c r="U1071" s="529"/>
      <c r="V1071" s="529"/>
      <c r="W1071" s="529"/>
      <c r="X1071" s="529"/>
      <c r="Y1071" s="529"/>
      <c r="Z1071" s="529"/>
      <c r="AA1071" s="529"/>
      <c r="AB1071" s="529"/>
      <c r="AC1071" s="529"/>
      <c r="AD1071" s="529"/>
      <c r="AE1071" s="530"/>
      <c r="AF1071" s="529"/>
      <c r="AG1071" s="529"/>
      <c r="AH1071" s="529"/>
      <c r="AI1071" s="75"/>
    </row>
    <row r="1072" spans="3:35" s="74" customFormat="1" x14ac:dyDescent="0.25">
      <c r="C1072" s="527"/>
      <c r="H1072" s="527"/>
      <c r="N1072" s="55"/>
      <c r="P1072" s="527"/>
      <c r="Q1072" s="529"/>
      <c r="R1072" s="529"/>
      <c r="S1072" s="529"/>
      <c r="T1072" s="529"/>
      <c r="U1072" s="529"/>
      <c r="V1072" s="529"/>
      <c r="W1072" s="529"/>
      <c r="X1072" s="529"/>
      <c r="Y1072" s="529"/>
      <c r="Z1072" s="529"/>
      <c r="AA1072" s="529"/>
      <c r="AB1072" s="529"/>
      <c r="AC1072" s="529"/>
      <c r="AD1072" s="529"/>
      <c r="AE1072" s="530"/>
      <c r="AF1072" s="529"/>
      <c r="AG1072" s="529"/>
      <c r="AH1072" s="529"/>
      <c r="AI1072" s="75"/>
    </row>
    <row r="1073" spans="3:35" s="74" customFormat="1" x14ac:dyDescent="0.25">
      <c r="C1073" s="527"/>
      <c r="H1073" s="527"/>
      <c r="N1073" s="55"/>
      <c r="P1073" s="527"/>
      <c r="Q1073" s="529"/>
      <c r="R1073" s="529"/>
      <c r="S1073" s="529"/>
      <c r="T1073" s="529"/>
      <c r="U1073" s="529"/>
      <c r="V1073" s="529"/>
      <c r="W1073" s="529"/>
      <c r="X1073" s="529"/>
      <c r="Y1073" s="529"/>
      <c r="Z1073" s="529"/>
      <c r="AA1073" s="529"/>
      <c r="AB1073" s="529"/>
      <c r="AC1073" s="529"/>
      <c r="AD1073" s="529"/>
      <c r="AE1073" s="530"/>
      <c r="AF1073" s="529"/>
      <c r="AG1073" s="529"/>
      <c r="AH1073" s="529"/>
      <c r="AI1073" s="75"/>
    </row>
    <row r="1074" spans="3:35" s="74" customFormat="1" x14ac:dyDescent="0.25">
      <c r="C1074" s="527"/>
      <c r="H1074" s="527"/>
      <c r="N1074" s="55"/>
      <c r="P1074" s="527"/>
      <c r="Q1074" s="529"/>
      <c r="R1074" s="529"/>
      <c r="S1074" s="529"/>
      <c r="T1074" s="529"/>
      <c r="U1074" s="529"/>
      <c r="V1074" s="529"/>
      <c r="W1074" s="529"/>
      <c r="X1074" s="529"/>
      <c r="Y1074" s="529"/>
      <c r="Z1074" s="529"/>
      <c r="AA1074" s="529"/>
      <c r="AB1074" s="529"/>
      <c r="AC1074" s="529"/>
      <c r="AD1074" s="529"/>
      <c r="AE1074" s="530"/>
      <c r="AF1074" s="529"/>
      <c r="AG1074" s="529"/>
      <c r="AH1074" s="529"/>
      <c r="AI1074" s="75"/>
    </row>
    <row r="1075" spans="3:35" s="74" customFormat="1" x14ac:dyDescent="0.25">
      <c r="C1075" s="527"/>
      <c r="H1075" s="527"/>
      <c r="N1075" s="55"/>
      <c r="P1075" s="527"/>
      <c r="Q1075" s="529"/>
      <c r="R1075" s="529"/>
      <c r="S1075" s="529"/>
      <c r="T1075" s="529"/>
      <c r="U1075" s="529"/>
      <c r="V1075" s="529"/>
      <c r="W1075" s="529"/>
      <c r="X1075" s="529"/>
      <c r="Y1075" s="529"/>
      <c r="Z1075" s="529"/>
      <c r="AA1075" s="529"/>
      <c r="AB1075" s="529"/>
      <c r="AC1075" s="529"/>
      <c r="AD1075" s="529"/>
      <c r="AE1075" s="530"/>
      <c r="AF1075" s="529"/>
      <c r="AG1075" s="529"/>
      <c r="AH1075" s="529"/>
      <c r="AI1075" s="75"/>
    </row>
    <row r="1076" spans="3:35" s="74" customFormat="1" x14ac:dyDescent="0.25">
      <c r="C1076" s="527"/>
      <c r="H1076" s="527"/>
      <c r="N1076" s="55"/>
      <c r="P1076" s="527"/>
      <c r="Q1076" s="529"/>
      <c r="R1076" s="529"/>
      <c r="S1076" s="529"/>
      <c r="T1076" s="529"/>
      <c r="U1076" s="529"/>
      <c r="V1076" s="529"/>
      <c r="W1076" s="529"/>
      <c r="X1076" s="529"/>
      <c r="Y1076" s="529"/>
      <c r="Z1076" s="529"/>
      <c r="AA1076" s="529"/>
      <c r="AB1076" s="529"/>
      <c r="AC1076" s="529"/>
      <c r="AD1076" s="529"/>
      <c r="AE1076" s="530"/>
      <c r="AF1076" s="529"/>
      <c r="AG1076" s="529"/>
      <c r="AH1076" s="529"/>
      <c r="AI1076" s="75"/>
    </row>
    <row r="1077" spans="3:35" s="74" customFormat="1" x14ac:dyDescent="0.25">
      <c r="C1077" s="527"/>
      <c r="H1077" s="527"/>
      <c r="N1077" s="55"/>
      <c r="P1077" s="527"/>
      <c r="Q1077" s="529"/>
      <c r="R1077" s="529"/>
      <c r="S1077" s="529"/>
      <c r="T1077" s="529"/>
      <c r="U1077" s="529"/>
      <c r="V1077" s="529"/>
      <c r="W1077" s="529"/>
      <c r="X1077" s="529"/>
      <c r="Y1077" s="529"/>
      <c r="Z1077" s="529"/>
      <c r="AA1077" s="529"/>
      <c r="AB1077" s="529"/>
      <c r="AC1077" s="529"/>
      <c r="AD1077" s="529"/>
      <c r="AE1077" s="530"/>
      <c r="AF1077" s="529"/>
      <c r="AG1077" s="529"/>
      <c r="AH1077" s="529"/>
      <c r="AI1077" s="75"/>
    </row>
    <row r="1078" spans="3:35" s="74" customFormat="1" x14ac:dyDescent="0.25">
      <c r="C1078" s="527"/>
      <c r="H1078" s="527"/>
      <c r="N1078" s="55"/>
      <c r="P1078" s="527"/>
      <c r="Q1078" s="529"/>
      <c r="R1078" s="529"/>
      <c r="S1078" s="529"/>
      <c r="T1078" s="529"/>
      <c r="U1078" s="529"/>
      <c r="V1078" s="529"/>
      <c r="W1078" s="529"/>
      <c r="X1078" s="529"/>
      <c r="Y1078" s="529"/>
      <c r="Z1078" s="529"/>
      <c r="AA1078" s="529"/>
      <c r="AB1078" s="529"/>
      <c r="AC1078" s="529"/>
      <c r="AD1078" s="529"/>
      <c r="AE1078" s="530"/>
      <c r="AF1078" s="529"/>
      <c r="AG1078" s="529"/>
      <c r="AH1078" s="529"/>
      <c r="AI1078" s="75"/>
    </row>
    <row r="1079" spans="3:35" s="74" customFormat="1" x14ac:dyDescent="0.25">
      <c r="C1079" s="527"/>
      <c r="H1079" s="527"/>
      <c r="N1079" s="55"/>
      <c r="P1079" s="527"/>
      <c r="Q1079" s="529"/>
      <c r="R1079" s="529"/>
      <c r="S1079" s="529"/>
      <c r="T1079" s="529"/>
      <c r="U1079" s="529"/>
      <c r="V1079" s="529"/>
      <c r="W1079" s="529"/>
      <c r="X1079" s="529"/>
      <c r="Y1079" s="529"/>
      <c r="Z1079" s="529"/>
      <c r="AA1079" s="529"/>
      <c r="AB1079" s="529"/>
      <c r="AC1079" s="529"/>
      <c r="AD1079" s="529"/>
      <c r="AE1079" s="530"/>
      <c r="AF1079" s="529"/>
      <c r="AG1079" s="529"/>
      <c r="AH1079" s="529"/>
      <c r="AI1079" s="75"/>
    </row>
    <row r="1080" spans="3:35" s="74" customFormat="1" x14ac:dyDescent="0.25">
      <c r="C1080" s="527"/>
      <c r="H1080" s="527"/>
      <c r="N1080" s="55"/>
      <c r="P1080" s="527"/>
      <c r="Q1080" s="529"/>
      <c r="R1080" s="529"/>
      <c r="S1080" s="529"/>
      <c r="T1080" s="529"/>
      <c r="U1080" s="529"/>
      <c r="V1080" s="529"/>
      <c r="W1080" s="529"/>
      <c r="X1080" s="529"/>
      <c r="Y1080" s="529"/>
      <c r="Z1080" s="529"/>
      <c r="AA1080" s="529"/>
      <c r="AB1080" s="529"/>
      <c r="AC1080" s="529"/>
      <c r="AD1080" s="529"/>
      <c r="AE1080" s="530"/>
      <c r="AF1080" s="529"/>
      <c r="AG1080" s="529"/>
      <c r="AH1080" s="529"/>
      <c r="AI1080" s="75"/>
    </row>
    <row r="1081" spans="3:35" s="74" customFormat="1" x14ac:dyDescent="0.25">
      <c r="C1081" s="527"/>
      <c r="H1081" s="527"/>
      <c r="N1081" s="55"/>
      <c r="P1081" s="527"/>
      <c r="Q1081" s="529"/>
      <c r="R1081" s="529"/>
      <c r="S1081" s="529"/>
      <c r="T1081" s="529"/>
      <c r="U1081" s="529"/>
      <c r="V1081" s="529"/>
      <c r="W1081" s="529"/>
      <c r="X1081" s="529"/>
      <c r="Y1081" s="529"/>
      <c r="Z1081" s="529"/>
      <c r="AA1081" s="529"/>
      <c r="AB1081" s="529"/>
      <c r="AC1081" s="529"/>
      <c r="AD1081" s="529"/>
      <c r="AE1081" s="530"/>
      <c r="AF1081" s="529"/>
      <c r="AG1081" s="529"/>
      <c r="AH1081" s="529"/>
      <c r="AI1081" s="75"/>
    </row>
    <row r="1082" spans="3:35" s="74" customFormat="1" x14ac:dyDescent="0.25">
      <c r="C1082" s="527"/>
      <c r="H1082" s="527"/>
      <c r="N1082" s="55"/>
      <c r="P1082" s="527"/>
      <c r="Q1082" s="529"/>
      <c r="R1082" s="529"/>
      <c r="S1082" s="529"/>
      <c r="T1082" s="529"/>
      <c r="U1082" s="529"/>
      <c r="V1082" s="529"/>
      <c r="W1082" s="529"/>
      <c r="X1082" s="529"/>
      <c r="Y1082" s="529"/>
      <c r="Z1082" s="529"/>
      <c r="AA1082" s="529"/>
      <c r="AB1082" s="529"/>
      <c r="AC1082" s="529"/>
      <c r="AD1082" s="529"/>
      <c r="AE1082" s="530"/>
      <c r="AF1082" s="529"/>
      <c r="AG1082" s="529"/>
      <c r="AH1082" s="529"/>
      <c r="AI1082" s="75"/>
    </row>
    <row r="1083" spans="3:35" s="74" customFormat="1" x14ac:dyDescent="0.25">
      <c r="C1083" s="527"/>
      <c r="H1083" s="527"/>
      <c r="N1083" s="55"/>
      <c r="P1083" s="527"/>
      <c r="Q1083" s="529"/>
      <c r="R1083" s="529"/>
      <c r="S1083" s="529"/>
      <c r="T1083" s="529"/>
      <c r="U1083" s="529"/>
      <c r="V1083" s="529"/>
      <c r="W1083" s="529"/>
      <c r="X1083" s="529"/>
      <c r="Y1083" s="529"/>
      <c r="Z1083" s="529"/>
      <c r="AA1083" s="529"/>
      <c r="AB1083" s="529"/>
      <c r="AC1083" s="529"/>
      <c r="AD1083" s="529"/>
      <c r="AE1083" s="530"/>
      <c r="AF1083" s="529"/>
      <c r="AG1083" s="529"/>
      <c r="AH1083" s="529"/>
      <c r="AI1083" s="75"/>
    </row>
    <row r="1084" spans="3:35" s="74" customFormat="1" x14ac:dyDescent="0.25">
      <c r="C1084" s="527"/>
      <c r="H1084" s="527"/>
      <c r="N1084" s="55"/>
      <c r="P1084" s="527"/>
      <c r="Q1084" s="529"/>
      <c r="R1084" s="529"/>
      <c r="S1084" s="529"/>
      <c r="T1084" s="529"/>
      <c r="U1084" s="529"/>
      <c r="V1084" s="529"/>
      <c r="W1084" s="529"/>
      <c r="X1084" s="529"/>
      <c r="Y1084" s="529"/>
      <c r="Z1084" s="529"/>
      <c r="AA1084" s="529"/>
      <c r="AB1084" s="529"/>
      <c r="AC1084" s="529"/>
      <c r="AD1084" s="529"/>
      <c r="AE1084" s="530"/>
      <c r="AF1084" s="529"/>
      <c r="AG1084" s="529"/>
      <c r="AH1084" s="529"/>
      <c r="AI1084" s="75"/>
    </row>
    <row r="1085" spans="3:35" s="74" customFormat="1" x14ac:dyDescent="0.25">
      <c r="C1085" s="527"/>
      <c r="H1085" s="527"/>
      <c r="N1085" s="55"/>
      <c r="P1085" s="527"/>
      <c r="Q1085" s="529"/>
      <c r="R1085" s="529"/>
      <c r="S1085" s="529"/>
      <c r="T1085" s="529"/>
      <c r="U1085" s="529"/>
      <c r="V1085" s="529"/>
      <c r="W1085" s="529"/>
      <c r="X1085" s="529"/>
      <c r="Y1085" s="529"/>
      <c r="Z1085" s="529"/>
      <c r="AA1085" s="529"/>
      <c r="AB1085" s="529"/>
      <c r="AC1085" s="529"/>
      <c r="AD1085" s="529"/>
      <c r="AE1085" s="530"/>
      <c r="AF1085" s="529"/>
      <c r="AG1085" s="529"/>
      <c r="AH1085" s="529"/>
      <c r="AI1085" s="75"/>
    </row>
    <row r="1086" spans="3:35" s="74" customFormat="1" x14ac:dyDescent="0.25">
      <c r="C1086" s="527"/>
      <c r="H1086" s="527"/>
      <c r="N1086" s="55"/>
      <c r="P1086" s="527"/>
      <c r="Q1086" s="529"/>
      <c r="R1086" s="529"/>
      <c r="S1086" s="529"/>
      <c r="T1086" s="529"/>
      <c r="U1086" s="529"/>
      <c r="V1086" s="529"/>
      <c r="W1086" s="529"/>
      <c r="X1086" s="529"/>
      <c r="Y1086" s="529"/>
      <c r="Z1086" s="529"/>
      <c r="AA1086" s="529"/>
      <c r="AB1086" s="529"/>
      <c r="AC1086" s="529"/>
      <c r="AD1086" s="529"/>
      <c r="AE1086" s="530"/>
      <c r="AF1086" s="529"/>
      <c r="AG1086" s="529"/>
      <c r="AH1086" s="529"/>
      <c r="AI1086" s="75"/>
    </row>
    <row r="1087" spans="3:35" s="74" customFormat="1" x14ac:dyDescent="0.25">
      <c r="C1087" s="527"/>
      <c r="H1087" s="527"/>
      <c r="N1087" s="55"/>
      <c r="P1087" s="527"/>
      <c r="Q1087" s="529"/>
      <c r="R1087" s="529"/>
      <c r="S1087" s="529"/>
      <c r="T1087" s="529"/>
      <c r="U1087" s="529"/>
      <c r="V1087" s="529"/>
      <c r="W1087" s="529"/>
      <c r="X1087" s="529"/>
      <c r="Y1087" s="529"/>
      <c r="Z1087" s="529"/>
      <c r="AA1087" s="529"/>
      <c r="AB1087" s="529"/>
      <c r="AC1087" s="529"/>
      <c r="AD1087" s="529"/>
      <c r="AE1087" s="530"/>
      <c r="AF1087" s="529"/>
      <c r="AG1087" s="529"/>
      <c r="AH1087" s="529"/>
      <c r="AI1087" s="75"/>
    </row>
    <row r="1088" spans="3:35" s="74" customFormat="1" x14ac:dyDescent="0.25">
      <c r="C1088" s="527"/>
      <c r="H1088" s="527"/>
      <c r="N1088" s="55"/>
      <c r="P1088" s="527"/>
      <c r="Q1088" s="529"/>
      <c r="R1088" s="529"/>
      <c r="S1088" s="529"/>
      <c r="T1088" s="529"/>
      <c r="U1088" s="529"/>
      <c r="V1088" s="529"/>
      <c r="W1088" s="529"/>
      <c r="X1088" s="529"/>
      <c r="Y1088" s="529"/>
      <c r="Z1088" s="529"/>
      <c r="AA1088" s="529"/>
      <c r="AB1088" s="529"/>
      <c r="AC1088" s="529"/>
      <c r="AD1088" s="529"/>
      <c r="AE1088" s="530"/>
      <c r="AF1088" s="529"/>
      <c r="AG1088" s="529"/>
      <c r="AH1088" s="529"/>
      <c r="AI1088" s="75"/>
    </row>
    <row r="1089" spans="3:35" s="74" customFormat="1" x14ac:dyDescent="0.25">
      <c r="C1089" s="527"/>
      <c r="H1089" s="527"/>
      <c r="N1089" s="55"/>
      <c r="P1089" s="527"/>
      <c r="Q1089" s="529"/>
      <c r="R1089" s="529"/>
      <c r="S1089" s="529"/>
      <c r="T1089" s="529"/>
      <c r="U1089" s="529"/>
      <c r="V1089" s="529"/>
      <c r="W1089" s="529"/>
      <c r="X1089" s="529"/>
      <c r="Y1089" s="529"/>
      <c r="Z1089" s="529"/>
      <c r="AA1089" s="529"/>
      <c r="AB1089" s="529"/>
      <c r="AC1089" s="529"/>
      <c r="AD1089" s="529"/>
      <c r="AE1089" s="530"/>
      <c r="AF1089" s="529"/>
      <c r="AG1089" s="529"/>
      <c r="AH1089" s="529"/>
      <c r="AI1089" s="75"/>
    </row>
    <row r="1090" spans="3:35" s="74" customFormat="1" x14ac:dyDescent="0.25">
      <c r="C1090" s="527"/>
      <c r="H1090" s="527"/>
      <c r="N1090" s="55"/>
      <c r="P1090" s="527"/>
      <c r="Q1090" s="529"/>
      <c r="R1090" s="529"/>
      <c r="S1090" s="529"/>
      <c r="T1090" s="529"/>
      <c r="U1090" s="529"/>
      <c r="V1090" s="529"/>
      <c r="W1090" s="529"/>
      <c r="X1090" s="529"/>
      <c r="Y1090" s="529"/>
      <c r="Z1090" s="529"/>
      <c r="AA1090" s="529"/>
      <c r="AB1090" s="529"/>
      <c r="AC1090" s="529"/>
      <c r="AD1090" s="529"/>
      <c r="AE1090" s="530"/>
      <c r="AF1090" s="529"/>
      <c r="AG1090" s="529"/>
      <c r="AH1090" s="529"/>
      <c r="AI1090" s="75"/>
    </row>
    <row r="1091" spans="3:35" s="74" customFormat="1" x14ac:dyDescent="0.25">
      <c r="C1091" s="527"/>
      <c r="H1091" s="527"/>
      <c r="N1091" s="55"/>
      <c r="P1091" s="527"/>
      <c r="Q1091" s="529"/>
      <c r="R1091" s="529"/>
      <c r="S1091" s="529"/>
      <c r="T1091" s="529"/>
      <c r="U1091" s="529"/>
      <c r="V1091" s="529"/>
      <c r="W1091" s="529"/>
      <c r="X1091" s="529"/>
      <c r="Y1091" s="529"/>
      <c r="Z1091" s="529"/>
      <c r="AA1091" s="529"/>
      <c r="AB1091" s="529"/>
      <c r="AC1091" s="529"/>
      <c r="AD1091" s="529"/>
      <c r="AE1091" s="530"/>
      <c r="AF1091" s="529"/>
      <c r="AG1091" s="529"/>
      <c r="AH1091" s="529"/>
      <c r="AI1091" s="75"/>
    </row>
    <row r="1092" spans="3:35" s="74" customFormat="1" x14ac:dyDescent="0.25">
      <c r="C1092" s="527"/>
      <c r="H1092" s="527"/>
      <c r="N1092" s="55"/>
      <c r="P1092" s="527"/>
      <c r="Q1092" s="529"/>
      <c r="R1092" s="529"/>
      <c r="S1092" s="529"/>
      <c r="T1092" s="529"/>
      <c r="U1092" s="529"/>
      <c r="V1092" s="529"/>
      <c r="W1092" s="529"/>
      <c r="X1092" s="529"/>
      <c r="Y1092" s="529"/>
      <c r="Z1092" s="529"/>
      <c r="AA1092" s="529"/>
      <c r="AB1092" s="529"/>
      <c r="AC1092" s="529"/>
      <c r="AD1092" s="529"/>
      <c r="AE1092" s="530"/>
      <c r="AF1092" s="529"/>
      <c r="AG1092" s="529"/>
      <c r="AH1092" s="529"/>
      <c r="AI1092" s="75"/>
    </row>
    <row r="1093" spans="3:35" s="74" customFormat="1" x14ac:dyDescent="0.25">
      <c r="C1093" s="527"/>
      <c r="H1093" s="527"/>
      <c r="N1093" s="55"/>
      <c r="P1093" s="527"/>
      <c r="Q1093" s="529"/>
      <c r="R1093" s="529"/>
      <c r="S1093" s="529"/>
      <c r="T1093" s="529"/>
      <c r="U1093" s="529"/>
      <c r="V1093" s="529"/>
      <c r="W1093" s="529"/>
      <c r="X1093" s="529"/>
      <c r="Y1093" s="529"/>
      <c r="Z1093" s="529"/>
      <c r="AA1093" s="529"/>
      <c r="AB1093" s="529"/>
      <c r="AC1093" s="529"/>
      <c r="AD1093" s="529"/>
      <c r="AE1093" s="530"/>
      <c r="AF1093" s="529"/>
      <c r="AG1093" s="529"/>
      <c r="AH1093" s="529"/>
      <c r="AI1093" s="75"/>
    </row>
    <row r="1094" spans="3:35" s="74" customFormat="1" x14ac:dyDescent="0.25">
      <c r="C1094" s="527"/>
      <c r="H1094" s="527"/>
      <c r="N1094" s="55"/>
      <c r="P1094" s="527"/>
      <c r="Q1094" s="529"/>
      <c r="R1094" s="529"/>
      <c r="S1094" s="529"/>
      <c r="T1094" s="529"/>
      <c r="U1094" s="529"/>
      <c r="V1094" s="529"/>
      <c r="W1094" s="529"/>
      <c r="X1094" s="529"/>
      <c r="Y1094" s="529"/>
      <c r="Z1094" s="529"/>
      <c r="AA1094" s="529"/>
      <c r="AB1094" s="529"/>
      <c r="AC1094" s="529"/>
      <c r="AD1094" s="529"/>
      <c r="AE1094" s="530"/>
      <c r="AF1094" s="529"/>
      <c r="AG1094" s="529"/>
      <c r="AH1094" s="529"/>
      <c r="AI1094" s="75"/>
    </row>
    <row r="1095" spans="3:35" s="74" customFormat="1" x14ac:dyDescent="0.25">
      <c r="C1095" s="527"/>
      <c r="H1095" s="527"/>
      <c r="N1095" s="55"/>
      <c r="P1095" s="527"/>
      <c r="Q1095" s="529"/>
      <c r="R1095" s="529"/>
      <c r="S1095" s="529"/>
      <c r="T1095" s="529"/>
      <c r="U1095" s="529"/>
      <c r="V1095" s="529"/>
      <c r="W1095" s="529"/>
      <c r="X1095" s="529"/>
      <c r="Y1095" s="529"/>
      <c r="Z1095" s="529"/>
      <c r="AA1095" s="529"/>
      <c r="AB1095" s="529"/>
      <c r="AC1095" s="529"/>
      <c r="AD1095" s="529"/>
      <c r="AE1095" s="530"/>
      <c r="AF1095" s="529"/>
      <c r="AG1095" s="529"/>
      <c r="AH1095" s="529"/>
      <c r="AI1095" s="75"/>
    </row>
    <row r="1096" spans="3:35" s="74" customFormat="1" x14ac:dyDescent="0.25">
      <c r="C1096" s="527"/>
      <c r="H1096" s="527"/>
      <c r="N1096" s="55"/>
      <c r="P1096" s="527"/>
      <c r="Q1096" s="529"/>
      <c r="R1096" s="529"/>
      <c r="S1096" s="529"/>
      <c r="T1096" s="529"/>
      <c r="U1096" s="529"/>
      <c r="V1096" s="529"/>
      <c r="W1096" s="529"/>
      <c r="X1096" s="529"/>
      <c r="Y1096" s="529"/>
      <c r="Z1096" s="529"/>
      <c r="AA1096" s="529"/>
      <c r="AB1096" s="529"/>
      <c r="AC1096" s="529"/>
      <c r="AD1096" s="529"/>
      <c r="AE1096" s="530"/>
      <c r="AF1096" s="529"/>
      <c r="AG1096" s="529"/>
      <c r="AH1096" s="529"/>
      <c r="AI1096" s="75"/>
    </row>
    <row r="1097" spans="3:35" s="74" customFormat="1" x14ac:dyDescent="0.25">
      <c r="C1097" s="527"/>
      <c r="H1097" s="527"/>
      <c r="N1097" s="55"/>
      <c r="P1097" s="527"/>
      <c r="Q1097" s="529"/>
      <c r="R1097" s="529"/>
      <c r="S1097" s="529"/>
      <c r="T1097" s="529"/>
      <c r="U1097" s="529"/>
      <c r="V1097" s="529"/>
      <c r="W1097" s="529"/>
      <c r="X1097" s="529"/>
      <c r="Y1097" s="529"/>
      <c r="Z1097" s="529"/>
      <c r="AA1097" s="529"/>
      <c r="AB1097" s="529"/>
      <c r="AC1097" s="529"/>
      <c r="AD1097" s="529"/>
      <c r="AE1097" s="530"/>
      <c r="AF1097" s="529"/>
      <c r="AG1097" s="529"/>
      <c r="AH1097" s="529"/>
      <c r="AI1097" s="75"/>
    </row>
    <row r="1098" spans="3:35" s="74" customFormat="1" x14ac:dyDescent="0.25">
      <c r="C1098" s="527"/>
      <c r="H1098" s="527"/>
      <c r="N1098" s="55"/>
      <c r="P1098" s="527"/>
      <c r="Q1098" s="529"/>
      <c r="R1098" s="529"/>
      <c r="S1098" s="529"/>
      <c r="T1098" s="529"/>
      <c r="U1098" s="529"/>
      <c r="V1098" s="529"/>
      <c r="W1098" s="529"/>
      <c r="X1098" s="529"/>
      <c r="Y1098" s="529"/>
      <c r="Z1098" s="529"/>
      <c r="AA1098" s="529"/>
      <c r="AB1098" s="529"/>
      <c r="AC1098" s="529"/>
      <c r="AD1098" s="529"/>
      <c r="AE1098" s="530"/>
      <c r="AF1098" s="529"/>
      <c r="AG1098" s="529"/>
      <c r="AH1098" s="529"/>
      <c r="AI1098" s="75"/>
    </row>
    <row r="1099" spans="3:35" s="74" customFormat="1" x14ac:dyDescent="0.25">
      <c r="C1099" s="527"/>
      <c r="H1099" s="527"/>
      <c r="N1099" s="55"/>
      <c r="P1099" s="527"/>
      <c r="Q1099" s="529"/>
      <c r="R1099" s="529"/>
      <c r="S1099" s="529"/>
      <c r="T1099" s="529"/>
      <c r="U1099" s="529"/>
      <c r="V1099" s="529"/>
      <c r="W1099" s="529"/>
      <c r="X1099" s="529"/>
      <c r="Y1099" s="529"/>
      <c r="Z1099" s="529"/>
      <c r="AA1099" s="529"/>
      <c r="AB1099" s="529"/>
      <c r="AC1099" s="529"/>
      <c r="AD1099" s="529"/>
      <c r="AE1099" s="530"/>
      <c r="AF1099" s="529"/>
      <c r="AG1099" s="529"/>
      <c r="AH1099" s="529"/>
      <c r="AI1099" s="75"/>
    </row>
    <row r="1100" spans="3:35" s="74" customFormat="1" x14ac:dyDescent="0.25">
      <c r="C1100" s="527"/>
      <c r="H1100" s="527"/>
      <c r="N1100" s="55"/>
      <c r="P1100" s="527"/>
      <c r="Q1100" s="529"/>
      <c r="R1100" s="529"/>
      <c r="S1100" s="529"/>
      <c r="T1100" s="529"/>
      <c r="U1100" s="529"/>
      <c r="V1100" s="529"/>
      <c r="W1100" s="529"/>
      <c r="X1100" s="529"/>
      <c r="Y1100" s="529"/>
      <c r="Z1100" s="529"/>
      <c r="AA1100" s="529"/>
      <c r="AB1100" s="529"/>
      <c r="AC1100" s="529"/>
      <c r="AD1100" s="529"/>
      <c r="AE1100" s="530"/>
      <c r="AF1100" s="529"/>
      <c r="AG1100" s="529"/>
      <c r="AH1100" s="529"/>
      <c r="AI1100" s="75"/>
    </row>
    <row r="1101" spans="3:35" s="74" customFormat="1" x14ac:dyDescent="0.25">
      <c r="C1101" s="527"/>
      <c r="H1101" s="527"/>
      <c r="N1101" s="55"/>
      <c r="P1101" s="527"/>
      <c r="Q1101" s="529"/>
      <c r="R1101" s="529"/>
      <c r="S1101" s="529"/>
      <c r="T1101" s="529"/>
      <c r="U1101" s="529"/>
      <c r="V1101" s="529"/>
      <c r="W1101" s="529"/>
      <c r="X1101" s="529"/>
      <c r="Y1101" s="529"/>
      <c r="Z1101" s="529"/>
      <c r="AA1101" s="529"/>
      <c r="AB1101" s="529"/>
      <c r="AC1101" s="529"/>
      <c r="AD1101" s="529"/>
      <c r="AE1101" s="530"/>
      <c r="AF1101" s="529"/>
      <c r="AG1101" s="529"/>
      <c r="AH1101" s="529"/>
      <c r="AI1101" s="75"/>
    </row>
    <row r="1102" spans="3:35" s="74" customFormat="1" x14ac:dyDescent="0.25">
      <c r="C1102" s="527"/>
      <c r="H1102" s="527"/>
      <c r="N1102" s="55"/>
      <c r="P1102" s="527"/>
      <c r="Q1102" s="529"/>
      <c r="R1102" s="529"/>
      <c r="S1102" s="529"/>
      <c r="T1102" s="529"/>
      <c r="U1102" s="529"/>
      <c r="V1102" s="529"/>
      <c r="W1102" s="529"/>
      <c r="X1102" s="529"/>
      <c r="Y1102" s="529"/>
      <c r="Z1102" s="529"/>
      <c r="AA1102" s="529"/>
      <c r="AB1102" s="529"/>
      <c r="AC1102" s="529"/>
      <c r="AD1102" s="529"/>
      <c r="AE1102" s="530"/>
      <c r="AF1102" s="529"/>
      <c r="AG1102" s="529"/>
      <c r="AH1102" s="529"/>
      <c r="AI1102" s="75"/>
    </row>
    <row r="1103" spans="3:35" s="74" customFormat="1" x14ac:dyDescent="0.25">
      <c r="C1103" s="527"/>
      <c r="H1103" s="527"/>
      <c r="N1103" s="55"/>
      <c r="P1103" s="527"/>
      <c r="Q1103" s="529"/>
      <c r="R1103" s="529"/>
      <c r="S1103" s="529"/>
      <c r="T1103" s="529"/>
      <c r="U1103" s="529"/>
      <c r="V1103" s="529"/>
      <c r="W1103" s="529"/>
      <c r="X1103" s="529"/>
      <c r="Y1103" s="529"/>
      <c r="Z1103" s="529"/>
      <c r="AA1103" s="529"/>
      <c r="AB1103" s="529"/>
      <c r="AC1103" s="529"/>
      <c r="AD1103" s="529"/>
      <c r="AE1103" s="530"/>
      <c r="AF1103" s="529"/>
      <c r="AG1103" s="529"/>
      <c r="AH1103" s="529"/>
      <c r="AI1103" s="75"/>
    </row>
    <row r="1104" spans="3:35" s="74" customFormat="1" x14ac:dyDescent="0.25">
      <c r="C1104" s="527"/>
      <c r="H1104" s="527"/>
      <c r="N1104" s="55"/>
      <c r="P1104" s="527"/>
      <c r="Q1104" s="529"/>
      <c r="R1104" s="529"/>
      <c r="S1104" s="529"/>
      <c r="T1104" s="529"/>
      <c r="U1104" s="529"/>
      <c r="V1104" s="529"/>
      <c r="W1104" s="529"/>
      <c r="X1104" s="529"/>
      <c r="Y1104" s="529"/>
      <c r="Z1104" s="529"/>
      <c r="AA1104" s="529"/>
      <c r="AB1104" s="529"/>
      <c r="AC1104" s="529"/>
      <c r="AD1104" s="529"/>
      <c r="AE1104" s="530"/>
      <c r="AF1104" s="529"/>
      <c r="AG1104" s="529"/>
      <c r="AH1104" s="529"/>
      <c r="AI1104" s="75"/>
    </row>
    <row r="1105" spans="3:35" s="74" customFormat="1" x14ac:dyDescent="0.25">
      <c r="C1105" s="527"/>
      <c r="H1105" s="527"/>
      <c r="N1105" s="55"/>
      <c r="P1105" s="527"/>
      <c r="Q1105" s="529"/>
      <c r="R1105" s="529"/>
      <c r="S1105" s="529"/>
      <c r="T1105" s="529"/>
      <c r="U1105" s="529"/>
      <c r="V1105" s="529"/>
      <c r="W1105" s="529"/>
      <c r="X1105" s="529"/>
      <c r="Y1105" s="529"/>
      <c r="Z1105" s="529"/>
      <c r="AA1105" s="529"/>
      <c r="AB1105" s="529"/>
      <c r="AC1105" s="529"/>
      <c r="AD1105" s="529"/>
      <c r="AE1105" s="530"/>
      <c r="AF1105" s="529"/>
      <c r="AG1105" s="529"/>
      <c r="AH1105" s="529"/>
      <c r="AI1105" s="75"/>
    </row>
    <row r="1106" spans="3:35" s="74" customFormat="1" x14ac:dyDescent="0.25">
      <c r="C1106" s="527"/>
      <c r="H1106" s="527"/>
      <c r="N1106" s="55"/>
      <c r="P1106" s="527"/>
      <c r="Q1106" s="529"/>
      <c r="R1106" s="529"/>
      <c r="S1106" s="529"/>
      <c r="T1106" s="529"/>
      <c r="U1106" s="529"/>
      <c r="V1106" s="529"/>
      <c r="W1106" s="529"/>
      <c r="X1106" s="529"/>
      <c r="Y1106" s="529"/>
      <c r="Z1106" s="529"/>
      <c r="AA1106" s="529"/>
      <c r="AB1106" s="529"/>
      <c r="AC1106" s="529"/>
      <c r="AD1106" s="529"/>
      <c r="AE1106" s="530"/>
      <c r="AF1106" s="529"/>
      <c r="AG1106" s="529"/>
      <c r="AH1106" s="529"/>
      <c r="AI1106" s="75"/>
    </row>
    <row r="1107" spans="3:35" s="74" customFormat="1" x14ac:dyDescent="0.25">
      <c r="C1107" s="527"/>
      <c r="H1107" s="527"/>
      <c r="N1107" s="55"/>
      <c r="P1107" s="527"/>
      <c r="Q1107" s="529"/>
      <c r="R1107" s="529"/>
      <c r="S1107" s="529"/>
      <c r="T1107" s="529"/>
      <c r="U1107" s="529"/>
      <c r="V1107" s="529"/>
      <c r="W1107" s="529"/>
      <c r="X1107" s="529"/>
      <c r="Y1107" s="529"/>
      <c r="Z1107" s="529"/>
      <c r="AA1107" s="529"/>
      <c r="AB1107" s="529"/>
      <c r="AC1107" s="529"/>
      <c r="AD1107" s="529"/>
      <c r="AE1107" s="530"/>
      <c r="AF1107" s="529"/>
      <c r="AG1107" s="529"/>
      <c r="AH1107" s="529"/>
      <c r="AI1107" s="75"/>
    </row>
    <row r="1108" spans="3:35" s="74" customFormat="1" x14ac:dyDescent="0.25">
      <c r="C1108" s="527"/>
      <c r="H1108" s="527"/>
      <c r="N1108" s="55"/>
      <c r="P1108" s="527"/>
      <c r="Q1108" s="529"/>
      <c r="R1108" s="529"/>
      <c r="S1108" s="529"/>
      <c r="T1108" s="529"/>
      <c r="U1108" s="529"/>
      <c r="V1108" s="529"/>
      <c r="W1108" s="529"/>
      <c r="X1108" s="529"/>
      <c r="Y1108" s="529"/>
      <c r="Z1108" s="529"/>
      <c r="AA1108" s="529"/>
      <c r="AB1108" s="529"/>
      <c r="AC1108" s="529"/>
      <c r="AD1108" s="529"/>
      <c r="AE1108" s="530"/>
      <c r="AF1108" s="529"/>
      <c r="AG1108" s="529"/>
      <c r="AH1108" s="529"/>
      <c r="AI1108" s="75"/>
    </row>
    <row r="1109" spans="3:35" s="74" customFormat="1" x14ac:dyDescent="0.25">
      <c r="C1109" s="527"/>
      <c r="H1109" s="527"/>
      <c r="N1109" s="55"/>
      <c r="P1109" s="527"/>
      <c r="Q1109" s="529"/>
      <c r="R1109" s="529"/>
      <c r="S1109" s="529"/>
      <c r="T1109" s="529"/>
      <c r="U1109" s="529"/>
      <c r="V1109" s="529"/>
      <c r="W1109" s="529"/>
      <c r="X1109" s="529"/>
      <c r="Y1109" s="529"/>
      <c r="Z1109" s="529"/>
      <c r="AA1109" s="529"/>
      <c r="AB1109" s="529"/>
      <c r="AC1109" s="529"/>
      <c r="AD1109" s="529"/>
      <c r="AE1109" s="530"/>
      <c r="AF1109" s="529"/>
      <c r="AG1109" s="529"/>
      <c r="AH1109" s="529"/>
      <c r="AI1109" s="75"/>
    </row>
    <row r="1110" spans="3:35" s="74" customFormat="1" x14ac:dyDescent="0.25">
      <c r="C1110" s="527"/>
      <c r="H1110" s="527"/>
      <c r="N1110" s="55"/>
      <c r="P1110" s="527"/>
      <c r="Q1110" s="529"/>
      <c r="R1110" s="529"/>
      <c r="S1110" s="529"/>
      <c r="T1110" s="529"/>
      <c r="U1110" s="529"/>
      <c r="V1110" s="529"/>
      <c r="W1110" s="529"/>
      <c r="X1110" s="529"/>
      <c r="Y1110" s="529"/>
      <c r="Z1110" s="529"/>
      <c r="AA1110" s="529"/>
      <c r="AB1110" s="529"/>
      <c r="AC1110" s="529"/>
      <c r="AD1110" s="529"/>
      <c r="AE1110" s="530"/>
      <c r="AF1110" s="529"/>
      <c r="AG1110" s="529"/>
      <c r="AH1110" s="529"/>
      <c r="AI1110" s="75"/>
    </row>
    <row r="1111" spans="3:35" s="74" customFormat="1" x14ac:dyDescent="0.25">
      <c r="C1111" s="527"/>
      <c r="H1111" s="527"/>
      <c r="N1111" s="55"/>
      <c r="P1111" s="527"/>
      <c r="Q1111" s="529"/>
      <c r="R1111" s="529"/>
      <c r="S1111" s="529"/>
      <c r="T1111" s="529"/>
      <c r="U1111" s="529"/>
      <c r="V1111" s="529"/>
      <c r="W1111" s="529"/>
      <c r="X1111" s="529"/>
      <c r="Y1111" s="529"/>
      <c r="Z1111" s="529"/>
      <c r="AA1111" s="529"/>
      <c r="AB1111" s="529"/>
      <c r="AC1111" s="529"/>
      <c r="AD1111" s="529"/>
      <c r="AE1111" s="530"/>
      <c r="AF1111" s="529"/>
      <c r="AG1111" s="529"/>
      <c r="AH1111" s="529"/>
      <c r="AI1111" s="75"/>
    </row>
    <row r="1112" spans="3:35" s="74" customFormat="1" x14ac:dyDescent="0.25">
      <c r="C1112" s="527"/>
      <c r="H1112" s="527"/>
      <c r="N1112" s="55"/>
      <c r="P1112" s="527"/>
      <c r="Q1112" s="529"/>
      <c r="R1112" s="529"/>
      <c r="S1112" s="529"/>
      <c r="T1112" s="529"/>
      <c r="U1112" s="529"/>
      <c r="V1112" s="529"/>
      <c r="W1112" s="529"/>
      <c r="X1112" s="529"/>
      <c r="Y1112" s="529"/>
      <c r="Z1112" s="529"/>
      <c r="AA1112" s="529"/>
      <c r="AB1112" s="529"/>
      <c r="AC1112" s="529"/>
      <c r="AD1112" s="529"/>
      <c r="AE1112" s="530"/>
      <c r="AF1112" s="529"/>
      <c r="AG1112" s="529"/>
      <c r="AH1112" s="529"/>
      <c r="AI1112" s="75"/>
    </row>
    <row r="1113" spans="3:35" s="74" customFormat="1" x14ac:dyDescent="0.25">
      <c r="C1113" s="527"/>
      <c r="H1113" s="527"/>
      <c r="N1113" s="55"/>
      <c r="P1113" s="527"/>
      <c r="Q1113" s="529"/>
      <c r="R1113" s="529"/>
      <c r="S1113" s="529"/>
      <c r="T1113" s="529"/>
      <c r="U1113" s="529"/>
      <c r="V1113" s="529"/>
      <c r="W1113" s="529"/>
      <c r="X1113" s="529"/>
      <c r="Y1113" s="529"/>
      <c r="Z1113" s="529"/>
      <c r="AA1113" s="529"/>
      <c r="AB1113" s="529"/>
      <c r="AC1113" s="529"/>
      <c r="AD1113" s="529"/>
      <c r="AE1113" s="530"/>
      <c r="AF1113" s="529"/>
      <c r="AG1113" s="529"/>
      <c r="AH1113" s="529"/>
      <c r="AI1113" s="75"/>
    </row>
    <row r="1114" spans="3:35" s="74" customFormat="1" x14ac:dyDescent="0.25">
      <c r="C1114" s="527"/>
      <c r="H1114" s="527"/>
      <c r="N1114" s="55"/>
      <c r="P1114" s="527"/>
      <c r="Q1114" s="529"/>
      <c r="R1114" s="529"/>
      <c r="S1114" s="529"/>
      <c r="T1114" s="529"/>
      <c r="U1114" s="529"/>
      <c r="V1114" s="529"/>
      <c r="W1114" s="529"/>
      <c r="X1114" s="529"/>
      <c r="Y1114" s="529"/>
      <c r="Z1114" s="529"/>
      <c r="AA1114" s="529"/>
      <c r="AB1114" s="529"/>
      <c r="AC1114" s="529"/>
      <c r="AD1114" s="529"/>
      <c r="AE1114" s="530"/>
      <c r="AF1114" s="529"/>
      <c r="AG1114" s="529"/>
      <c r="AH1114" s="529"/>
      <c r="AI1114" s="75"/>
    </row>
    <row r="1115" spans="3:35" s="74" customFormat="1" x14ac:dyDescent="0.25">
      <c r="C1115" s="527"/>
      <c r="H1115" s="527"/>
      <c r="N1115" s="55"/>
      <c r="P1115" s="527"/>
      <c r="Q1115" s="529"/>
      <c r="R1115" s="529"/>
      <c r="S1115" s="529"/>
      <c r="T1115" s="529"/>
      <c r="U1115" s="529"/>
      <c r="V1115" s="529"/>
      <c r="W1115" s="529"/>
      <c r="X1115" s="529"/>
      <c r="Y1115" s="529"/>
      <c r="Z1115" s="529"/>
      <c r="AA1115" s="529"/>
      <c r="AB1115" s="529"/>
      <c r="AC1115" s="529"/>
      <c r="AD1115" s="529"/>
      <c r="AE1115" s="530"/>
      <c r="AF1115" s="529"/>
      <c r="AG1115" s="529"/>
      <c r="AH1115" s="529"/>
      <c r="AI1115" s="75"/>
    </row>
    <row r="1116" spans="3:35" s="74" customFormat="1" x14ac:dyDescent="0.25">
      <c r="C1116" s="527"/>
      <c r="H1116" s="527"/>
      <c r="N1116" s="55"/>
      <c r="P1116" s="527"/>
      <c r="Q1116" s="529"/>
      <c r="R1116" s="529"/>
      <c r="S1116" s="529"/>
      <c r="T1116" s="529"/>
      <c r="U1116" s="529"/>
      <c r="V1116" s="529"/>
      <c r="W1116" s="529"/>
      <c r="X1116" s="529"/>
      <c r="Y1116" s="529"/>
      <c r="Z1116" s="529"/>
      <c r="AA1116" s="529"/>
      <c r="AB1116" s="529"/>
      <c r="AC1116" s="529"/>
      <c r="AD1116" s="529"/>
      <c r="AE1116" s="530"/>
      <c r="AF1116" s="529"/>
      <c r="AG1116" s="529"/>
      <c r="AH1116" s="529"/>
      <c r="AI1116" s="75"/>
    </row>
    <row r="1117" spans="3:35" s="74" customFormat="1" x14ac:dyDescent="0.25">
      <c r="C1117" s="527"/>
      <c r="H1117" s="527"/>
      <c r="N1117" s="55"/>
      <c r="P1117" s="527"/>
      <c r="Q1117" s="529"/>
      <c r="R1117" s="529"/>
      <c r="S1117" s="529"/>
      <c r="T1117" s="529"/>
      <c r="U1117" s="529"/>
      <c r="V1117" s="529"/>
      <c r="W1117" s="529"/>
      <c r="X1117" s="529"/>
      <c r="Y1117" s="529"/>
      <c r="Z1117" s="529"/>
      <c r="AA1117" s="529"/>
      <c r="AB1117" s="529"/>
      <c r="AC1117" s="529"/>
      <c r="AD1117" s="529"/>
      <c r="AE1117" s="530"/>
      <c r="AF1117" s="529"/>
      <c r="AG1117" s="529"/>
      <c r="AH1117" s="529"/>
      <c r="AI1117" s="75"/>
    </row>
    <row r="1118" spans="3:35" s="74" customFormat="1" x14ac:dyDescent="0.25">
      <c r="C1118" s="527"/>
      <c r="H1118" s="527"/>
      <c r="N1118" s="55"/>
      <c r="P1118" s="527"/>
      <c r="Q1118" s="529"/>
      <c r="R1118" s="529"/>
      <c r="S1118" s="529"/>
      <c r="T1118" s="529"/>
      <c r="U1118" s="529"/>
      <c r="V1118" s="529"/>
      <c r="W1118" s="529"/>
      <c r="X1118" s="529"/>
      <c r="Y1118" s="529"/>
      <c r="Z1118" s="529"/>
      <c r="AA1118" s="529"/>
      <c r="AB1118" s="529"/>
      <c r="AC1118" s="529"/>
      <c r="AD1118" s="529"/>
      <c r="AE1118" s="530"/>
      <c r="AF1118" s="529"/>
      <c r="AG1118" s="529"/>
      <c r="AH1118" s="529"/>
      <c r="AI1118" s="75"/>
    </row>
    <row r="1119" spans="3:35" s="74" customFormat="1" x14ac:dyDescent="0.25">
      <c r="C1119" s="527"/>
      <c r="H1119" s="527"/>
      <c r="N1119" s="55"/>
      <c r="P1119" s="527"/>
      <c r="Q1119" s="529"/>
      <c r="R1119" s="529"/>
      <c r="S1119" s="529"/>
      <c r="T1119" s="529"/>
      <c r="U1119" s="529"/>
      <c r="V1119" s="529"/>
      <c r="W1119" s="529"/>
      <c r="X1119" s="529"/>
      <c r="Y1119" s="529"/>
      <c r="Z1119" s="529"/>
      <c r="AA1119" s="529"/>
      <c r="AB1119" s="529"/>
      <c r="AC1119" s="529"/>
      <c r="AD1119" s="529"/>
      <c r="AE1119" s="530"/>
      <c r="AF1119" s="529"/>
      <c r="AG1119" s="529"/>
      <c r="AH1119" s="529"/>
      <c r="AI1119" s="75"/>
    </row>
    <row r="1120" spans="3:35" s="74" customFormat="1" x14ac:dyDescent="0.25">
      <c r="C1120" s="527"/>
      <c r="H1120" s="527"/>
      <c r="N1120" s="55"/>
      <c r="P1120" s="527"/>
      <c r="Q1120" s="529"/>
      <c r="R1120" s="529"/>
      <c r="S1120" s="529"/>
      <c r="T1120" s="529"/>
      <c r="U1120" s="529"/>
      <c r="V1120" s="529"/>
      <c r="W1120" s="529"/>
      <c r="X1120" s="529"/>
      <c r="Y1120" s="529"/>
      <c r="Z1120" s="529"/>
      <c r="AA1120" s="529"/>
      <c r="AB1120" s="529"/>
      <c r="AC1120" s="529"/>
      <c r="AD1120" s="529"/>
      <c r="AE1120" s="530"/>
      <c r="AF1120" s="529"/>
      <c r="AG1120" s="529"/>
      <c r="AH1120" s="529"/>
      <c r="AI1120" s="75"/>
    </row>
    <row r="1121" spans="3:35" s="74" customFormat="1" x14ac:dyDescent="0.25">
      <c r="C1121" s="527"/>
      <c r="H1121" s="527"/>
      <c r="N1121" s="55"/>
      <c r="P1121" s="527"/>
      <c r="Q1121" s="529"/>
      <c r="R1121" s="529"/>
      <c r="S1121" s="529"/>
      <c r="T1121" s="529"/>
      <c r="U1121" s="529"/>
      <c r="V1121" s="529"/>
      <c r="W1121" s="529"/>
      <c r="X1121" s="529"/>
      <c r="Y1121" s="529"/>
      <c r="Z1121" s="529"/>
      <c r="AA1121" s="529"/>
      <c r="AB1121" s="529"/>
      <c r="AC1121" s="529"/>
      <c r="AD1121" s="529"/>
      <c r="AE1121" s="530"/>
      <c r="AF1121" s="529"/>
      <c r="AG1121" s="529"/>
      <c r="AH1121" s="529"/>
      <c r="AI1121" s="75"/>
    </row>
    <row r="1122" spans="3:35" s="74" customFormat="1" x14ac:dyDescent="0.25">
      <c r="C1122" s="527"/>
      <c r="H1122" s="527"/>
      <c r="N1122" s="55"/>
      <c r="P1122" s="527"/>
      <c r="Q1122" s="529"/>
      <c r="R1122" s="529"/>
      <c r="S1122" s="529"/>
      <c r="T1122" s="529"/>
      <c r="U1122" s="529"/>
      <c r="V1122" s="529"/>
      <c r="W1122" s="529"/>
      <c r="X1122" s="529"/>
      <c r="Y1122" s="529"/>
      <c r="Z1122" s="529"/>
      <c r="AA1122" s="529"/>
      <c r="AB1122" s="529"/>
      <c r="AC1122" s="529"/>
      <c r="AD1122" s="529"/>
      <c r="AE1122" s="530"/>
      <c r="AF1122" s="529"/>
      <c r="AG1122" s="529"/>
      <c r="AH1122" s="529"/>
      <c r="AI1122" s="75"/>
    </row>
    <row r="1123" spans="3:35" s="74" customFormat="1" x14ac:dyDescent="0.25">
      <c r="C1123" s="527"/>
      <c r="H1123" s="527"/>
      <c r="N1123" s="55"/>
      <c r="P1123" s="527"/>
      <c r="Q1123" s="529"/>
      <c r="R1123" s="529"/>
      <c r="S1123" s="529"/>
      <c r="T1123" s="529"/>
      <c r="U1123" s="529"/>
      <c r="V1123" s="529"/>
      <c r="W1123" s="529"/>
      <c r="X1123" s="529"/>
      <c r="Y1123" s="529"/>
      <c r="Z1123" s="529"/>
      <c r="AA1123" s="529"/>
      <c r="AB1123" s="529"/>
      <c r="AC1123" s="529"/>
      <c r="AD1123" s="529"/>
      <c r="AE1123" s="530"/>
      <c r="AF1123" s="529"/>
      <c r="AG1123" s="529"/>
      <c r="AH1123" s="529"/>
      <c r="AI1123" s="75"/>
    </row>
    <row r="1124" spans="3:35" s="74" customFormat="1" x14ac:dyDescent="0.25">
      <c r="C1124" s="527"/>
      <c r="H1124" s="527"/>
      <c r="N1124" s="55"/>
      <c r="P1124" s="527"/>
      <c r="Q1124" s="529"/>
      <c r="R1124" s="529"/>
      <c r="S1124" s="529"/>
      <c r="T1124" s="529"/>
      <c r="U1124" s="529"/>
      <c r="V1124" s="529"/>
      <c r="W1124" s="529"/>
      <c r="X1124" s="529"/>
      <c r="Y1124" s="529"/>
      <c r="Z1124" s="529"/>
      <c r="AA1124" s="529"/>
      <c r="AB1124" s="529"/>
      <c r="AC1124" s="529"/>
      <c r="AD1124" s="529"/>
      <c r="AE1124" s="530"/>
      <c r="AF1124" s="529"/>
      <c r="AG1124" s="529"/>
      <c r="AH1124" s="529"/>
      <c r="AI1124" s="75"/>
    </row>
    <row r="1125" spans="3:35" s="74" customFormat="1" x14ac:dyDescent="0.25">
      <c r="C1125" s="527"/>
      <c r="H1125" s="527"/>
      <c r="N1125" s="55"/>
      <c r="P1125" s="527"/>
      <c r="Q1125" s="529"/>
      <c r="R1125" s="529"/>
      <c r="S1125" s="529"/>
      <c r="T1125" s="529"/>
      <c r="U1125" s="529"/>
      <c r="V1125" s="529"/>
      <c r="W1125" s="529"/>
      <c r="X1125" s="529"/>
      <c r="Y1125" s="529"/>
      <c r="Z1125" s="529"/>
      <c r="AA1125" s="529"/>
      <c r="AB1125" s="529"/>
      <c r="AC1125" s="529"/>
      <c r="AD1125" s="529"/>
      <c r="AE1125" s="530"/>
      <c r="AF1125" s="529"/>
      <c r="AG1125" s="529"/>
      <c r="AH1125" s="529"/>
      <c r="AI1125" s="75"/>
    </row>
    <row r="1126" spans="3:35" s="74" customFormat="1" x14ac:dyDescent="0.25">
      <c r="C1126" s="527"/>
      <c r="H1126" s="527"/>
      <c r="N1126" s="55"/>
      <c r="P1126" s="527"/>
      <c r="Q1126" s="529"/>
      <c r="R1126" s="529"/>
      <c r="S1126" s="529"/>
      <c r="T1126" s="529"/>
      <c r="U1126" s="529"/>
      <c r="V1126" s="529"/>
      <c r="W1126" s="529"/>
      <c r="X1126" s="529"/>
      <c r="Y1126" s="529"/>
      <c r="Z1126" s="529"/>
      <c r="AA1126" s="529"/>
      <c r="AB1126" s="529"/>
      <c r="AC1126" s="529"/>
      <c r="AD1126" s="529"/>
      <c r="AE1126" s="530"/>
      <c r="AF1126" s="529"/>
      <c r="AG1126" s="529"/>
      <c r="AH1126" s="529"/>
      <c r="AI1126" s="75"/>
    </row>
    <row r="1127" spans="3:35" s="74" customFormat="1" x14ac:dyDescent="0.25">
      <c r="C1127" s="527"/>
      <c r="H1127" s="527"/>
      <c r="N1127" s="55"/>
      <c r="P1127" s="527"/>
      <c r="Q1127" s="529"/>
      <c r="R1127" s="529"/>
      <c r="S1127" s="529"/>
      <c r="T1127" s="529"/>
      <c r="U1127" s="529"/>
      <c r="V1127" s="529"/>
      <c r="W1127" s="529"/>
      <c r="X1127" s="529"/>
      <c r="Y1127" s="529"/>
      <c r="Z1127" s="529"/>
      <c r="AA1127" s="529"/>
      <c r="AB1127" s="529"/>
      <c r="AC1127" s="529"/>
      <c r="AD1127" s="529"/>
      <c r="AE1127" s="530"/>
      <c r="AF1127" s="529"/>
      <c r="AG1127" s="529"/>
      <c r="AH1127" s="529"/>
      <c r="AI1127" s="75"/>
    </row>
    <row r="1128" spans="3:35" s="74" customFormat="1" x14ac:dyDescent="0.25">
      <c r="C1128" s="527"/>
      <c r="H1128" s="527"/>
      <c r="N1128" s="55"/>
      <c r="P1128" s="527"/>
      <c r="Q1128" s="529"/>
      <c r="R1128" s="529"/>
      <c r="S1128" s="529"/>
      <c r="T1128" s="529"/>
      <c r="U1128" s="529"/>
      <c r="V1128" s="529"/>
      <c r="W1128" s="529"/>
      <c r="X1128" s="529"/>
      <c r="Y1128" s="529"/>
      <c r="Z1128" s="529"/>
      <c r="AA1128" s="529"/>
      <c r="AB1128" s="529"/>
      <c r="AC1128" s="529"/>
      <c r="AD1128" s="529"/>
      <c r="AE1128" s="530"/>
      <c r="AF1128" s="529"/>
      <c r="AG1128" s="529"/>
      <c r="AH1128" s="529"/>
      <c r="AI1128" s="75"/>
    </row>
    <row r="1129" spans="3:35" s="74" customFormat="1" x14ac:dyDescent="0.25">
      <c r="C1129" s="527"/>
      <c r="H1129" s="527"/>
      <c r="N1129" s="55"/>
      <c r="P1129" s="527"/>
      <c r="Q1129" s="529"/>
      <c r="R1129" s="529"/>
      <c r="S1129" s="529"/>
      <c r="T1129" s="529"/>
      <c r="U1129" s="529"/>
      <c r="V1129" s="529"/>
      <c r="W1129" s="529"/>
      <c r="X1129" s="529"/>
      <c r="Y1129" s="529"/>
      <c r="Z1129" s="529"/>
      <c r="AA1129" s="529"/>
      <c r="AB1129" s="529"/>
      <c r="AC1129" s="529"/>
      <c r="AD1129" s="529"/>
      <c r="AE1129" s="530"/>
      <c r="AF1129" s="529"/>
      <c r="AG1129" s="529"/>
      <c r="AH1129" s="529"/>
      <c r="AI1129" s="75"/>
    </row>
    <row r="1130" spans="3:35" s="74" customFormat="1" x14ac:dyDescent="0.25">
      <c r="C1130" s="527"/>
      <c r="H1130" s="527"/>
      <c r="N1130" s="55"/>
      <c r="P1130" s="527"/>
      <c r="Q1130" s="529"/>
      <c r="R1130" s="529"/>
      <c r="S1130" s="529"/>
      <c r="T1130" s="529"/>
      <c r="U1130" s="529"/>
      <c r="V1130" s="529"/>
      <c r="W1130" s="529"/>
      <c r="X1130" s="529"/>
      <c r="Y1130" s="529"/>
      <c r="Z1130" s="529"/>
      <c r="AA1130" s="529"/>
      <c r="AB1130" s="529"/>
      <c r="AC1130" s="529"/>
      <c r="AD1130" s="529"/>
      <c r="AE1130" s="530"/>
      <c r="AF1130" s="529"/>
      <c r="AG1130" s="529"/>
      <c r="AH1130" s="529"/>
      <c r="AI1130" s="75"/>
    </row>
    <row r="1131" spans="3:35" s="74" customFormat="1" x14ac:dyDescent="0.25">
      <c r="C1131" s="527"/>
      <c r="H1131" s="527"/>
      <c r="N1131" s="55"/>
      <c r="P1131" s="527"/>
      <c r="Q1131" s="529"/>
      <c r="R1131" s="529"/>
      <c r="S1131" s="529"/>
      <c r="T1131" s="529"/>
      <c r="U1131" s="529"/>
      <c r="V1131" s="529"/>
      <c r="W1131" s="529"/>
      <c r="X1131" s="529"/>
      <c r="Y1131" s="529"/>
      <c r="Z1131" s="529"/>
      <c r="AA1131" s="529"/>
      <c r="AB1131" s="529"/>
      <c r="AC1131" s="529"/>
      <c r="AD1131" s="529"/>
      <c r="AE1131" s="530"/>
      <c r="AF1131" s="529"/>
      <c r="AG1131" s="529"/>
      <c r="AH1131" s="529"/>
      <c r="AI1131" s="75"/>
    </row>
    <row r="1132" spans="3:35" s="74" customFormat="1" x14ac:dyDescent="0.25">
      <c r="C1132" s="527"/>
      <c r="H1132" s="527"/>
      <c r="N1132" s="55"/>
      <c r="P1132" s="527"/>
      <c r="Q1132" s="529"/>
      <c r="R1132" s="529"/>
      <c r="S1132" s="529"/>
      <c r="T1132" s="529"/>
      <c r="U1132" s="529"/>
      <c r="V1132" s="529"/>
      <c r="W1132" s="529"/>
      <c r="X1132" s="529"/>
      <c r="Y1132" s="529"/>
      <c r="Z1132" s="529"/>
      <c r="AA1132" s="529"/>
      <c r="AB1132" s="529"/>
      <c r="AC1132" s="529"/>
      <c r="AD1132" s="529"/>
      <c r="AE1132" s="530"/>
      <c r="AF1132" s="529"/>
      <c r="AG1132" s="529"/>
      <c r="AH1132" s="529"/>
      <c r="AI1132" s="75"/>
    </row>
    <row r="1133" spans="3:35" s="74" customFormat="1" x14ac:dyDescent="0.25">
      <c r="C1133" s="527"/>
      <c r="H1133" s="527"/>
      <c r="N1133" s="55"/>
      <c r="P1133" s="527"/>
      <c r="Q1133" s="529"/>
      <c r="R1133" s="529"/>
      <c r="S1133" s="529"/>
      <c r="T1133" s="529"/>
      <c r="U1133" s="529"/>
      <c r="V1133" s="529"/>
      <c r="W1133" s="529"/>
      <c r="X1133" s="529"/>
      <c r="Y1133" s="529"/>
      <c r="Z1133" s="529"/>
      <c r="AA1133" s="529"/>
      <c r="AB1133" s="529"/>
      <c r="AC1133" s="529"/>
      <c r="AD1133" s="529"/>
      <c r="AE1133" s="530"/>
      <c r="AF1133" s="529"/>
      <c r="AG1133" s="529"/>
      <c r="AH1133" s="529"/>
      <c r="AI1133" s="75"/>
    </row>
    <row r="1134" spans="3:35" s="74" customFormat="1" x14ac:dyDescent="0.25">
      <c r="C1134" s="527"/>
      <c r="H1134" s="527"/>
      <c r="N1134" s="55"/>
      <c r="P1134" s="527"/>
      <c r="Q1134" s="529"/>
      <c r="R1134" s="529"/>
      <c r="S1134" s="529"/>
      <c r="T1134" s="529"/>
      <c r="U1134" s="529"/>
      <c r="V1134" s="529"/>
      <c r="W1134" s="529"/>
      <c r="X1134" s="529"/>
      <c r="Y1134" s="529"/>
      <c r="Z1134" s="529"/>
      <c r="AA1134" s="529"/>
      <c r="AB1134" s="529"/>
      <c r="AC1134" s="529"/>
      <c r="AD1134" s="529"/>
      <c r="AE1134" s="530"/>
      <c r="AF1134" s="529"/>
      <c r="AG1134" s="529"/>
      <c r="AH1134" s="529"/>
      <c r="AI1134" s="75"/>
    </row>
    <row r="1135" spans="3:35" s="74" customFormat="1" x14ac:dyDescent="0.25">
      <c r="C1135" s="527"/>
      <c r="H1135" s="527"/>
      <c r="N1135" s="55"/>
      <c r="P1135" s="527"/>
      <c r="Q1135" s="529"/>
      <c r="R1135" s="529"/>
      <c r="S1135" s="529"/>
      <c r="T1135" s="529"/>
      <c r="U1135" s="529"/>
      <c r="V1135" s="529"/>
      <c r="W1135" s="529"/>
      <c r="X1135" s="529"/>
      <c r="Y1135" s="529"/>
      <c r="Z1135" s="529"/>
      <c r="AA1135" s="529"/>
      <c r="AB1135" s="529"/>
      <c r="AC1135" s="529"/>
      <c r="AD1135" s="529"/>
      <c r="AE1135" s="530"/>
      <c r="AF1135" s="529"/>
      <c r="AG1135" s="529"/>
      <c r="AH1135" s="529"/>
      <c r="AI1135" s="75"/>
    </row>
    <row r="1136" spans="3:35" s="74" customFormat="1" x14ac:dyDescent="0.25">
      <c r="C1136" s="527"/>
      <c r="H1136" s="527"/>
      <c r="N1136" s="55"/>
      <c r="P1136" s="527"/>
      <c r="Q1136" s="529"/>
      <c r="R1136" s="529"/>
      <c r="S1136" s="529"/>
      <c r="T1136" s="529"/>
      <c r="U1136" s="529"/>
      <c r="V1136" s="529"/>
      <c r="W1136" s="529"/>
      <c r="X1136" s="529"/>
      <c r="Y1136" s="529"/>
      <c r="Z1136" s="529"/>
      <c r="AA1136" s="529"/>
      <c r="AB1136" s="529"/>
      <c r="AC1136" s="529"/>
      <c r="AD1136" s="529"/>
      <c r="AE1136" s="530"/>
      <c r="AF1136" s="529"/>
      <c r="AG1136" s="529"/>
      <c r="AH1136" s="529"/>
      <c r="AI1136" s="75"/>
    </row>
    <row r="1137" spans="3:35" s="74" customFormat="1" x14ac:dyDescent="0.25">
      <c r="C1137" s="527"/>
      <c r="H1137" s="527"/>
      <c r="N1137" s="55"/>
      <c r="P1137" s="527"/>
      <c r="Q1137" s="529"/>
      <c r="R1137" s="529"/>
      <c r="S1137" s="529"/>
      <c r="T1137" s="529"/>
      <c r="U1137" s="529"/>
      <c r="V1137" s="529"/>
      <c r="W1137" s="529"/>
      <c r="X1137" s="529"/>
      <c r="Y1137" s="529"/>
      <c r="Z1137" s="529"/>
      <c r="AA1137" s="529"/>
      <c r="AB1137" s="529"/>
      <c r="AC1137" s="529"/>
      <c r="AD1137" s="529"/>
      <c r="AE1137" s="530"/>
      <c r="AF1137" s="529"/>
      <c r="AG1137" s="529"/>
      <c r="AH1137" s="529"/>
      <c r="AI1137" s="75"/>
    </row>
    <row r="1138" spans="3:35" s="74" customFormat="1" x14ac:dyDescent="0.25">
      <c r="C1138" s="527"/>
      <c r="H1138" s="527"/>
      <c r="N1138" s="55"/>
      <c r="P1138" s="527"/>
      <c r="Q1138" s="529"/>
      <c r="R1138" s="529"/>
      <c r="S1138" s="529"/>
      <c r="T1138" s="529"/>
      <c r="U1138" s="529"/>
      <c r="V1138" s="529"/>
      <c r="W1138" s="529"/>
      <c r="X1138" s="529"/>
      <c r="Y1138" s="529"/>
      <c r="Z1138" s="529"/>
      <c r="AA1138" s="529"/>
      <c r="AB1138" s="529"/>
      <c r="AC1138" s="529"/>
      <c r="AD1138" s="529"/>
      <c r="AE1138" s="530"/>
      <c r="AF1138" s="529"/>
      <c r="AG1138" s="529"/>
      <c r="AH1138" s="529"/>
      <c r="AI1138" s="75"/>
    </row>
    <row r="1139" spans="3:35" s="74" customFormat="1" x14ac:dyDescent="0.25">
      <c r="C1139" s="527"/>
      <c r="H1139" s="527"/>
      <c r="N1139" s="55"/>
      <c r="P1139" s="527"/>
      <c r="Q1139" s="529"/>
      <c r="R1139" s="529"/>
      <c r="S1139" s="529"/>
      <c r="T1139" s="529"/>
      <c r="U1139" s="529"/>
      <c r="V1139" s="529"/>
      <c r="W1139" s="529"/>
      <c r="X1139" s="529"/>
      <c r="Y1139" s="529"/>
      <c r="Z1139" s="529"/>
      <c r="AA1139" s="529"/>
      <c r="AB1139" s="529"/>
      <c r="AC1139" s="529"/>
      <c r="AD1139" s="529"/>
      <c r="AE1139" s="530"/>
      <c r="AF1139" s="529"/>
      <c r="AG1139" s="529"/>
      <c r="AH1139" s="529"/>
      <c r="AI1139" s="75"/>
    </row>
    <row r="1140" spans="3:35" s="74" customFormat="1" x14ac:dyDescent="0.25">
      <c r="C1140" s="527"/>
      <c r="H1140" s="527"/>
      <c r="N1140" s="55"/>
      <c r="P1140" s="527"/>
      <c r="Q1140" s="529"/>
      <c r="R1140" s="529"/>
      <c r="S1140" s="529"/>
      <c r="T1140" s="529"/>
      <c r="U1140" s="529"/>
      <c r="V1140" s="529"/>
      <c r="W1140" s="529"/>
      <c r="X1140" s="529"/>
      <c r="Y1140" s="529"/>
      <c r="Z1140" s="529"/>
      <c r="AA1140" s="529"/>
      <c r="AB1140" s="529"/>
      <c r="AC1140" s="529"/>
      <c r="AD1140" s="529"/>
      <c r="AE1140" s="530"/>
      <c r="AF1140" s="529"/>
      <c r="AG1140" s="529"/>
      <c r="AH1140" s="529"/>
      <c r="AI1140" s="75"/>
    </row>
    <row r="1141" spans="3:35" s="74" customFormat="1" x14ac:dyDescent="0.25">
      <c r="C1141" s="527"/>
      <c r="H1141" s="527"/>
      <c r="N1141" s="55"/>
      <c r="P1141" s="527"/>
      <c r="Q1141" s="529"/>
      <c r="R1141" s="529"/>
      <c r="S1141" s="529"/>
      <c r="T1141" s="529"/>
      <c r="U1141" s="529"/>
      <c r="V1141" s="529"/>
      <c r="W1141" s="529"/>
      <c r="X1141" s="529"/>
      <c r="Y1141" s="529"/>
      <c r="Z1141" s="529"/>
      <c r="AA1141" s="529"/>
      <c r="AB1141" s="529"/>
      <c r="AC1141" s="529"/>
      <c r="AD1141" s="529"/>
      <c r="AE1141" s="530"/>
      <c r="AF1141" s="529"/>
      <c r="AG1141" s="529"/>
      <c r="AH1141" s="529"/>
      <c r="AI1141" s="75"/>
    </row>
    <row r="1142" spans="3:35" s="74" customFormat="1" x14ac:dyDescent="0.25">
      <c r="C1142" s="527"/>
      <c r="H1142" s="527"/>
      <c r="N1142" s="55"/>
      <c r="P1142" s="527"/>
      <c r="Q1142" s="529"/>
      <c r="R1142" s="529"/>
      <c r="S1142" s="529"/>
      <c r="T1142" s="529"/>
      <c r="U1142" s="529"/>
      <c r="V1142" s="529"/>
      <c r="W1142" s="529"/>
      <c r="X1142" s="529"/>
      <c r="Y1142" s="529"/>
      <c r="Z1142" s="529"/>
      <c r="AA1142" s="529"/>
      <c r="AB1142" s="529"/>
      <c r="AC1142" s="529"/>
      <c r="AD1142" s="529"/>
      <c r="AE1142" s="530"/>
      <c r="AF1142" s="529"/>
      <c r="AG1142" s="529"/>
      <c r="AH1142" s="529"/>
      <c r="AI1142" s="75"/>
    </row>
    <row r="1143" spans="3:35" s="74" customFormat="1" x14ac:dyDescent="0.25">
      <c r="C1143" s="527"/>
      <c r="H1143" s="527"/>
      <c r="N1143" s="55"/>
      <c r="P1143" s="527"/>
      <c r="Q1143" s="529"/>
      <c r="R1143" s="529"/>
      <c r="S1143" s="529"/>
      <c r="T1143" s="529"/>
      <c r="U1143" s="529"/>
      <c r="V1143" s="529"/>
      <c r="W1143" s="529"/>
      <c r="X1143" s="529"/>
      <c r="Y1143" s="529"/>
      <c r="Z1143" s="529"/>
      <c r="AA1143" s="529"/>
      <c r="AB1143" s="529"/>
      <c r="AC1143" s="529"/>
      <c r="AD1143" s="529"/>
      <c r="AE1143" s="530"/>
      <c r="AF1143" s="529"/>
      <c r="AG1143" s="529"/>
      <c r="AH1143" s="529"/>
      <c r="AI1143" s="75"/>
    </row>
    <row r="1144" spans="3:35" s="74" customFormat="1" x14ac:dyDescent="0.25">
      <c r="C1144" s="527"/>
      <c r="H1144" s="527"/>
      <c r="N1144" s="55"/>
      <c r="P1144" s="527"/>
      <c r="Q1144" s="529"/>
      <c r="R1144" s="529"/>
      <c r="S1144" s="529"/>
      <c r="T1144" s="529"/>
      <c r="U1144" s="529"/>
      <c r="V1144" s="529"/>
      <c r="W1144" s="529"/>
      <c r="X1144" s="529"/>
      <c r="Y1144" s="529"/>
      <c r="Z1144" s="529"/>
      <c r="AA1144" s="529"/>
      <c r="AB1144" s="529"/>
      <c r="AC1144" s="529"/>
      <c r="AD1144" s="529"/>
      <c r="AE1144" s="530"/>
      <c r="AF1144" s="529"/>
      <c r="AG1144" s="529"/>
      <c r="AH1144" s="529"/>
      <c r="AI1144" s="75"/>
    </row>
    <row r="1145" spans="3:35" s="74" customFormat="1" x14ac:dyDescent="0.25">
      <c r="C1145" s="527"/>
      <c r="H1145" s="527"/>
      <c r="N1145" s="55"/>
      <c r="P1145" s="527"/>
      <c r="Q1145" s="529"/>
      <c r="R1145" s="529"/>
      <c r="S1145" s="529"/>
      <c r="T1145" s="529"/>
      <c r="U1145" s="529"/>
      <c r="V1145" s="529"/>
      <c r="W1145" s="529"/>
      <c r="X1145" s="529"/>
      <c r="Y1145" s="529"/>
      <c r="Z1145" s="529"/>
      <c r="AA1145" s="529"/>
      <c r="AB1145" s="529"/>
      <c r="AC1145" s="529"/>
      <c r="AD1145" s="529"/>
      <c r="AE1145" s="530"/>
      <c r="AF1145" s="529"/>
      <c r="AG1145" s="529"/>
      <c r="AH1145" s="529"/>
      <c r="AI1145" s="75"/>
    </row>
    <row r="1146" spans="3:35" s="74" customFormat="1" x14ac:dyDescent="0.25">
      <c r="C1146" s="527"/>
      <c r="H1146" s="527"/>
      <c r="N1146" s="55"/>
      <c r="P1146" s="527"/>
      <c r="Q1146" s="529"/>
      <c r="R1146" s="529"/>
      <c r="S1146" s="529"/>
      <c r="T1146" s="529"/>
      <c r="U1146" s="529"/>
      <c r="V1146" s="529"/>
      <c r="W1146" s="529"/>
      <c r="X1146" s="529"/>
      <c r="Y1146" s="529"/>
      <c r="Z1146" s="529"/>
      <c r="AA1146" s="529"/>
      <c r="AB1146" s="529"/>
      <c r="AC1146" s="529"/>
      <c r="AD1146" s="529"/>
      <c r="AE1146" s="530"/>
      <c r="AF1146" s="529"/>
      <c r="AG1146" s="529"/>
      <c r="AH1146" s="529"/>
      <c r="AI1146" s="75"/>
    </row>
    <row r="1147" spans="3:35" s="74" customFormat="1" x14ac:dyDescent="0.25">
      <c r="C1147" s="527"/>
      <c r="H1147" s="527"/>
      <c r="N1147" s="55"/>
      <c r="P1147" s="527"/>
      <c r="Q1147" s="529"/>
      <c r="R1147" s="529"/>
      <c r="S1147" s="529"/>
      <c r="T1147" s="529"/>
      <c r="U1147" s="529"/>
      <c r="V1147" s="529"/>
      <c r="W1147" s="529"/>
      <c r="X1147" s="529"/>
      <c r="Y1147" s="529"/>
      <c r="Z1147" s="529"/>
      <c r="AA1147" s="529"/>
      <c r="AB1147" s="529"/>
      <c r="AC1147" s="529"/>
      <c r="AD1147" s="529"/>
      <c r="AE1147" s="530"/>
      <c r="AF1147" s="529"/>
      <c r="AG1147" s="529"/>
      <c r="AH1147" s="529"/>
      <c r="AI1147" s="75"/>
    </row>
    <row r="1148" spans="3:35" s="74" customFormat="1" x14ac:dyDescent="0.25">
      <c r="C1148" s="527"/>
      <c r="H1148" s="527"/>
      <c r="N1148" s="55"/>
      <c r="P1148" s="527"/>
      <c r="Q1148" s="529"/>
      <c r="R1148" s="529"/>
      <c r="S1148" s="529"/>
      <c r="T1148" s="529"/>
      <c r="U1148" s="529"/>
      <c r="V1148" s="529"/>
      <c r="W1148" s="529"/>
      <c r="X1148" s="529"/>
      <c r="Y1148" s="529"/>
      <c r="Z1148" s="529"/>
      <c r="AA1148" s="529"/>
      <c r="AB1148" s="529"/>
      <c r="AC1148" s="529"/>
      <c r="AD1148" s="529"/>
      <c r="AE1148" s="530"/>
      <c r="AF1148" s="529"/>
      <c r="AG1148" s="529"/>
      <c r="AH1148" s="529"/>
      <c r="AI1148" s="75"/>
    </row>
    <row r="1149" spans="3:35" s="74" customFormat="1" x14ac:dyDescent="0.25">
      <c r="C1149" s="527"/>
      <c r="H1149" s="527"/>
      <c r="N1149" s="55"/>
      <c r="P1149" s="527"/>
      <c r="Q1149" s="529"/>
      <c r="R1149" s="529"/>
      <c r="S1149" s="529"/>
      <c r="T1149" s="529"/>
      <c r="U1149" s="529"/>
      <c r="V1149" s="529"/>
      <c r="W1149" s="529"/>
      <c r="X1149" s="529"/>
      <c r="Y1149" s="529"/>
      <c r="Z1149" s="529"/>
      <c r="AA1149" s="529"/>
      <c r="AB1149" s="529"/>
      <c r="AC1149" s="529"/>
      <c r="AD1149" s="529"/>
      <c r="AE1149" s="530"/>
      <c r="AF1149" s="529"/>
      <c r="AG1149" s="529"/>
      <c r="AH1149" s="529"/>
      <c r="AI1149" s="75"/>
    </row>
    <row r="1150" spans="3:35" s="74" customFormat="1" x14ac:dyDescent="0.25">
      <c r="C1150" s="527"/>
      <c r="H1150" s="527"/>
      <c r="N1150" s="55"/>
      <c r="P1150" s="527"/>
      <c r="Q1150" s="529"/>
      <c r="R1150" s="529"/>
      <c r="S1150" s="529"/>
      <c r="T1150" s="529"/>
      <c r="U1150" s="529"/>
      <c r="V1150" s="529"/>
      <c r="W1150" s="529"/>
      <c r="X1150" s="529"/>
      <c r="Y1150" s="529"/>
      <c r="Z1150" s="529"/>
      <c r="AA1150" s="529"/>
      <c r="AB1150" s="529"/>
      <c r="AC1150" s="529"/>
      <c r="AD1150" s="529"/>
      <c r="AE1150" s="530"/>
      <c r="AF1150" s="529"/>
      <c r="AG1150" s="529"/>
      <c r="AH1150" s="529"/>
      <c r="AI1150" s="75"/>
    </row>
    <row r="1151" spans="3:35" s="74" customFormat="1" x14ac:dyDescent="0.25">
      <c r="C1151" s="527"/>
      <c r="H1151" s="527"/>
      <c r="N1151" s="55"/>
      <c r="P1151" s="527"/>
      <c r="Q1151" s="529"/>
      <c r="R1151" s="529"/>
      <c r="S1151" s="529"/>
      <c r="T1151" s="529"/>
      <c r="U1151" s="529"/>
      <c r="V1151" s="529"/>
      <c r="W1151" s="529"/>
      <c r="X1151" s="529"/>
      <c r="Y1151" s="529"/>
      <c r="Z1151" s="529"/>
      <c r="AA1151" s="529"/>
      <c r="AB1151" s="529"/>
      <c r="AC1151" s="529"/>
      <c r="AD1151" s="529"/>
      <c r="AE1151" s="530"/>
      <c r="AF1151" s="529"/>
      <c r="AG1151" s="529"/>
      <c r="AH1151" s="529"/>
      <c r="AI1151" s="75"/>
    </row>
    <row r="1152" spans="3:35" s="74" customFormat="1" x14ac:dyDescent="0.25">
      <c r="C1152" s="527"/>
      <c r="H1152" s="527"/>
      <c r="N1152" s="55"/>
      <c r="P1152" s="527"/>
      <c r="Q1152" s="529"/>
      <c r="R1152" s="529"/>
      <c r="S1152" s="529"/>
      <c r="T1152" s="529"/>
      <c r="U1152" s="529"/>
      <c r="V1152" s="529"/>
      <c r="W1152" s="529"/>
      <c r="X1152" s="529"/>
      <c r="Y1152" s="529"/>
      <c r="Z1152" s="529"/>
      <c r="AA1152" s="529"/>
      <c r="AB1152" s="529"/>
      <c r="AC1152" s="529"/>
      <c r="AD1152" s="529"/>
      <c r="AE1152" s="530"/>
      <c r="AF1152" s="529"/>
      <c r="AG1152" s="529"/>
      <c r="AH1152" s="529"/>
      <c r="AI1152" s="75"/>
    </row>
    <row r="1153" spans="3:35" s="74" customFormat="1" x14ac:dyDescent="0.25">
      <c r="C1153" s="527"/>
      <c r="H1153" s="527"/>
      <c r="N1153" s="55"/>
      <c r="P1153" s="527"/>
      <c r="Q1153" s="529"/>
      <c r="R1153" s="529"/>
      <c r="S1153" s="529"/>
      <c r="T1153" s="529"/>
      <c r="U1153" s="529"/>
      <c r="V1153" s="529"/>
      <c r="W1153" s="529"/>
      <c r="X1153" s="529"/>
      <c r="Y1153" s="529"/>
      <c r="Z1153" s="529"/>
      <c r="AA1153" s="529"/>
      <c r="AB1153" s="529"/>
      <c r="AC1153" s="529"/>
      <c r="AD1153" s="529"/>
      <c r="AE1153" s="530"/>
      <c r="AF1153" s="529"/>
      <c r="AG1153" s="529"/>
      <c r="AH1153" s="529"/>
      <c r="AI1153" s="75"/>
    </row>
    <row r="1154" spans="3:35" s="74" customFormat="1" x14ac:dyDescent="0.25">
      <c r="C1154" s="527"/>
      <c r="H1154" s="527"/>
      <c r="N1154" s="55"/>
      <c r="P1154" s="527"/>
      <c r="Q1154" s="529"/>
      <c r="R1154" s="529"/>
      <c r="S1154" s="529"/>
      <c r="T1154" s="529"/>
      <c r="U1154" s="529"/>
      <c r="V1154" s="529"/>
      <c r="W1154" s="529"/>
      <c r="X1154" s="529"/>
      <c r="Y1154" s="529"/>
      <c r="Z1154" s="529"/>
      <c r="AA1154" s="529"/>
      <c r="AB1154" s="529"/>
      <c r="AC1154" s="529"/>
      <c r="AD1154" s="529"/>
      <c r="AE1154" s="530"/>
      <c r="AF1154" s="529"/>
      <c r="AG1154" s="529"/>
      <c r="AH1154" s="529"/>
      <c r="AI1154" s="75"/>
    </row>
    <row r="1155" spans="3:35" s="74" customFormat="1" x14ac:dyDescent="0.25">
      <c r="C1155" s="527"/>
      <c r="H1155" s="527"/>
      <c r="N1155" s="55"/>
      <c r="P1155" s="527"/>
      <c r="Q1155" s="529"/>
      <c r="R1155" s="529"/>
      <c r="S1155" s="529"/>
      <c r="T1155" s="529"/>
      <c r="U1155" s="529"/>
      <c r="V1155" s="529"/>
      <c r="W1155" s="529"/>
      <c r="X1155" s="529"/>
      <c r="Y1155" s="529"/>
      <c r="Z1155" s="529"/>
      <c r="AA1155" s="529"/>
      <c r="AB1155" s="529"/>
      <c r="AC1155" s="529"/>
      <c r="AD1155" s="529"/>
      <c r="AE1155" s="530"/>
      <c r="AF1155" s="529"/>
      <c r="AG1155" s="529"/>
      <c r="AH1155" s="529"/>
      <c r="AI1155" s="75"/>
    </row>
    <row r="1156" spans="3:35" s="74" customFormat="1" x14ac:dyDescent="0.25">
      <c r="C1156" s="527"/>
      <c r="H1156" s="527"/>
      <c r="N1156" s="55"/>
      <c r="P1156" s="527"/>
      <c r="Q1156" s="529"/>
      <c r="R1156" s="529"/>
      <c r="S1156" s="529"/>
      <c r="T1156" s="529"/>
      <c r="U1156" s="529"/>
      <c r="V1156" s="529"/>
      <c r="W1156" s="529"/>
      <c r="X1156" s="529"/>
      <c r="Y1156" s="529"/>
      <c r="Z1156" s="529"/>
      <c r="AA1156" s="529"/>
      <c r="AB1156" s="529"/>
      <c r="AC1156" s="529"/>
      <c r="AD1156" s="529"/>
      <c r="AE1156" s="530"/>
      <c r="AF1156" s="529"/>
      <c r="AG1156" s="529"/>
      <c r="AH1156" s="529"/>
      <c r="AI1156" s="75"/>
    </row>
    <row r="1157" spans="3:35" s="74" customFormat="1" x14ac:dyDescent="0.25">
      <c r="C1157" s="527"/>
      <c r="H1157" s="527"/>
      <c r="N1157" s="55"/>
      <c r="P1157" s="527"/>
      <c r="Q1157" s="529"/>
      <c r="R1157" s="529"/>
      <c r="S1157" s="529"/>
      <c r="T1157" s="529"/>
      <c r="U1157" s="529"/>
      <c r="V1157" s="529"/>
      <c r="W1157" s="529"/>
      <c r="X1157" s="529"/>
      <c r="Y1157" s="529"/>
      <c r="Z1157" s="529"/>
      <c r="AA1157" s="529"/>
      <c r="AB1157" s="529"/>
      <c r="AC1157" s="529"/>
      <c r="AD1157" s="529"/>
      <c r="AE1157" s="530"/>
      <c r="AF1157" s="529"/>
      <c r="AG1157" s="529"/>
      <c r="AH1157" s="529"/>
      <c r="AI1157" s="75"/>
    </row>
    <row r="1158" spans="3:35" s="74" customFormat="1" x14ac:dyDescent="0.25">
      <c r="C1158" s="527"/>
      <c r="H1158" s="527"/>
      <c r="N1158" s="55"/>
      <c r="P1158" s="527"/>
      <c r="Q1158" s="529"/>
      <c r="R1158" s="529"/>
      <c r="S1158" s="529"/>
      <c r="T1158" s="529"/>
      <c r="U1158" s="529"/>
      <c r="V1158" s="529"/>
      <c r="W1158" s="529"/>
      <c r="X1158" s="529"/>
      <c r="Y1158" s="529"/>
      <c r="Z1158" s="529"/>
      <c r="AA1158" s="529"/>
      <c r="AB1158" s="529"/>
      <c r="AC1158" s="529"/>
      <c r="AD1158" s="529"/>
      <c r="AE1158" s="530"/>
      <c r="AF1158" s="529"/>
      <c r="AG1158" s="529"/>
      <c r="AH1158" s="529"/>
      <c r="AI1158" s="75"/>
    </row>
    <row r="1159" spans="3:35" s="74" customFormat="1" x14ac:dyDescent="0.25">
      <c r="C1159" s="527"/>
      <c r="H1159" s="527"/>
      <c r="N1159" s="55"/>
      <c r="P1159" s="527"/>
      <c r="Q1159" s="529"/>
      <c r="R1159" s="529"/>
      <c r="S1159" s="529"/>
      <c r="T1159" s="529"/>
      <c r="U1159" s="529"/>
      <c r="V1159" s="529"/>
      <c r="W1159" s="529"/>
      <c r="X1159" s="529"/>
      <c r="Y1159" s="529"/>
      <c r="Z1159" s="529"/>
      <c r="AA1159" s="529"/>
      <c r="AB1159" s="529"/>
      <c r="AC1159" s="529"/>
      <c r="AD1159" s="529"/>
      <c r="AE1159" s="530"/>
      <c r="AF1159" s="529"/>
      <c r="AG1159" s="529"/>
      <c r="AH1159" s="529"/>
      <c r="AI1159" s="75"/>
    </row>
    <row r="1160" spans="3:35" s="74" customFormat="1" x14ac:dyDescent="0.25">
      <c r="C1160" s="527"/>
      <c r="H1160" s="527"/>
      <c r="N1160" s="55"/>
      <c r="P1160" s="527"/>
      <c r="Q1160" s="529"/>
      <c r="R1160" s="529"/>
      <c r="S1160" s="529"/>
      <c r="T1160" s="529"/>
      <c r="U1160" s="529"/>
      <c r="V1160" s="529"/>
      <c r="W1160" s="529"/>
      <c r="X1160" s="529"/>
      <c r="Y1160" s="529"/>
      <c r="Z1160" s="529"/>
      <c r="AA1160" s="529"/>
      <c r="AB1160" s="529"/>
      <c r="AC1160" s="529"/>
      <c r="AD1160" s="529"/>
      <c r="AE1160" s="530"/>
      <c r="AF1160" s="529"/>
      <c r="AG1160" s="529"/>
      <c r="AH1160" s="529"/>
      <c r="AI1160" s="75"/>
    </row>
    <row r="1161" spans="3:35" s="74" customFormat="1" x14ac:dyDescent="0.25">
      <c r="C1161" s="527"/>
      <c r="H1161" s="527"/>
      <c r="N1161" s="55"/>
      <c r="P1161" s="527"/>
      <c r="Q1161" s="529"/>
      <c r="R1161" s="529"/>
      <c r="S1161" s="529"/>
      <c r="T1161" s="529"/>
      <c r="U1161" s="529"/>
      <c r="V1161" s="529"/>
      <c r="W1161" s="529"/>
      <c r="X1161" s="529"/>
      <c r="Y1161" s="529"/>
      <c r="Z1161" s="529"/>
      <c r="AA1161" s="529"/>
      <c r="AB1161" s="529"/>
      <c r="AC1161" s="529"/>
      <c r="AD1161" s="529"/>
      <c r="AE1161" s="530"/>
      <c r="AF1161" s="529"/>
      <c r="AG1161" s="529"/>
      <c r="AH1161" s="529"/>
      <c r="AI1161" s="75"/>
    </row>
    <row r="1162" spans="3:35" s="74" customFormat="1" x14ac:dyDescent="0.25">
      <c r="C1162" s="527"/>
      <c r="H1162" s="527"/>
      <c r="N1162" s="55"/>
      <c r="P1162" s="527"/>
      <c r="Q1162" s="529"/>
      <c r="R1162" s="529"/>
      <c r="S1162" s="529"/>
      <c r="T1162" s="529"/>
      <c r="U1162" s="529"/>
      <c r="V1162" s="529"/>
      <c r="W1162" s="529"/>
      <c r="X1162" s="529"/>
      <c r="Y1162" s="529"/>
      <c r="Z1162" s="529"/>
      <c r="AA1162" s="529"/>
      <c r="AB1162" s="529"/>
      <c r="AC1162" s="529"/>
      <c r="AD1162" s="529"/>
      <c r="AE1162" s="530"/>
      <c r="AF1162" s="529"/>
      <c r="AG1162" s="529"/>
      <c r="AH1162" s="529"/>
      <c r="AI1162" s="75"/>
    </row>
    <row r="1163" spans="3:35" s="74" customFormat="1" x14ac:dyDescent="0.25">
      <c r="C1163" s="527"/>
      <c r="H1163" s="527"/>
      <c r="N1163" s="55"/>
      <c r="P1163" s="527"/>
      <c r="Q1163" s="529"/>
      <c r="R1163" s="529"/>
      <c r="S1163" s="529"/>
      <c r="T1163" s="529"/>
      <c r="U1163" s="529"/>
      <c r="V1163" s="529"/>
      <c r="W1163" s="529"/>
      <c r="X1163" s="529"/>
      <c r="Y1163" s="529"/>
      <c r="Z1163" s="529"/>
      <c r="AA1163" s="529"/>
      <c r="AB1163" s="529"/>
      <c r="AC1163" s="529"/>
      <c r="AD1163" s="529"/>
      <c r="AE1163" s="530"/>
      <c r="AF1163" s="529"/>
      <c r="AG1163" s="529"/>
      <c r="AH1163" s="529"/>
      <c r="AI1163" s="75"/>
    </row>
    <row r="1164" spans="3:35" s="74" customFormat="1" x14ac:dyDescent="0.25">
      <c r="C1164" s="527"/>
      <c r="H1164" s="527"/>
      <c r="N1164" s="55"/>
      <c r="P1164" s="527"/>
      <c r="Q1164" s="529"/>
      <c r="R1164" s="529"/>
      <c r="S1164" s="529"/>
      <c r="T1164" s="529"/>
      <c r="U1164" s="529"/>
      <c r="V1164" s="529"/>
      <c r="W1164" s="529"/>
      <c r="X1164" s="529"/>
      <c r="Y1164" s="529"/>
      <c r="Z1164" s="529"/>
      <c r="AA1164" s="529"/>
      <c r="AB1164" s="529"/>
      <c r="AC1164" s="529"/>
      <c r="AD1164" s="529"/>
      <c r="AE1164" s="530"/>
      <c r="AF1164" s="529"/>
      <c r="AG1164" s="529"/>
      <c r="AH1164" s="529"/>
      <c r="AI1164" s="75"/>
    </row>
    <row r="1165" spans="3:35" s="74" customFormat="1" x14ac:dyDescent="0.25">
      <c r="C1165" s="527"/>
      <c r="H1165" s="527"/>
      <c r="N1165" s="55"/>
      <c r="P1165" s="527"/>
      <c r="Q1165" s="529"/>
      <c r="R1165" s="529"/>
      <c r="S1165" s="529"/>
      <c r="T1165" s="529"/>
      <c r="U1165" s="529"/>
      <c r="V1165" s="529"/>
      <c r="W1165" s="529"/>
      <c r="X1165" s="529"/>
      <c r="Y1165" s="529"/>
      <c r="Z1165" s="529"/>
      <c r="AA1165" s="529"/>
      <c r="AB1165" s="529"/>
      <c r="AC1165" s="529"/>
      <c r="AD1165" s="529"/>
      <c r="AE1165" s="530"/>
      <c r="AF1165" s="529"/>
      <c r="AG1165" s="529"/>
      <c r="AH1165" s="529"/>
      <c r="AI1165" s="75"/>
    </row>
    <row r="1166" spans="3:35" s="74" customFormat="1" x14ac:dyDescent="0.25">
      <c r="C1166" s="527"/>
      <c r="H1166" s="527"/>
      <c r="N1166" s="55"/>
      <c r="P1166" s="527"/>
      <c r="Q1166" s="529"/>
      <c r="R1166" s="529"/>
      <c r="S1166" s="529"/>
      <c r="T1166" s="529"/>
      <c r="U1166" s="529"/>
      <c r="V1166" s="529"/>
      <c r="W1166" s="529"/>
      <c r="X1166" s="529"/>
      <c r="Y1166" s="529"/>
      <c r="Z1166" s="529"/>
      <c r="AA1166" s="529"/>
      <c r="AB1166" s="529"/>
      <c r="AC1166" s="529"/>
      <c r="AD1166" s="529"/>
      <c r="AE1166" s="530"/>
      <c r="AF1166" s="529"/>
      <c r="AG1166" s="529"/>
      <c r="AH1166" s="529"/>
      <c r="AI1166" s="75"/>
    </row>
    <row r="1167" spans="3:35" s="74" customFormat="1" x14ac:dyDescent="0.25">
      <c r="C1167" s="527"/>
      <c r="H1167" s="527"/>
      <c r="N1167" s="55"/>
      <c r="P1167" s="527"/>
      <c r="Q1167" s="529"/>
      <c r="R1167" s="529"/>
      <c r="S1167" s="529"/>
      <c r="T1167" s="529"/>
      <c r="U1167" s="529"/>
      <c r="V1167" s="529"/>
      <c r="W1167" s="529"/>
      <c r="X1167" s="529"/>
      <c r="Y1167" s="529"/>
      <c r="Z1167" s="529"/>
      <c r="AA1167" s="529"/>
      <c r="AB1167" s="529"/>
      <c r="AC1167" s="529"/>
      <c r="AD1167" s="529"/>
      <c r="AE1167" s="530"/>
      <c r="AF1167" s="529"/>
      <c r="AG1167" s="529"/>
      <c r="AH1167" s="529"/>
      <c r="AI1167" s="75"/>
    </row>
    <row r="1168" spans="3:35" s="74" customFormat="1" x14ac:dyDescent="0.25">
      <c r="C1168" s="527"/>
      <c r="H1168" s="527"/>
      <c r="N1168" s="55"/>
      <c r="P1168" s="527"/>
      <c r="Q1168" s="529"/>
      <c r="R1168" s="529"/>
      <c r="S1168" s="529"/>
      <c r="T1168" s="529"/>
      <c r="U1168" s="529"/>
      <c r="V1168" s="529"/>
      <c r="W1168" s="529"/>
      <c r="X1168" s="529"/>
      <c r="Y1168" s="529"/>
      <c r="Z1168" s="529"/>
      <c r="AA1168" s="529"/>
      <c r="AB1168" s="529"/>
      <c r="AC1168" s="529"/>
      <c r="AD1168" s="529"/>
      <c r="AE1168" s="530"/>
      <c r="AF1168" s="529"/>
      <c r="AG1168" s="529"/>
      <c r="AH1168" s="529"/>
      <c r="AI1168" s="75"/>
    </row>
    <row r="1169" spans="3:35" s="74" customFormat="1" x14ac:dyDescent="0.25">
      <c r="C1169" s="527"/>
      <c r="H1169" s="527"/>
      <c r="N1169" s="55"/>
      <c r="P1169" s="527"/>
      <c r="Q1169" s="529"/>
      <c r="R1169" s="529"/>
      <c r="S1169" s="529"/>
      <c r="T1169" s="529"/>
      <c r="U1169" s="529"/>
      <c r="V1169" s="529"/>
      <c r="W1169" s="529"/>
      <c r="X1169" s="529"/>
      <c r="Y1169" s="529"/>
      <c r="Z1169" s="529"/>
      <c r="AA1169" s="529"/>
      <c r="AB1169" s="529"/>
      <c r="AC1169" s="529"/>
      <c r="AD1169" s="529"/>
      <c r="AE1169" s="530"/>
      <c r="AF1169" s="529"/>
      <c r="AG1169" s="529"/>
      <c r="AH1169" s="529"/>
      <c r="AI1169" s="75"/>
    </row>
    <row r="1170" spans="3:35" s="74" customFormat="1" x14ac:dyDescent="0.25">
      <c r="C1170" s="527"/>
      <c r="H1170" s="527"/>
      <c r="N1170" s="55"/>
      <c r="P1170" s="527"/>
      <c r="Q1170" s="529"/>
      <c r="R1170" s="529"/>
      <c r="S1170" s="529"/>
      <c r="T1170" s="529"/>
      <c r="U1170" s="529"/>
      <c r="V1170" s="529"/>
      <c r="W1170" s="529"/>
      <c r="X1170" s="529"/>
      <c r="Y1170" s="529"/>
      <c r="Z1170" s="529"/>
      <c r="AA1170" s="529"/>
      <c r="AB1170" s="529"/>
      <c r="AC1170" s="529"/>
      <c r="AD1170" s="529"/>
      <c r="AE1170" s="530"/>
      <c r="AF1170" s="529"/>
      <c r="AG1170" s="529"/>
      <c r="AH1170" s="529"/>
      <c r="AI1170" s="75"/>
    </row>
    <row r="1171" spans="3:35" s="74" customFormat="1" x14ac:dyDescent="0.25">
      <c r="C1171" s="527"/>
      <c r="H1171" s="527"/>
      <c r="N1171" s="55"/>
      <c r="P1171" s="527"/>
      <c r="Q1171" s="529"/>
      <c r="R1171" s="529"/>
      <c r="S1171" s="529"/>
      <c r="T1171" s="529"/>
      <c r="U1171" s="529"/>
      <c r="V1171" s="529"/>
      <c r="W1171" s="529"/>
      <c r="X1171" s="529"/>
      <c r="Y1171" s="529"/>
      <c r="Z1171" s="529"/>
      <c r="AA1171" s="529"/>
      <c r="AB1171" s="529"/>
      <c r="AC1171" s="529"/>
      <c r="AD1171" s="529"/>
      <c r="AE1171" s="530"/>
      <c r="AF1171" s="529"/>
      <c r="AG1171" s="529"/>
      <c r="AH1171" s="529"/>
      <c r="AI1171" s="75"/>
    </row>
    <row r="1172" spans="3:35" s="74" customFormat="1" x14ac:dyDescent="0.25">
      <c r="C1172" s="527"/>
      <c r="H1172" s="527"/>
      <c r="N1172" s="55"/>
      <c r="P1172" s="527"/>
      <c r="Q1172" s="529"/>
      <c r="R1172" s="529"/>
      <c r="S1172" s="529"/>
      <c r="T1172" s="529"/>
      <c r="U1172" s="529"/>
      <c r="V1172" s="529"/>
      <c r="W1172" s="529"/>
      <c r="X1172" s="529"/>
      <c r="Y1172" s="529"/>
      <c r="Z1172" s="529"/>
      <c r="AA1172" s="529"/>
      <c r="AB1172" s="529"/>
      <c r="AC1172" s="529"/>
      <c r="AD1172" s="529"/>
      <c r="AE1172" s="530"/>
      <c r="AF1172" s="529"/>
      <c r="AG1172" s="529"/>
      <c r="AH1172" s="529"/>
      <c r="AI1172" s="75"/>
    </row>
    <row r="1173" spans="3:35" s="74" customFormat="1" x14ac:dyDescent="0.25">
      <c r="C1173" s="527"/>
      <c r="H1173" s="527"/>
      <c r="N1173" s="55"/>
      <c r="P1173" s="527"/>
      <c r="Q1173" s="529"/>
      <c r="R1173" s="529"/>
      <c r="S1173" s="529"/>
      <c r="T1173" s="529"/>
      <c r="U1173" s="529"/>
      <c r="V1173" s="529"/>
      <c r="W1173" s="529"/>
      <c r="X1173" s="529"/>
      <c r="Y1173" s="529"/>
      <c r="Z1173" s="529"/>
      <c r="AA1173" s="529"/>
      <c r="AB1173" s="529"/>
      <c r="AC1173" s="529"/>
      <c r="AD1173" s="529"/>
      <c r="AE1173" s="530"/>
      <c r="AF1173" s="529"/>
      <c r="AG1173" s="529"/>
      <c r="AH1173" s="529"/>
      <c r="AI1173" s="75"/>
    </row>
    <row r="1174" spans="3:35" s="74" customFormat="1" x14ac:dyDescent="0.25">
      <c r="C1174" s="527"/>
      <c r="H1174" s="527"/>
      <c r="N1174" s="55"/>
      <c r="P1174" s="527"/>
      <c r="Q1174" s="529"/>
      <c r="R1174" s="529"/>
      <c r="S1174" s="529"/>
      <c r="T1174" s="529"/>
      <c r="U1174" s="529"/>
      <c r="V1174" s="529"/>
      <c r="W1174" s="529"/>
      <c r="X1174" s="529"/>
      <c r="Y1174" s="529"/>
      <c r="Z1174" s="529"/>
      <c r="AA1174" s="529"/>
      <c r="AB1174" s="529"/>
      <c r="AC1174" s="529"/>
      <c r="AD1174" s="529"/>
      <c r="AE1174" s="530"/>
      <c r="AF1174" s="529"/>
      <c r="AG1174" s="529"/>
      <c r="AH1174" s="529"/>
      <c r="AI1174" s="75"/>
    </row>
    <row r="1175" spans="3:35" s="74" customFormat="1" x14ac:dyDescent="0.25">
      <c r="C1175" s="527"/>
      <c r="H1175" s="527"/>
      <c r="N1175" s="55"/>
      <c r="P1175" s="527"/>
      <c r="Q1175" s="529"/>
      <c r="R1175" s="529"/>
      <c r="S1175" s="529"/>
      <c r="T1175" s="529"/>
      <c r="U1175" s="529"/>
      <c r="V1175" s="529"/>
      <c r="W1175" s="529"/>
      <c r="X1175" s="529"/>
      <c r="Y1175" s="529"/>
      <c r="Z1175" s="529"/>
      <c r="AA1175" s="529"/>
      <c r="AB1175" s="529"/>
      <c r="AC1175" s="529"/>
      <c r="AD1175" s="529"/>
      <c r="AE1175" s="530"/>
      <c r="AF1175" s="529"/>
      <c r="AG1175" s="529"/>
      <c r="AH1175" s="529"/>
      <c r="AI1175" s="75"/>
    </row>
    <row r="1176" spans="3:35" s="74" customFormat="1" x14ac:dyDescent="0.25">
      <c r="C1176" s="527"/>
      <c r="H1176" s="527"/>
      <c r="N1176" s="55"/>
      <c r="P1176" s="527"/>
      <c r="Q1176" s="529"/>
      <c r="R1176" s="529"/>
      <c r="S1176" s="529"/>
      <c r="T1176" s="529"/>
      <c r="U1176" s="529"/>
      <c r="V1176" s="529"/>
      <c r="W1176" s="529"/>
      <c r="X1176" s="529"/>
      <c r="Y1176" s="529"/>
      <c r="Z1176" s="529"/>
      <c r="AA1176" s="529"/>
      <c r="AB1176" s="529"/>
      <c r="AC1176" s="529"/>
      <c r="AD1176" s="529"/>
      <c r="AE1176" s="530"/>
      <c r="AF1176" s="529"/>
      <c r="AG1176" s="529"/>
      <c r="AH1176" s="529"/>
      <c r="AI1176" s="75"/>
    </row>
    <row r="1177" spans="3:35" s="74" customFormat="1" x14ac:dyDescent="0.25">
      <c r="C1177" s="527"/>
      <c r="H1177" s="527"/>
      <c r="N1177" s="55"/>
      <c r="P1177" s="527"/>
      <c r="Q1177" s="529"/>
      <c r="R1177" s="529"/>
      <c r="S1177" s="529"/>
      <c r="T1177" s="529"/>
      <c r="U1177" s="529"/>
      <c r="V1177" s="529"/>
      <c r="W1177" s="529"/>
      <c r="X1177" s="529"/>
      <c r="Y1177" s="529"/>
      <c r="Z1177" s="529"/>
      <c r="AA1177" s="529"/>
      <c r="AB1177" s="529"/>
      <c r="AC1177" s="529"/>
      <c r="AD1177" s="529"/>
      <c r="AE1177" s="530"/>
      <c r="AF1177" s="529"/>
      <c r="AG1177" s="529"/>
      <c r="AH1177" s="529"/>
      <c r="AI1177" s="75"/>
    </row>
    <row r="1178" spans="3:35" s="74" customFormat="1" x14ac:dyDescent="0.25">
      <c r="C1178" s="527"/>
      <c r="H1178" s="527"/>
      <c r="N1178" s="55"/>
      <c r="P1178" s="527"/>
      <c r="Q1178" s="529"/>
      <c r="R1178" s="529"/>
      <c r="S1178" s="529"/>
      <c r="T1178" s="529"/>
      <c r="U1178" s="529"/>
      <c r="V1178" s="529"/>
      <c r="W1178" s="529"/>
      <c r="X1178" s="529"/>
      <c r="Y1178" s="529"/>
      <c r="Z1178" s="529"/>
      <c r="AA1178" s="529"/>
      <c r="AB1178" s="529"/>
      <c r="AC1178" s="529"/>
      <c r="AD1178" s="529"/>
      <c r="AE1178" s="530"/>
      <c r="AF1178" s="529"/>
      <c r="AG1178" s="529"/>
      <c r="AH1178" s="529"/>
      <c r="AI1178" s="75"/>
    </row>
    <row r="1179" spans="3:35" s="74" customFormat="1" x14ac:dyDescent="0.25">
      <c r="C1179" s="527"/>
      <c r="H1179" s="527"/>
      <c r="N1179" s="55"/>
      <c r="P1179" s="527"/>
      <c r="Q1179" s="529"/>
      <c r="R1179" s="529"/>
      <c r="S1179" s="529"/>
      <c r="T1179" s="529"/>
      <c r="U1179" s="529"/>
      <c r="V1179" s="529"/>
      <c r="W1179" s="529"/>
      <c r="X1179" s="529"/>
      <c r="Y1179" s="529"/>
      <c r="Z1179" s="529"/>
      <c r="AA1179" s="529"/>
      <c r="AB1179" s="529"/>
      <c r="AC1179" s="529"/>
      <c r="AD1179" s="529"/>
      <c r="AE1179" s="530"/>
      <c r="AF1179" s="529"/>
      <c r="AG1179" s="529"/>
      <c r="AH1179" s="529"/>
      <c r="AI1179" s="75"/>
    </row>
    <row r="1180" spans="3:35" s="74" customFormat="1" x14ac:dyDescent="0.25">
      <c r="C1180" s="527"/>
      <c r="H1180" s="527"/>
      <c r="N1180" s="55"/>
      <c r="P1180" s="527"/>
      <c r="Q1180" s="529"/>
      <c r="R1180" s="529"/>
      <c r="S1180" s="529"/>
      <c r="T1180" s="529"/>
      <c r="U1180" s="529"/>
      <c r="V1180" s="529"/>
      <c r="W1180" s="529"/>
      <c r="X1180" s="529"/>
      <c r="Y1180" s="529"/>
      <c r="Z1180" s="529"/>
      <c r="AA1180" s="529"/>
      <c r="AB1180" s="529"/>
      <c r="AC1180" s="529"/>
      <c r="AD1180" s="529"/>
      <c r="AE1180" s="530"/>
      <c r="AF1180" s="529"/>
      <c r="AG1180" s="529"/>
      <c r="AH1180" s="529"/>
      <c r="AI1180" s="75"/>
    </row>
    <row r="1181" spans="3:35" s="74" customFormat="1" x14ac:dyDescent="0.25">
      <c r="C1181" s="527"/>
      <c r="H1181" s="527"/>
      <c r="N1181" s="55"/>
      <c r="P1181" s="527"/>
      <c r="Q1181" s="529"/>
      <c r="R1181" s="529"/>
      <c r="S1181" s="529"/>
      <c r="T1181" s="529"/>
      <c r="U1181" s="529"/>
      <c r="V1181" s="529"/>
      <c r="W1181" s="529"/>
      <c r="X1181" s="529"/>
      <c r="Y1181" s="529"/>
      <c r="Z1181" s="529"/>
      <c r="AA1181" s="529"/>
      <c r="AB1181" s="529"/>
      <c r="AC1181" s="529"/>
      <c r="AD1181" s="529"/>
      <c r="AE1181" s="530"/>
      <c r="AF1181" s="529"/>
      <c r="AG1181" s="529"/>
      <c r="AH1181" s="529"/>
      <c r="AI1181" s="75"/>
    </row>
    <row r="1182" spans="3:35" s="74" customFormat="1" x14ac:dyDescent="0.25">
      <c r="C1182" s="527"/>
      <c r="H1182" s="527"/>
      <c r="N1182" s="55"/>
      <c r="P1182" s="527"/>
      <c r="Q1182" s="529"/>
      <c r="R1182" s="529"/>
      <c r="S1182" s="529"/>
      <c r="T1182" s="529"/>
      <c r="U1182" s="529"/>
      <c r="V1182" s="529"/>
      <c r="W1182" s="529"/>
      <c r="X1182" s="529"/>
      <c r="Y1182" s="529"/>
      <c r="Z1182" s="529"/>
      <c r="AA1182" s="529"/>
      <c r="AB1182" s="529"/>
      <c r="AC1182" s="529"/>
      <c r="AD1182" s="529"/>
      <c r="AE1182" s="530"/>
      <c r="AF1182" s="529"/>
      <c r="AG1182" s="529"/>
      <c r="AH1182" s="529"/>
      <c r="AI1182" s="75"/>
    </row>
    <row r="1183" spans="3:35" s="74" customFormat="1" x14ac:dyDescent="0.25">
      <c r="C1183" s="527"/>
      <c r="H1183" s="527"/>
      <c r="N1183" s="55"/>
      <c r="P1183" s="527"/>
      <c r="Q1183" s="529"/>
      <c r="R1183" s="529"/>
      <c r="S1183" s="529"/>
      <c r="T1183" s="529"/>
      <c r="U1183" s="529"/>
      <c r="V1183" s="529"/>
      <c r="W1183" s="529"/>
      <c r="X1183" s="529"/>
      <c r="Y1183" s="529"/>
      <c r="Z1183" s="529"/>
      <c r="AA1183" s="529"/>
      <c r="AB1183" s="529"/>
      <c r="AC1183" s="529"/>
      <c r="AD1183" s="529"/>
      <c r="AE1183" s="530"/>
      <c r="AF1183" s="529"/>
      <c r="AG1183" s="529"/>
      <c r="AH1183" s="529"/>
      <c r="AI1183" s="75"/>
    </row>
    <row r="1184" spans="3:35" s="74" customFormat="1" x14ac:dyDescent="0.25">
      <c r="C1184" s="527"/>
      <c r="H1184" s="527"/>
      <c r="N1184" s="55"/>
      <c r="P1184" s="527"/>
      <c r="Q1184" s="529"/>
      <c r="R1184" s="529"/>
      <c r="S1184" s="529"/>
      <c r="T1184" s="529"/>
      <c r="U1184" s="529"/>
      <c r="V1184" s="529"/>
      <c r="W1184" s="529"/>
      <c r="X1184" s="529"/>
      <c r="Y1184" s="529"/>
      <c r="Z1184" s="529"/>
      <c r="AA1184" s="529"/>
      <c r="AB1184" s="529"/>
      <c r="AC1184" s="529"/>
      <c r="AD1184" s="529"/>
      <c r="AE1184" s="530"/>
      <c r="AF1184" s="529"/>
      <c r="AG1184" s="529"/>
      <c r="AH1184" s="529"/>
      <c r="AI1184" s="75"/>
    </row>
    <row r="1185" spans="3:35" s="74" customFormat="1" x14ac:dyDescent="0.25">
      <c r="C1185" s="527"/>
      <c r="H1185" s="527"/>
      <c r="N1185" s="55"/>
      <c r="P1185" s="527"/>
      <c r="Q1185" s="529"/>
      <c r="R1185" s="529"/>
      <c r="S1185" s="529"/>
      <c r="T1185" s="529"/>
      <c r="U1185" s="529"/>
      <c r="V1185" s="529"/>
      <c r="W1185" s="529"/>
      <c r="X1185" s="529"/>
      <c r="Y1185" s="529"/>
      <c r="Z1185" s="529"/>
      <c r="AA1185" s="529"/>
      <c r="AB1185" s="529"/>
      <c r="AC1185" s="529"/>
      <c r="AD1185" s="529"/>
      <c r="AE1185" s="530"/>
      <c r="AF1185" s="529"/>
      <c r="AG1185" s="529"/>
      <c r="AH1185" s="529"/>
      <c r="AI1185" s="75"/>
    </row>
    <row r="1186" spans="3:35" s="74" customFormat="1" x14ac:dyDescent="0.25">
      <c r="C1186" s="527"/>
      <c r="H1186" s="527"/>
      <c r="N1186" s="55"/>
      <c r="P1186" s="527"/>
      <c r="Q1186" s="529"/>
      <c r="R1186" s="529"/>
      <c r="S1186" s="529"/>
      <c r="T1186" s="529"/>
      <c r="U1186" s="529"/>
      <c r="V1186" s="529"/>
      <c r="W1186" s="529"/>
      <c r="X1186" s="529"/>
      <c r="Y1186" s="529"/>
      <c r="Z1186" s="529"/>
      <c r="AA1186" s="529"/>
      <c r="AB1186" s="529"/>
      <c r="AC1186" s="529"/>
      <c r="AD1186" s="529"/>
      <c r="AE1186" s="530"/>
      <c r="AF1186" s="529"/>
      <c r="AG1186" s="529"/>
      <c r="AH1186" s="529"/>
      <c r="AI1186" s="75"/>
    </row>
    <row r="1187" spans="3:35" s="74" customFormat="1" x14ac:dyDescent="0.25">
      <c r="C1187" s="527"/>
      <c r="H1187" s="527"/>
      <c r="N1187" s="55"/>
      <c r="P1187" s="527"/>
      <c r="Q1187" s="529"/>
      <c r="R1187" s="529"/>
      <c r="S1187" s="529"/>
      <c r="T1187" s="529"/>
      <c r="U1187" s="529"/>
      <c r="V1187" s="529"/>
      <c r="W1187" s="529"/>
      <c r="X1187" s="529"/>
      <c r="Y1187" s="529"/>
      <c r="Z1187" s="529"/>
      <c r="AA1187" s="529"/>
      <c r="AB1187" s="529"/>
      <c r="AC1187" s="529"/>
      <c r="AD1187" s="529"/>
      <c r="AE1187" s="530"/>
      <c r="AF1187" s="529"/>
      <c r="AG1187" s="529"/>
      <c r="AH1187" s="529"/>
      <c r="AI1187" s="75"/>
    </row>
    <row r="1188" spans="3:35" s="74" customFormat="1" x14ac:dyDescent="0.25">
      <c r="C1188" s="527"/>
      <c r="H1188" s="527"/>
      <c r="N1188" s="55"/>
      <c r="P1188" s="527"/>
      <c r="Q1188" s="529"/>
      <c r="R1188" s="529"/>
      <c r="S1188" s="529"/>
      <c r="T1188" s="529"/>
      <c r="U1188" s="529"/>
      <c r="V1188" s="529"/>
      <c r="W1188" s="529"/>
      <c r="X1188" s="529"/>
      <c r="Y1188" s="529"/>
      <c r="Z1188" s="529"/>
      <c r="AA1188" s="529"/>
      <c r="AB1188" s="529"/>
      <c r="AC1188" s="529"/>
      <c r="AD1188" s="529"/>
      <c r="AE1188" s="530"/>
      <c r="AF1188" s="529"/>
      <c r="AG1188" s="529"/>
      <c r="AH1188" s="529"/>
      <c r="AI1188" s="75"/>
    </row>
    <row r="1189" spans="3:35" s="74" customFormat="1" x14ac:dyDescent="0.25">
      <c r="C1189" s="527"/>
      <c r="H1189" s="527"/>
      <c r="N1189" s="55"/>
      <c r="P1189" s="527"/>
      <c r="Q1189" s="529"/>
      <c r="R1189" s="529"/>
      <c r="S1189" s="529"/>
      <c r="T1189" s="529"/>
      <c r="U1189" s="529"/>
      <c r="V1189" s="529"/>
      <c r="W1189" s="529"/>
      <c r="X1189" s="529"/>
      <c r="Y1189" s="529"/>
      <c r="Z1189" s="529"/>
      <c r="AA1189" s="529"/>
      <c r="AB1189" s="529"/>
      <c r="AC1189" s="529"/>
      <c r="AD1189" s="529"/>
      <c r="AE1189" s="530"/>
      <c r="AF1189" s="529"/>
      <c r="AG1189" s="529"/>
      <c r="AH1189" s="529"/>
      <c r="AI1189" s="75"/>
    </row>
    <row r="1190" spans="3:35" s="74" customFormat="1" x14ac:dyDescent="0.25">
      <c r="C1190" s="527"/>
      <c r="H1190" s="527"/>
      <c r="N1190" s="55"/>
      <c r="P1190" s="527"/>
      <c r="Q1190" s="529"/>
      <c r="R1190" s="529"/>
      <c r="S1190" s="529"/>
      <c r="T1190" s="529"/>
      <c r="U1190" s="529"/>
      <c r="V1190" s="529"/>
      <c r="W1190" s="529"/>
      <c r="X1190" s="529"/>
      <c r="Y1190" s="529"/>
      <c r="Z1190" s="529"/>
      <c r="AA1190" s="529"/>
      <c r="AB1190" s="529"/>
      <c r="AC1190" s="529"/>
      <c r="AD1190" s="529"/>
      <c r="AE1190" s="530"/>
      <c r="AF1190" s="529"/>
      <c r="AG1190" s="529"/>
      <c r="AH1190" s="529"/>
      <c r="AI1190" s="75"/>
    </row>
    <row r="1191" spans="3:35" s="74" customFormat="1" x14ac:dyDescent="0.25">
      <c r="C1191" s="527"/>
      <c r="H1191" s="527"/>
      <c r="N1191" s="55"/>
      <c r="P1191" s="527"/>
      <c r="Q1191" s="529"/>
      <c r="R1191" s="529"/>
      <c r="S1191" s="529"/>
      <c r="T1191" s="529"/>
      <c r="U1191" s="529"/>
      <c r="V1191" s="529"/>
      <c r="W1191" s="529"/>
      <c r="X1191" s="529"/>
      <c r="Y1191" s="529"/>
      <c r="Z1191" s="529"/>
      <c r="AA1191" s="529"/>
      <c r="AB1191" s="529"/>
      <c r="AC1191" s="529"/>
      <c r="AD1191" s="529"/>
      <c r="AE1191" s="530"/>
      <c r="AF1191" s="529"/>
      <c r="AG1191" s="529"/>
      <c r="AH1191" s="529"/>
      <c r="AI1191" s="75"/>
    </row>
    <row r="1192" spans="3:35" s="74" customFormat="1" x14ac:dyDescent="0.25">
      <c r="C1192" s="527"/>
      <c r="H1192" s="527"/>
      <c r="N1192" s="55"/>
      <c r="P1192" s="527"/>
      <c r="Q1192" s="529"/>
      <c r="R1192" s="529"/>
      <c r="S1192" s="529"/>
      <c r="T1192" s="529"/>
      <c r="U1192" s="529"/>
      <c r="V1192" s="529"/>
      <c r="W1192" s="529"/>
      <c r="X1192" s="529"/>
      <c r="Y1192" s="529"/>
      <c r="Z1192" s="529"/>
      <c r="AA1192" s="529"/>
      <c r="AB1192" s="529"/>
      <c r="AC1192" s="529"/>
      <c r="AD1192" s="529"/>
      <c r="AE1192" s="530"/>
      <c r="AF1192" s="529"/>
      <c r="AG1192" s="529"/>
      <c r="AH1192" s="529"/>
      <c r="AI1192" s="75"/>
    </row>
    <row r="1193" spans="3:35" s="74" customFormat="1" x14ac:dyDescent="0.25">
      <c r="C1193" s="527"/>
      <c r="H1193" s="527"/>
      <c r="N1193" s="55"/>
      <c r="P1193" s="527"/>
      <c r="Q1193" s="529"/>
      <c r="R1193" s="529"/>
      <c r="S1193" s="529"/>
      <c r="T1193" s="529"/>
      <c r="U1193" s="529"/>
      <c r="V1193" s="529"/>
      <c r="W1193" s="529"/>
      <c r="X1193" s="529"/>
      <c r="Y1193" s="529"/>
      <c r="Z1193" s="529"/>
      <c r="AA1193" s="529"/>
      <c r="AB1193" s="529"/>
      <c r="AC1193" s="529"/>
      <c r="AD1193" s="529"/>
      <c r="AE1193" s="530"/>
      <c r="AF1193" s="529"/>
      <c r="AG1193" s="529"/>
      <c r="AH1193" s="529"/>
      <c r="AI1193" s="75"/>
    </row>
    <row r="1194" spans="3:35" s="74" customFormat="1" x14ac:dyDescent="0.25">
      <c r="C1194" s="527"/>
      <c r="H1194" s="527"/>
      <c r="N1194" s="55"/>
      <c r="P1194" s="527"/>
      <c r="Q1194" s="529"/>
      <c r="R1194" s="529"/>
      <c r="S1194" s="529"/>
      <c r="T1194" s="529"/>
      <c r="U1194" s="529"/>
      <c r="V1194" s="529"/>
      <c r="W1194" s="529"/>
      <c r="X1194" s="529"/>
      <c r="Y1194" s="529"/>
      <c r="Z1194" s="529"/>
      <c r="AA1194" s="529"/>
      <c r="AB1194" s="529"/>
      <c r="AC1194" s="529"/>
      <c r="AD1194" s="529"/>
      <c r="AE1194" s="530"/>
      <c r="AF1194" s="529"/>
      <c r="AG1194" s="529"/>
      <c r="AH1194" s="529"/>
      <c r="AI1194" s="75"/>
    </row>
    <row r="1195" spans="3:35" s="74" customFormat="1" x14ac:dyDescent="0.25">
      <c r="C1195" s="527"/>
      <c r="H1195" s="527"/>
      <c r="N1195" s="55"/>
      <c r="P1195" s="527"/>
      <c r="Q1195" s="529"/>
      <c r="R1195" s="529"/>
      <c r="S1195" s="529"/>
      <c r="T1195" s="529"/>
      <c r="U1195" s="529"/>
      <c r="V1195" s="529"/>
      <c r="W1195" s="529"/>
      <c r="X1195" s="529"/>
      <c r="Y1195" s="529"/>
      <c r="Z1195" s="529"/>
      <c r="AA1195" s="529"/>
      <c r="AB1195" s="529"/>
      <c r="AC1195" s="529"/>
      <c r="AD1195" s="529"/>
      <c r="AE1195" s="530"/>
      <c r="AF1195" s="529"/>
      <c r="AG1195" s="529"/>
      <c r="AH1195" s="529"/>
      <c r="AI1195" s="75"/>
    </row>
    <row r="1196" spans="3:35" s="74" customFormat="1" x14ac:dyDescent="0.25">
      <c r="C1196" s="527"/>
      <c r="H1196" s="527"/>
      <c r="N1196" s="55"/>
      <c r="P1196" s="527"/>
      <c r="Q1196" s="529"/>
      <c r="R1196" s="529"/>
      <c r="S1196" s="529"/>
      <c r="T1196" s="529"/>
      <c r="U1196" s="529"/>
      <c r="V1196" s="529"/>
      <c r="W1196" s="529"/>
      <c r="X1196" s="529"/>
      <c r="Y1196" s="529"/>
      <c r="Z1196" s="529"/>
      <c r="AA1196" s="529"/>
      <c r="AB1196" s="529"/>
      <c r="AC1196" s="529"/>
      <c r="AD1196" s="529"/>
      <c r="AE1196" s="530"/>
      <c r="AF1196" s="529"/>
      <c r="AG1196" s="529"/>
      <c r="AH1196" s="529"/>
      <c r="AI1196" s="75"/>
    </row>
    <row r="1197" spans="3:35" s="74" customFormat="1" x14ac:dyDescent="0.25">
      <c r="C1197" s="527"/>
      <c r="H1197" s="527"/>
      <c r="N1197" s="55"/>
      <c r="P1197" s="527"/>
      <c r="Q1197" s="529"/>
      <c r="R1197" s="529"/>
      <c r="S1197" s="529"/>
      <c r="T1197" s="529"/>
      <c r="U1197" s="529"/>
      <c r="V1197" s="529"/>
      <c r="W1197" s="529"/>
      <c r="X1197" s="529"/>
      <c r="Y1197" s="529"/>
      <c r="Z1197" s="529"/>
      <c r="AA1197" s="529"/>
      <c r="AB1197" s="529"/>
      <c r="AC1197" s="529"/>
      <c r="AD1197" s="529"/>
      <c r="AE1197" s="530"/>
      <c r="AF1197" s="529"/>
      <c r="AG1197" s="529"/>
      <c r="AH1197" s="529"/>
      <c r="AI1197" s="75"/>
    </row>
    <row r="1198" spans="3:35" s="74" customFormat="1" x14ac:dyDescent="0.25">
      <c r="C1198" s="527"/>
      <c r="H1198" s="527"/>
      <c r="N1198" s="55"/>
      <c r="P1198" s="527"/>
      <c r="Q1198" s="529"/>
      <c r="R1198" s="529"/>
      <c r="S1198" s="529"/>
      <c r="T1198" s="529"/>
      <c r="U1198" s="529"/>
      <c r="V1198" s="529"/>
      <c r="W1198" s="529"/>
      <c r="X1198" s="529"/>
      <c r="Y1198" s="529"/>
      <c r="Z1198" s="529"/>
      <c r="AA1198" s="529"/>
      <c r="AB1198" s="529"/>
      <c r="AC1198" s="529"/>
      <c r="AD1198" s="529"/>
      <c r="AE1198" s="530"/>
      <c r="AF1198" s="529"/>
      <c r="AG1198" s="529"/>
      <c r="AH1198" s="529"/>
      <c r="AI1198" s="75"/>
    </row>
    <row r="1199" spans="3:35" s="74" customFormat="1" x14ac:dyDescent="0.25">
      <c r="C1199" s="527"/>
      <c r="H1199" s="527"/>
      <c r="N1199" s="55"/>
      <c r="P1199" s="527"/>
      <c r="Q1199" s="529"/>
      <c r="R1199" s="529"/>
      <c r="S1199" s="529"/>
      <c r="T1199" s="529"/>
      <c r="U1199" s="529"/>
      <c r="V1199" s="529"/>
      <c r="W1199" s="529"/>
      <c r="X1199" s="529"/>
      <c r="Y1199" s="529"/>
      <c r="Z1199" s="529"/>
      <c r="AA1199" s="529"/>
      <c r="AB1199" s="529"/>
      <c r="AC1199" s="529"/>
      <c r="AD1199" s="529"/>
      <c r="AE1199" s="530"/>
      <c r="AF1199" s="529"/>
      <c r="AG1199" s="529"/>
      <c r="AH1199" s="529"/>
      <c r="AI1199" s="75"/>
    </row>
    <row r="1200" spans="3:35" s="74" customFormat="1" x14ac:dyDescent="0.25">
      <c r="C1200" s="527"/>
      <c r="H1200" s="527"/>
      <c r="N1200" s="55"/>
      <c r="P1200" s="527"/>
      <c r="Q1200" s="529"/>
      <c r="R1200" s="529"/>
      <c r="S1200" s="529"/>
      <c r="T1200" s="529"/>
      <c r="U1200" s="529"/>
      <c r="V1200" s="529"/>
      <c r="W1200" s="529"/>
      <c r="X1200" s="529"/>
      <c r="Y1200" s="529"/>
      <c r="Z1200" s="529"/>
      <c r="AA1200" s="529"/>
      <c r="AB1200" s="529"/>
      <c r="AC1200" s="529"/>
      <c r="AD1200" s="529"/>
      <c r="AE1200" s="530"/>
      <c r="AF1200" s="529"/>
      <c r="AG1200" s="529"/>
      <c r="AH1200" s="529"/>
      <c r="AI1200" s="75"/>
    </row>
    <row r="1201" spans="3:35" s="74" customFormat="1" x14ac:dyDescent="0.25">
      <c r="C1201" s="527"/>
      <c r="H1201" s="527"/>
      <c r="N1201" s="55"/>
      <c r="P1201" s="527"/>
      <c r="Q1201" s="529"/>
      <c r="R1201" s="529"/>
      <c r="S1201" s="529"/>
      <c r="T1201" s="529"/>
      <c r="U1201" s="529"/>
      <c r="V1201" s="529"/>
      <c r="W1201" s="529"/>
      <c r="X1201" s="529"/>
      <c r="Y1201" s="529"/>
      <c r="Z1201" s="529"/>
      <c r="AA1201" s="529"/>
      <c r="AB1201" s="529"/>
      <c r="AC1201" s="529"/>
      <c r="AD1201" s="529"/>
      <c r="AE1201" s="530"/>
      <c r="AF1201" s="529"/>
      <c r="AG1201" s="529"/>
      <c r="AH1201" s="529"/>
      <c r="AI1201" s="75"/>
    </row>
    <row r="1202" spans="3:35" s="74" customFormat="1" x14ac:dyDescent="0.25">
      <c r="C1202" s="527"/>
      <c r="H1202" s="527"/>
      <c r="N1202" s="55"/>
      <c r="P1202" s="527"/>
      <c r="Q1202" s="529"/>
      <c r="R1202" s="529"/>
      <c r="S1202" s="529"/>
      <c r="T1202" s="529"/>
      <c r="U1202" s="529"/>
      <c r="V1202" s="529"/>
      <c r="W1202" s="529"/>
      <c r="X1202" s="529"/>
      <c r="Y1202" s="529"/>
      <c r="Z1202" s="529"/>
      <c r="AA1202" s="529"/>
      <c r="AB1202" s="529"/>
      <c r="AC1202" s="529"/>
      <c r="AD1202" s="529"/>
      <c r="AE1202" s="530"/>
      <c r="AF1202" s="529"/>
      <c r="AG1202" s="529"/>
      <c r="AH1202" s="529"/>
      <c r="AI1202" s="75"/>
    </row>
    <row r="1203" spans="3:35" s="74" customFormat="1" x14ac:dyDescent="0.25">
      <c r="C1203" s="527"/>
      <c r="H1203" s="527"/>
      <c r="N1203" s="55"/>
      <c r="P1203" s="527"/>
      <c r="Q1203" s="529"/>
      <c r="R1203" s="529"/>
      <c r="S1203" s="529"/>
      <c r="T1203" s="529"/>
      <c r="U1203" s="529"/>
      <c r="V1203" s="529"/>
      <c r="W1203" s="529"/>
      <c r="X1203" s="529"/>
      <c r="Y1203" s="529"/>
      <c r="Z1203" s="529"/>
      <c r="AA1203" s="529"/>
      <c r="AB1203" s="529"/>
      <c r="AC1203" s="529"/>
      <c r="AD1203" s="529"/>
      <c r="AE1203" s="530"/>
      <c r="AF1203" s="529"/>
      <c r="AG1203" s="529"/>
      <c r="AH1203" s="529"/>
      <c r="AI1203" s="75"/>
    </row>
    <row r="1204" spans="3:35" s="74" customFormat="1" x14ac:dyDescent="0.25">
      <c r="C1204" s="527"/>
      <c r="H1204" s="527"/>
      <c r="N1204" s="55"/>
      <c r="P1204" s="527"/>
      <c r="Q1204" s="529"/>
      <c r="R1204" s="529"/>
      <c r="S1204" s="529"/>
      <c r="T1204" s="529"/>
      <c r="U1204" s="529"/>
      <c r="V1204" s="529"/>
      <c r="W1204" s="529"/>
      <c r="X1204" s="529"/>
      <c r="Y1204" s="529"/>
      <c r="Z1204" s="529"/>
      <c r="AA1204" s="529"/>
      <c r="AB1204" s="529"/>
      <c r="AC1204" s="529"/>
      <c r="AD1204" s="529"/>
      <c r="AE1204" s="530"/>
      <c r="AF1204" s="529"/>
      <c r="AG1204" s="529"/>
      <c r="AH1204" s="529"/>
      <c r="AI1204" s="75"/>
    </row>
    <row r="1205" spans="3:35" s="74" customFormat="1" x14ac:dyDescent="0.25">
      <c r="C1205" s="527"/>
      <c r="H1205" s="527"/>
      <c r="N1205" s="55"/>
      <c r="P1205" s="527"/>
      <c r="Q1205" s="529"/>
      <c r="R1205" s="529"/>
      <c r="S1205" s="529"/>
      <c r="T1205" s="529"/>
      <c r="U1205" s="529"/>
      <c r="V1205" s="529"/>
      <c r="W1205" s="529"/>
      <c r="X1205" s="529"/>
      <c r="Y1205" s="529"/>
      <c r="Z1205" s="529"/>
      <c r="AA1205" s="529"/>
      <c r="AB1205" s="529"/>
      <c r="AC1205" s="529"/>
      <c r="AD1205" s="529"/>
      <c r="AE1205" s="530"/>
      <c r="AF1205" s="529"/>
      <c r="AG1205" s="529"/>
      <c r="AH1205" s="529"/>
      <c r="AI1205" s="75"/>
    </row>
    <row r="1206" spans="3:35" s="74" customFormat="1" x14ac:dyDescent="0.25">
      <c r="C1206" s="527"/>
      <c r="H1206" s="527"/>
      <c r="N1206" s="55"/>
      <c r="P1206" s="527"/>
      <c r="Q1206" s="529"/>
      <c r="R1206" s="529"/>
      <c r="S1206" s="529"/>
      <c r="T1206" s="529"/>
      <c r="U1206" s="529"/>
      <c r="V1206" s="529"/>
      <c r="W1206" s="529"/>
      <c r="X1206" s="529"/>
      <c r="Y1206" s="529"/>
      <c r="Z1206" s="529"/>
      <c r="AA1206" s="529"/>
      <c r="AB1206" s="529"/>
      <c r="AC1206" s="529"/>
      <c r="AD1206" s="529"/>
      <c r="AE1206" s="530"/>
      <c r="AF1206" s="529"/>
      <c r="AG1206" s="529"/>
      <c r="AH1206" s="529"/>
      <c r="AI1206" s="75"/>
    </row>
    <row r="1207" spans="3:35" s="74" customFormat="1" x14ac:dyDescent="0.25">
      <c r="C1207" s="527"/>
      <c r="H1207" s="527"/>
      <c r="N1207" s="55"/>
      <c r="P1207" s="527"/>
      <c r="Q1207" s="529"/>
      <c r="R1207" s="529"/>
      <c r="S1207" s="529"/>
      <c r="T1207" s="529"/>
      <c r="U1207" s="529"/>
      <c r="V1207" s="529"/>
      <c r="W1207" s="529"/>
      <c r="X1207" s="529"/>
      <c r="Y1207" s="529"/>
      <c r="Z1207" s="529"/>
      <c r="AA1207" s="529"/>
      <c r="AB1207" s="529"/>
      <c r="AC1207" s="529"/>
      <c r="AD1207" s="529"/>
      <c r="AE1207" s="530"/>
      <c r="AF1207" s="529"/>
      <c r="AG1207" s="529"/>
      <c r="AH1207" s="529"/>
      <c r="AI1207" s="75"/>
    </row>
    <row r="1208" spans="3:35" s="74" customFormat="1" x14ac:dyDescent="0.25">
      <c r="C1208" s="527"/>
      <c r="H1208" s="527"/>
      <c r="N1208" s="55"/>
      <c r="P1208" s="527"/>
      <c r="Q1208" s="529"/>
      <c r="R1208" s="529"/>
      <c r="S1208" s="529"/>
      <c r="T1208" s="529"/>
      <c r="U1208" s="529"/>
      <c r="V1208" s="529"/>
      <c r="W1208" s="529"/>
      <c r="X1208" s="529"/>
      <c r="Y1208" s="529"/>
      <c r="Z1208" s="529"/>
      <c r="AA1208" s="529"/>
      <c r="AB1208" s="529"/>
      <c r="AC1208" s="529"/>
      <c r="AD1208" s="529"/>
      <c r="AE1208" s="530"/>
      <c r="AF1208" s="529"/>
      <c r="AG1208" s="529"/>
      <c r="AH1208" s="529"/>
      <c r="AI1208" s="75"/>
    </row>
    <row r="1209" spans="3:35" s="74" customFormat="1" x14ac:dyDescent="0.25">
      <c r="C1209" s="527"/>
      <c r="H1209" s="527"/>
      <c r="N1209" s="55"/>
      <c r="P1209" s="527"/>
      <c r="Q1209" s="529"/>
      <c r="R1209" s="529"/>
      <c r="S1209" s="529"/>
      <c r="T1209" s="529"/>
      <c r="U1209" s="529"/>
      <c r="V1209" s="529"/>
      <c r="W1209" s="529"/>
      <c r="X1209" s="529"/>
      <c r="Y1209" s="529"/>
      <c r="Z1209" s="529"/>
      <c r="AA1209" s="529"/>
      <c r="AB1209" s="529"/>
      <c r="AC1209" s="529"/>
      <c r="AD1209" s="529"/>
      <c r="AE1209" s="530"/>
      <c r="AF1209" s="529"/>
      <c r="AG1209" s="529"/>
      <c r="AH1209" s="529"/>
      <c r="AI1209" s="75"/>
    </row>
    <row r="1210" spans="3:35" s="74" customFormat="1" x14ac:dyDescent="0.25">
      <c r="C1210" s="527"/>
      <c r="H1210" s="527"/>
      <c r="N1210" s="55"/>
      <c r="P1210" s="527"/>
      <c r="Q1210" s="529"/>
      <c r="R1210" s="529"/>
      <c r="S1210" s="529"/>
      <c r="T1210" s="529"/>
      <c r="U1210" s="529"/>
      <c r="V1210" s="529"/>
      <c r="W1210" s="529"/>
      <c r="X1210" s="529"/>
      <c r="Y1210" s="529"/>
      <c r="Z1210" s="529"/>
      <c r="AA1210" s="529"/>
      <c r="AB1210" s="529"/>
      <c r="AC1210" s="529"/>
      <c r="AD1210" s="529"/>
      <c r="AE1210" s="530"/>
      <c r="AF1210" s="529"/>
      <c r="AG1210" s="529"/>
      <c r="AH1210" s="529"/>
      <c r="AI1210" s="75"/>
    </row>
    <row r="1211" spans="3:35" s="74" customFormat="1" x14ac:dyDescent="0.25">
      <c r="C1211" s="527"/>
      <c r="H1211" s="527"/>
      <c r="N1211" s="55"/>
      <c r="P1211" s="527"/>
      <c r="Q1211" s="529"/>
      <c r="R1211" s="529"/>
      <c r="S1211" s="529"/>
      <c r="T1211" s="529"/>
      <c r="U1211" s="529"/>
      <c r="V1211" s="529"/>
      <c r="W1211" s="529"/>
      <c r="X1211" s="529"/>
      <c r="Y1211" s="529"/>
      <c r="Z1211" s="529"/>
      <c r="AA1211" s="529"/>
      <c r="AB1211" s="529"/>
      <c r="AC1211" s="529"/>
      <c r="AD1211" s="529"/>
      <c r="AE1211" s="530"/>
      <c r="AF1211" s="529"/>
      <c r="AG1211" s="529"/>
      <c r="AH1211" s="529"/>
      <c r="AI1211" s="75"/>
    </row>
    <row r="1212" spans="3:35" s="74" customFormat="1" x14ac:dyDescent="0.25">
      <c r="C1212" s="527"/>
      <c r="H1212" s="527"/>
      <c r="N1212" s="55"/>
      <c r="P1212" s="527"/>
      <c r="Q1212" s="529"/>
      <c r="R1212" s="529"/>
      <c r="S1212" s="529"/>
      <c r="T1212" s="529"/>
      <c r="U1212" s="529"/>
      <c r="V1212" s="529"/>
      <c r="W1212" s="529"/>
      <c r="X1212" s="529"/>
      <c r="Y1212" s="529"/>
      <c r="Z1212" s="529"/>
      <c r="AA1212" s="529"/>
      <c r="AB1212" s="529"/>
      <c r="AC1212" s="529"/>
      <c r="AD1212" s="529"/>
      <c r="AE1212" s="530"/>
      <c r="AF1212" s="529"/>
      <c r="AG1212" s="529"/>
      <c r="AH1212" s="529"/>
      <c r="AI1212" s="75"/>
    </row>
    <row r="1213" spans="3:35" s="74" customFormat="1" x14ac:dyDescent="0.25">
      <c r="C1213" s="527"/>
      <c r="H1213" s="527"/>
      <c r="N1213" s="55"/>
      <c r="P1213" s="527"/>
      <c r="Q1213" s="529"/>
      <c r="R1213" s="529"/>
      <c r="S1213" s="529"/>
      <c r="T1213" s="529"/>
      <c r="U1213" s="529"/>
      <c r="V1213" s="529"/>
      <c r="W1213" s="529"/>
      <c r="X1213" s="529"/>
      <c r="Y1213" s="529"/>
      <c r="Z1213" s="529"/>
      <c r="AA1213" s="529"/>
      <c r="AB1213" s="529"/>
      <c r="AC1213" s="529"/>
      <c r="AD1213" s="529"/>
      <c r="AE1213" s="530"/>
      <c r="AF1213" s="529"/>
      <c r="AG1213" s="529"/>
      <c r="AH1213" s="529"/>
      <c r="AI1213" s="75"/>
    </row>
    <row r="1214" spans="3:35" s="74" customFormat="1" x14ac:dyDescent="0.25">
      <c r="C1214" s="527"/>
      <c r="H1214" s="527"/>
      <c r="N1214" s="55"/>
      <c r="P1214" s="527"/>
      <c r="Q1214" s="529"/>
      <c r="R1214" s="529"/>
      <c r="S1214" s="529"/>
      <c r="T1214" s="529"/>
      <c r="U1214" s="529"/>
      <c r="V1214" s="529"/>
      <c r="W1214" s="529"/>
      <c r="X1214" s="529"/>
      <c r="Y1214" s="529"/>
      <c r="Z1214" s="529"/>
      <c r="AA1214" s="529"/>
      <c r="AB1214" s="529"/>
      <c r="AC1214" s="529"/>
      <c r="AD1214" s="529"/>
      <c r="AE1214" s="530"/>
      <c r="AF1214" s="529"/>
      <c r="AG1214" s="529"/>
      <c r="AH1214" s="529"/>
      <c r="AI1214" s="75"/>
    </row>
    <row r="1215" spans="3:35" s="74" customFormat="1" x14ac:dyDescent="0.25">
      <c r="C1215" s="527"/>
      <c r="H1215" s="527"/>
      <c r="N1215" s="55"/>
      <c r="P1215" s="527"/>
      <c r="Q1215" s="529"/>
      <c r="R1215" s="529"/>
      <c r="S1215" s="529"/>
      <c r="T1215" s="529"/>
      <c r="U1215" s="529"/>
      <c r="V1215" s="529"/>
      <c r="W1215" s="529"/>
      <c r="X1215" s="529"/>
      <c r="Y1215" s="529"/>
      <c r="Z1215" s="529"/>
      <c r="AA1215" s="529"/>
      <c r="AB1215" s="529"/>
      <c r="AC1215" s="529"/>
      <c r="AD1215" s="529"/>
      <c r="AE1215" s="530"/>
      <c r="AF1215" s="529"/>
      <c r="AG1215" s="529"/>
      <c r="AH1215" s="529"/>
      <c r="AI1215" s="75"/>
    </row>
    <row r="1216" spans="3:35" s="74" customFormat="1" x14ac:dyDescent="0.25">
      <c r="C1216" s="527"/>
      <c r="H1216" s="527"/>
      <c r="N1216" s="55"/>
      <c r="P1216" s="527"/>
      <c r="Q1216" s="529"/>
      <c r="R1216" s="529"/>
      <c r="S1216" s="529"/>
      <c r="T1216" s="529"/>
      <c r="U1216" s="529"/>
      <c r="V1216" s="529"/>
      <c r="W1216" s="529"/>
      <c r="X1216" s="529"/>
      <c r="Y1216" s="529"/>
      <c r="Z1216" s="529"/>
      <c r="AA1216" s="529"/>
      <c r="AB1216" s="529"/>
      <c r="AC1216" s="529"/>
      <c r="AD1216" s="529"/>
      <c r="AE1216" s="530"/>
      <c r="AF1216" s="529"/>
      <c r="AG1216" s="529"/>
      <c r="AH1216" s="529"/>
      <c r="AI1216" s="75"/>
    </row>
    <row r="1217" spans="3:35" s="74" customFormat="1" x14ac:dyDescent="0.25">
      <c r="C1217" s="527"/>
      <c r="H1217" s="527"/>
      <c r="N1217" s="55"/>
      <c r="P1217" s="527"/>
      <c r="Q1217" s="529"/>
      <c r="R1217" s="529"/>
      <c r="S1217" s="529"/>
      <c r="T1217" s="529"/>
      <c r="U1217" s="529"/>
      <c r="V1217" s="529"/>
      <c r="W1217" s="529"/>
      <c r="X1217" s="529"/>
      <c r="Y1217" s="529"/>
      <c r="Z1217" s="529"/>
      <c r="AA1217" s="529"/>
      <c r="AB1217" s="529"/>
      <c r="AC1217" s="529"/>
      <c r="AD1217" s="529"/>
      <c r="AE1217" s="530"/>
      <c r="AF1217" s="529"/>
      <c r="AG1217" s="529"/>
      <c r="AH1217" s="529"/>
      <c r="AI1217" s="75"/>
    </row>
    <row r="1218" spans="3:35" s="74" customFormat="1" x14ac:dyDescent="0.25">
      <c r="C1218" s="527"/>
      <c r="H1218" s="527"/>
      <c r="N1218" s="55"/>
      <c r="P1218" s="527"/>
      <c r="Q1218" s="529"/>
      <c r="R1218" s="529"/>
      <c r="S1218" s="529"/>
      <c r="T1218" s="529"/>
      <c r="U1218" s="529"/>
      <c r="V1218" s="529"/>
      <c r="W1218" s="529"/>
      <c r="X1218" s="529"/>
      <c r="Y1218" s="529"/>
      <c r="Z1218" s="529"/>
      <c r="AA1218" s="529"/>
      <c r="AB1218" s="529"/>
      <c r="AC1218" s="529"/>
      <c r="AD1218" s="529"/>
      <c r="AE1218" s="530"/>
      <c r="AF1218" s="529"/>
      <c r="AG1218" s="529"/>
      <c r="AH1218" s="529"/>
      <c r="AI1218" s="75"/>
    </row>
    <row r="1219" spans="3:35" s="74" customFormat="1" x14ac:dyDescent="0.25">
      <c r="C1219" s="527"/>
      <c r="H1219" s="527"/>
      <c r="N1219" s="55"/>
      <c r="P1219" s="527"/>
      <c r="Q1219" s="529"/>
      <c r="R1219" s="529"/>
      <c r="S1219" s="529"/>
      <c r="T1219" s="529"/>
      <c r="U1219" s="529"/>
      <c r="V1219" s="529"/>
      <c r="W1219" s="529"/>
      <c r="X1219" s="529"/>
      <c r="Y1219" s="529"/>
      <c r="Z1219" s="529"/>
      <c r="AA1219" s="529"/>
      <c r="AB1219" s="529"/>
      <c r="AC1219" s="529"/>
      <c r="AD1219" s="529"/>
      <c r="AE1219" s="530"/>
      <c r="AF1219" s="529"/>
      <c r="AG1219" s="529"/>
      <c r="AH1219" s="529"/>
      <c r="AI1219" s="75"/>
    </row>
    <row r="1220" spans="3:35" s="74" customFormat="1" x14ac:dyDescent="0.25">
      <c r="C1220" s="527"/>
      <c r="H1220" s="527"/>
      <c r="N1220" s="55"/>
      <c r="P1220" s="527"/>
      <c r="Q1220" s="529"/>
      <c r="R1220" s="529"/>
      <c r="S1220" s="529"/>
      <c r="T1220" s="529"/>
      <c r="U1220" s="529"/>
      <c r="V1220" s="529"/>
      <c r="W1220" s="529"/>
      <c r="X1220" s="529"/>
      <c r="Y1220" s="529"/>
      <c r="Z1220" s="529"/>
      <c r="AA1220" s="529"/>
      <c r="AB1220" s="529"/>
      <c r="AC1220" s="529"/>
      <c r="AD1220" s="529"/>
      <c r="AE1220" s="530"/>
      <c r="AF1220" s="529"/>
      <c r="AG1220" s="529"/>
      <c r="AH1220" s="529"/>
      <c r="AI1220" s="75"/>
    </row>
    <row r="1221" spans="3:35" s="74" customFormat="1" x14ac:dyDescent="0.25">
      <c r="C1221" s="527"/>
      <c r="H1221" s="527"/>
      <c r="N1221" s="55"/>
      <c r="P1221" s="527"/>
      <c r="Q1221" s="529"/>
      <c r="R1221" s="529"/>
      <c r="S1221" s="529"/>
      <c r="T1221" s="529"/>
      <c r="U1221" s="529"/>
      <c r="V1221" s="529"/>
      <c r="W1221" s="529"/>
      <c r="X1221" s="529"/>
      <c r="Y1221" s="529"/>
      <c r="Z1221" s="529"/>
      <c r="AA1221" s="529"/>
      <c r="AB1221" s="529"/>
      <c r="AC1221" s="529"/>
      <c r="AD1221" s="529"/>
      <c r="AE1221" s="530"/>
      <c r="AF1221" s="529"/>
      <c r="AG1221" s="529"/>
      <c r="AH1221" s="529"/>
      <c r="AI1221" s="75"/>
    </row>
    <row r="1222" spans="3:35" s="74" customFormat="1" x14ac:dyDescent="0.25">
      <c r="C1222" s="527"/>
      <c r="H1222" s="527"/>
      <c r="N1222" s="55"/>
      <c r="P1222" s="527"/>
      <c r="Q1222" s="529"/>
      <c r="R1222" s="529"/>
      <c r="S1222" s="529"/>
      <c r="T1222" s="529"/>
      <c r="U1222" s="529"/>
      <c r="V1222" s="529"/>
      <c r="W1222" s="529"/>
      <c r="X1222" s="529"/>
      <c r="Y1222" s="529"/>
      <c r="Z1222" s="529"/>
      <c r="AA1222" s="529"/>
      <c r="AB1222" s="529"/>
      <c r="AC1222" s="529"/>
      <c r="AD1222" s="529"/>
      <c r="AE1222" s="530"/>
      <c r="AF1222" s="529"/>
      <c r="AG1222" s="529"/>
      <c r="AH1222" s="529"/>
      <c r="AI1222" s="75"/>
    </row>
    <row r="1223" spans="3:35" s="74" customFormat="1" x14ac:dyDescent="0.25">
      <c r="C1223" s="527"/>
      <c r="H1223" s="527"/>
      <c r="N1223" s="55"/>
      <c r="P1223" s="527"/>
      <c r="Q1223" s="529"/>
      <c r="R1223" s="529"/>
      <c r="S1223" s="529"/>
      <c r="T1223" s="529"/>
      <c r="U1223" s="529"/>
      <c r="V1223" s="529"/>
      <c r="W1223" s="529"/>
      <c r="X1223" s="529"/>
      <c r="Y1223" s="529"/>
      <c r="Z1223" s="529"/>
      <c r="AA1223" s="529"/>
      <c r="AB1223" s="529"/>
      <c r="AC1223" s="529"/>
      <c r="AD1223" s="529"/>
      <c r="AE1223" s="530"/>
      <c r="AF1223" s="529"/>
      <c r="AG1223" s="529"/>
      <c r="AH1223" s="529"/>
      <c r="AI1223" s="75"/>
    </row>
    <row r="1224" spans="3:35" s="74" customFormat="1" x14ac:dyDescent="0.25">
      <c r="C1224" s="527"/>
      <c r="H1224" s="527"/>
      <c r="N1224" s="55"/>
      <c r="P1224" s="527"/>
      <c r="Q1224" s="529"/>
      <c r="R1224" s="529"/>
      <c r="S1224" s="529"/>
      <c r="T1224" s="529"/>
      <c r="U1224" s="529"/>
      <c r="V1224" s="529"/>
      <c r="W1224" s="529"/>
      <c r="X1224" s="529"/>
      <c r="Y1224" s="529"/>
      <c r="Z1224" s="529"/>
      <c r="AA1224" s="529"/>
      <c r="AB1224" s="529"/>
      <c r="AC1224" s="529"/>
      <c r="AD1224" s="529"/>
      <c r="AE1224" s="530"/>
      <c r="AF1224" s="529"/>
      <c r="AG1224" s="529"/>
      <c r="AH1224" s="529"/>
      <c r="AI1224" s="75"/>
    </row>
    <row r="1225" spans="3:35" s="74" customFormat="1" x14ac:dyDescent="0.25">
      <c r="C1225" s="527"/>
      <c r="H1225" s="527"/>
      <c r="N1225" s="55"/>
      <c r="P1225" s="527"/>
      <c r="Q1225" s="529"/>
      <c r="R1225" s="529"/>
      <c r="S1225" s="529"/>
      <c r="T1225" s="529"/>
      <c r="U1225" s="529"/>
      <c r="V1225" s="529"/>
      <c r="W1225" s="529"/>
      <c r="X1225" s="529"/>
      <c r="Y1225" s="529"/>
      <c r="Z1225" s="529"/>
      <c r="AA1225" s="529"/>
      <c r="AB1225" s="529"/>
      <c r="AC1225" s="529"/>
      <c r="AD1225" s="529"/>
      <c r="AE1225" s="530"/>
      <c r="AF1225" s="529"/>
      <c r="AG1225" s="529"/>
      <c r="AH1225" s="529"/>
      <c r="AI1225" s="75"/>
    </row>
    <row r="1226" spans="3:35" s="74" customFormat="1" x14ac:dyDescent="0.25">
      <c r="C1226" s="527"/>
      <c r="H1226" s="527"/>
      <c r="N1226" s="55"/>
      <c r="P1226" s="527"/>
      <c r="Q1226" s="529"/>
      <c r="R1226" s="529"/>
      <c r="S1226" s="529"/>
      <c r="T1226" s="529"/>
      <c r="U1226" s="529"/>
      <c r="V1226" s="529"/>
      <c r="W1226" s="529"/>
      <c r="X1226" s="529"/>
      <c r="Y1226" s="529"/>
      <c r="Z1226" s="529"/>
      <c r="AA1226" s="529"/>
      <c r="AB1226" s="529"/>
      <c r="AC1226" s="529"/>
      <c r="AD1226" s="529"/>
      <c r="AE1226" s="530"/>
      <c r="AF1226" s="529"/>
      <c r="AG1226" s="529"/>
      <c r="AH1226" s="529"/>
      <c r="AI1226" s="75"/>
    </row>
    <row r="1227" spans="3:35" s="74" customFormat="1" x14ac:dyDescent="0.25">
      <c r="C1227" s="527"/>
      <c r="H1227" s="527"/>
      <c r="N1227" s="55"/>
      <c r="P1227" s="527"/>
      <c r="Q1227" s="529"/>
      <c r="R1227" s="529"/>
      <c r="S1227" s="529"/>
      <c r="T1227" s="529"/>
      <c r="U1227" s="529"/>
      <c r="V1227" s="529"/>
      <c r="W1227" s="529"/>
      <c r="X1227" s="529"/>
      <c r="Y1227" s="529"/>
      <c r="Z1227" s="529"/>
      <c r="AA1227" s="529"/>
      <c r="AB1227" s="529"/>
      <c r="AC1227" s="529"/>
      <c r="AD1227" s="529"/>
      <c r="AE1227" s="530"/>
      <c r="AF1227" s="529"/>
      <c r="AG1227" s="529"/>
      <c r="AH1227" s="529"/>
      <c r="AI1227" s="75"/>
    </row>
    <row r="1228" spans="3:35" s="74" customFormat="1" x14ac:dyDescent="0.25">
      <c r="C1228" s="527"/>
      <c r="H1228" s="527"/>
      <c r="N1228" s="55"/>
      <c r="P1228" s="527"/>
      <c r="Q1228" s="529"/>
      <c r="R1228" s="529"/>
      <c r="S1228" s="529"/>
      <c r="T1228" s="529"/>
      <c r="U1228" s="529"/>
      <c r="V1228" s="529"/>
      <c r="W1228" s="529"/>
      <c r="X1228" s="529"/>
      <c r="Y1228" s="529"/>
      <c r="Z1228" s="529"/>
      <c r="AA1228" s="529"/>
      <c r="AB1228" s="529"/>
      <c r="AC1228" s="529"/>
      <c r="AD1228" s="529"/>
      <c r="AE1228" s="530"/>
      <c r="AF1228" s="529"/>
      <c r="AG1228" s="529"/>
      <c r="AH1228" s="529"/>
      <c r="AI1228" s="75"/>
    </row>
    <row r="1229" spans="3:35" s="74" customFormat="1" x14ac:dyDescent="0.25">
      <c r="C1229" s="527"/>
      <c r="H1229" s="527"/>
      <c r="N1229" s="55"/>
      <c r="P1229" s="527"/>
      <c r="Q1229" s="529"/>
      <c r="R1229" s="529"/>
      <c r="S1229" s="529"/>
      <c r="T1229" s="529"/>
      <c r="U1229" s="529"/>
      <c r="V1229" s="529"/>
      <c r="W1229" s="529"/>
      <c r="X1229" s="529"/>
      <c r="Y1229" s="529"/>
      <c r="Z1229" s="529"/>
      <c r="AA1229" s="529"/>
      <c r="AB1229" s="529"/>
      <c r="AC1229" s="529"/>
      <c r="AD1229" s="529"/>
      <c r="AE1229" s="530"/>
      <c r="AF1229" s="529"/>
      <c r="AG1229" s="529"/>
      <c r="AH1229" s="529"/>
      <c r="AI1229" s="75"/>
    </row>
    <row r="1230" spans="3:35" s="74" customFormat="1" x14ac:dyDescent="0.25">
      <c r="C1230" s="527"/>
      <c r="H1230" s="527"/>
      <c r="N1230" s="55"/>
      <c r="P1230" s="527"/>
      <c r="Q1230" s="529"/>
      <c r="R1230" s="529"/>
      <c r="S1230" s="529"/>
      <c r="T1230" s="529"/>
      <c r="U1230" s="529"/>
      <c r="V1230" s="529"/>
      <c r="W1230" s="529"/>
      <c r="X1230" s="529"/>
      <c r="Y1230" s="529"/>
      <c r="Z1230" s="529"/>
      <c r="AA1230" s="529"/>
      <c r="AB1230" s="529"/>
      <c r="AC1230" s="529"/>
      <c r="AD1230" s="529"/>
      <c r="AE1230" s="530"/>
      <c r="AF1230" s="529"/>
      <c r="AG1230" s="529"/>
      <c r="AH1230" s="529"/>
      <c r="AI1230" s="75"/>
    </row>
    <row r="1231" spans="3:35" s="74" customFormat="1" x14ac:dyDescent="0.25">
      <c r="C1231" s="527"/>
      <c r="H1231" s="527"/>
      <c r="N1231" s="55"/>
      <c r="P1231" s="527"/>
      <c r="Q1231" s="529"/>
      <c r="R1231" s="529"/>
      <c r="S1231" s="529"/>
      <c r="T1231" s="529"/>
      <c r="U1231" s="529"/>
      <c r="V1231" s="529"/>
      <c r="W1231" s="529"/>
      <c r="X1231" s="529"/>
      <c r="Y1231" s="529"/>
      <c r="Z1231" s="529"/>
      <c r="AA1231" s="529"/>
      <c r="AB1231" s="529"/>
      <c r="AC1231" s="529"/>
      <c r="AD1231" s="529"/>
      <c r="AE1231" s="530"/>
      <c r="AF1231" s="529"/>
      <c r="AG1231" s="529"/>
      <c r="AH1231" s="529"/>
      <c r="AI1231" s="75"/>
    </row>
    <row r="1232" spans="3:35" s="74" customFormat="1" x14ac:dyDescent="0.25">
      <c r="C1232" s="527"/>
      <c r="H1232" s="527"/>
      <c r="N1232" s="55"/>
      <c r="P1232" s="527"/>
      <c r="Q1232" s="529"/>
      <c r="R1232" s="529"/>
      <c r="S1232" s="529"/>
      <c r="T1232" s="529"/>
      <c r="U1232" s="529"/>
      <c r="V1232" s="529"/>
      <c r="W1232" s="529"/>
      <c r="X1232" s="529"/>
      <c r="Y1232" s="529"/>
      <c r="Z1232" s="529"/>
      <c r="AA1232" s="529"/>
      <c r="AB1232" s="529"/>
      <c r="AC1232" s="529"/>
      <c r="AD1232" s="529"/>
      <c r="AE1232" s="530"/>
      <c r="AF1232" s="529"/>
      <c r="AG1232" s="529"/>
      <c r="AH1232" s="529"/>
      <c r="AI1232" s="75"/>
    </row>
    <row r="1233" spans="3:35" s="74" customFormat="1" x14ac:dyDescent="0.25">
      <c r="C1233" s="527"/>
      <c r="H1233" s="527"/>
      <c r="N1233" s="55"/>
      <c r="P1233" s="527"/>
      <c r="Q1233" s="529"/>
      <c r="R1233" s="529"/>
      <c r="S1233" s="529"/>
      <c r="T1233" s="529"/>
      <c r="U1233" s="529"/>
      <c r="V1233" s="529"/>
      <c r="W1233" s="529"/>
      <c r="X1233" s="529"/>
      <c r="Y1233" s="529"/>
      <c r="Z1233" s="529"/>
      <c r="AA1233" s="529"/>
      <c r="AB1233" s="529"/>
      <c r="AC1233" s="529"/>
      <c r="AD1233" s="529"/>
      <c r="AE1233" s="530"/>
      <c r="AF1233" s="529"/>
      <c r="AG1233" s="529"/>
      <c r="AH1233" s="529"/>
      <c r="AI1233" s="75"/>
    </row>
    <row r="1234" spans="3:35" s="74" customFormat="1" x14ac:dyDescent="0.25">
      <c r="C1234" s="527"/>
      <c r="H1234" s="527"/>
      <c r="N1234" s="55"/>
      <c r="P1234" s="527"/>
      <c r="Q1234" s="529"/>
      <c r="R1234" s="529"/>
      <c r="S1234" s="529"/>
      <c r="T1234" s="529"/>
      <c r="U1234" s="529"/>
      <c r="V1234" s="529"/>
      <c r="W1234" s="529"/>
      <c r="X1234" s="529"/>
      <c r="Y1234" s="529"/>
      <c r="Z1234" s="529"/>
      <c r="AA1234" s="529"/>
      <c r="AB1234" s="529"/>
      <c r="AC1234" s="529"/>
      <c r="AD1234" s="529"/>
      <c r="AE1234" s="530"/>
      <c r="AF1234" s="529"/>
      <c r="AG1234" s="529"/>
      <c r="AH1234" s="529"/>
      <c r="AI1234" s="75"/>
    </row>
    <row r="1235" spans="3:35" s="74" customFormat="1" x14ac:dyDescent="0.25">
      <c r="C1235" s="527"/>
      <c r="H1235" s="527"/>
      <c r="N1235" s="55"/>
      <c r="P1235" s="527"/>
      <c r="Q1235" s="529"/>
      <c r="R1235" s="529"/>
      <c r="S1235" s="529"/>
      <c r="T1235" s="529"/>
      <c r="U1235" s="529"/>
      <c r="V1235" s="529"/>
      <c r="W1235" s="529"/>
      <c r="X1235" s="529"/>
      <c r="Y1235" s="529"/>
      <c r="Z1235" s="529"/>
      <c r="AA1235" s="529"/>
      <c r="AB1235" s="529"/>
      <c r="AC1235" s="529"/>
      <c r="AD1235" s="529"/>
      <c r="AE1235" s="530"/>
      <c r="AF1235" s="529"/>
      <c r="AG1235" s="529"/>
      <c r="AH1235" s="529"/>
      <c r="AI1235" s="75"/>
    </row>
    <row r="1236" spans="3:35" s="74" customFormat="1" x14ac:dyDescent="0.25">
      <c r="C1236" s="527"/>
      <c r="H1236" s="527"/>
      <c r="N1236" s="55"/>
      <c r="P1236" s="527"/>
      <c r="Q1236" s="529"/>
      <c r="R1236" s="529"/>
      <c r="S1236" s="529"/>
      <c r="T1236" s="529"/>
      <c r="U1236" s="529"/>
      <c r="V1236" s="529"/>
      <c r="W1236" s="529"/>
      <c r="X1236" s="529"/>
      <c r="Y1236" s="529"/>
      <c r="Z1236" s="529"/>
      <c r="AA1236" s="529"/>
      <c r="AB1236" s="529"/>
      <c r="AC1236" s="529"/>
      <c r="AD1236" s="529"/>
      <c r="AE1236" s="530"/>
      <c r="AF1236" s="529"/>
      <c r="AG1236" s="529"/>
      <c r="AH1236" s="529"/>
      <c r="AI1236" s="75"/>
    </row>
    <row r="1237" spans="3:35" s="74" customFormat="1" x14ac:dyDescent="0.25">
      <c r="C1237" s="527"/>
      <c r="H1237" s="527"/>
      <c r="N1237" s="55"/>
      <c r="P1237" s="527"/>
      <c r="Q1237" s="529"/>
      <c r="R1237" s="529"/>
      <c r="S1237" s="529"/>
      <c r="T1237" s="529"/>
      <c r="U1237" s="529"/>
      <c r="V1237" s="529"/>
      <c r="W1237" s="529"/>
      <c r="X1237" s="529"/>
      <c r="Y1237" s="529"/>
      <c r="Z1237" s="529"/>
      <c r="AA1237" s="529"/>
      <c r="AB1237" s="529"/>
      <c r="AC1237" s="529"/>
      <c r="AD1237" s="529"/>
      <c r="AE1237" s="530"/>
      <c r="AF1237" s="529"/>
      <c r="AG1237" s="529"/>
      <c r="AH1237" s="529"/>
      <c r="AI1237" s="75"/>
    </row>
    <row r="1238" spans="3:35" s="74" customFormat="1" x14ac:dyDescent="0.25">
      <c r="C1238" s="527"/>
      <c r="H1238" s="527"/>
      <c r="N1238" s="55"/>
      <c r="P1238" s="527"/>
      <c r="Q1238" s="529"/>
      <c r="R1238" s="529"/>
      <c r="S1238" s="529"/>
      <c r="T1238" s="529"/>
      <c r="U1238" s="529"/>
      <c r="V1238" s="529"/>
      <c r="W1238" s="529"/>
      <c r="X1238" s="529"/>
      <c r="Y1238" s="529"/>
      <c r="Z1238" s="529"/>
      <c r="AA1238" s="529"/>
      <c r="AB1238" s="529"/>
      <c r="AC1238" s="529"/>
      <c r="AD1238" s="529"/>
      <c r="AE1238" s="530"/>
      <c r="AF1238" s="529"/>
      <c r="AG1238" s="529"/>
      <c r="AH1238" s="529"/>
      <c r="AI1238" s="75"/>
    </row>
    <row r="1239" spans="3:35" s="74" customFormat="1" x14ac:dyDescent="0.25">
      <c r="C1239" s="527"/>
      <c r="H1239" s="527"/>
      <c r="N1239" s="55"/>
      <c r="P1239" s="527"/>
      <c r="Q1239" s="529"/>
      <c r="R1239" s="529"/>
      <c r="S1239" s="529"/>
      <c r="T1239" s="529"/>
      <c r="U1239" s="529"/>
      <c r="V1239" s="529"/>
      <c r="W1239" s="529"/>
      <c r="X1239" s="529"/>
      <c r="Y1239" s="529"/>
      <c r="Z1239" s="529"/>
      <c r="AA1239" s="529"/>
      <c r="AB1239" s="529"/>
      <c r="AC1239" s="529"/>
      <c r="AD1239" s="529"/>
      <c r="AE1239" s="530"/>
      <c r="AF1239" s="529"/>
      <c r="AG1239" s="529"/>
      <c r="AH1239" s="529"/>
      <c r="AI1239" s="75"/>
    </row>
    <row r="1240" spans="3:35" s="74" customFormat="1" x14ac:dyDescent="0.25">
      <c r="C1240" s="527"/>
      <c r="H1240" s="527"/>
      <c r="N1240" s="55"/>
      <c r="P1240" s="527"/>
      <c r="Q1240" s="529"/>
      <c r="R1240" s="529"/>
      <c r="S1240" s="529"/>
      <c r="T1240" s="529"/>
      <c r="U1240" s="529"/>
      <c r="V1240" s="529"/>
      <c r="W1240" s="529"/>
      <c r="X1240" s="529"/>
      <c r="Y1240" s="529"/>
      <c r="Z1240" s="529"/>
      <c r="AA1240" s="529"/>
      <c r="AB1240" s="529"/>
      <c r="AC1240" s="529"/>
      <c r="AD1240" s="529"/>
      <c r="AE1240" s="530"/>
      <c r="AF1240" s="529"/>
      <c r="AG1240" s="529"/>
      <c r="AH1240" s="529"/>
      <c r="AI1240" s="75"/>
    </row>
    <row r="1241" spans="3:35" s="74" customFormat="1" x14ac:dyDescent="0.25">
      <c r="C1241" s="527"/>
      <c r="H1241" s="527"/>
      <c r="N1241" s="55"/>
      <c r="P1241" s="527"/>
      <c r="Q1241" s="529"/>
      <c r="R1241" s="529"/>
      <c r="S1241" s="529"/>
      <c r="T1241" s="529"/>
      <c r="U1241" s="529"/>
      <c r="V1241" s="529"/>
      <c r="W1241" s="529"/>
      <c r="X1241" s="529"/>
      <c r="Y1241" s="529"/>
      <c r="Z1241" s="529"/>
      <c r="AA1241" s="529"/>
      <c r="AB1241" s="529"/>
      <c r="AC1241" s="529"/>
      <c r="AD1241" s="529"/>
      <c r="AE1241" s="530"/>
      <c r="AF1241" s="529"/>
      <c r="AG1241" s="529"/>
      <c r="AH1241" s="529"/>
      <c r="AI1241" s="75"/>
    </row>
    <row r="1242" spans="3:35" s="74" customFormat="1" x14ac:dyDescent="0.25">
      <c r="C1242" s="527"/>
      <c r="H1242" s="527"/>
      <c r="N1242" s="55"/>
      <c r="P1242" s="527"/>
      <c r="Q1242" s="529"/>
      <c r="R1242" s="529"/>
      <c r="S1242" s="529"/>
      <c r="T1242" s="529"/>
      <c r="U1242" s="529"/>
      <c r="V1242" s="529"/>
      <c r="W1242" s="529"/>
      <c r="X1242" s="529"/>
      <c r="Y1242" s="529"/>
      <c r="Z1242" s="529"/>
      <c r="AA1242" s="529"/>
      <c r="AB1242" s="529"/>
      <c r="AC1242" s="529"/>
      <c r="AD1242" s="529"/>
      <c r="AE1242" s="530"/>
      <c r="AF1242" s="529"/>
      <c r="AG1242" s="529"/>
      <c r="AH1242" s="529"/>
      <c r="AI1242" s="75"/>
    </row>
    <row r="1243" spans="3:35" s="74" customFormat="1" x14ac:dyDescent="0.25">
      <c r="C1243" s="527"/>
      <c r="H1243" s="527"/>
      <c r="N1243" s="55"/>
      <c r="P1243" s="527"/>
      <c r="Q1243" s="529"/>
      <c r="R1243" s="529"/>
      <c r="S1243" s="529"/>
      <c r="T1243" s="529"/>
      <c r="U1243" s="529"/>
      <c r="V1243" s="529"/>
      <c r="W1243" s="529"/>
      <c r="X1243" s="529"/>
      <c r="Y1243" s="529"/>
      <c r="Z1243" s="529"/>
      <c r="AA1243" s="529"/>
      <c r="AB1243" s="529"/>
      <c r="AC1243" s="529"/>
      <c r="AD1243" s="529"/>
      <c r="AE1243" s="530"/>
      <c r="AF1243" s="529"/>
      <c r="AG1243" s="529"/>
      <c r="AH1243" s="529"/>
      <c r="AI1243" s="75"/>
    </row>
    <row r="1244" spans="3:35" s="74" customFormat="1" x14ac:dyDescent="0.25">
      <c r="C1244" s="527"/>
      <c r="H1244" s="527"/>
      <c r="N1244" s="55"/>
      <c r="P1244" s="527"/>
      <c r="Q1244" s="529"/>
      <c r="R1244" s="529"/>
      <c r="S1244" s="529"/>
      <c r="T1244" s="529"/>
      <c r="U1244" s="529"/>
      <c r="V1244" s="529"/>
      <c r="W1244" s="529"/>
      <c r="X1244" s="529"/>
      <c r="Y1244" s="529"/>
      <c r="Z1244" s="529"/>
      <c r="AA1244" s="529"/>
      <c r="AB1244" s="529"/>
      <c r="AC1244" s="529"/>
      <c r="AD1244" s="529"/>
      <c r="AE1244" s="530"/>
      <c r="AF1244" s="529"/>
      <c r="AG1244" s="529"/>
      <c r="AH1244" s="529"/>
      <c r="AI1244" s="75"/>
    </row>
    <row r="1245" spans="3:35" s="74" customFormat="1" x14ac:dyDescent="0.25">
      <c r="C1245" s="527"/>
      <c r="H1245" s="527"/>
      <c r="N1245" s="55"/>
      <c r="P1245" s="527"/>
      <c r="Q1245" s="529"/>
      <c r="R1245" s="529"/>
      <c r="S1245" s="529"/>
      <c r="T1245" s="529"/>
      <c r="U1245" s="529"/>
      <c r="V1245" s="529"/>
      <c r="W1245" s="529"/>
      <c r="X1245" s="529"/>
      <c r="Y1245" s="529"/>
      <c r="Z1245" s="529"/>
      <c r="AA1245" s="529"/>
      <c r="AB1245" s="529"/>
      <c r="AC1245" s="529"/>
      <c r="AD1245" s="529"/>
      <c r="AE1245" s="530"/>
      <c r="AF1245" s="529"/>
      <c r="AG1245" s="529"/>
      <c r="AH1245" s="529"/>
      <c r="AI1245" s="75"/>
    </row>
    <row r="1246" spans="3:35" s="74" customFormat="1" x14ac:dyDescent="0.25">
      <c r="C1246" s="527"/>
      <c r="H1246" s="527"/>
      <c r="N1246" s="55"/>
      <c r="P1246" s="527"/>
      <c r="Q1246" s="529"/>
      <c r="R1246" s="529"/>
      <c r="S1246" s="529"/>
      <c r="T1246" s="529"/>
      <c r="U1246" s="529"/>
      <c r="V1246" s="529"/>
      <c r="W1246" s="529"/>
      <c r="X1246" s="529"/>
      <c r="Y1246" s="529"/>
      <c r="Z1246" s="529"/>
      <c r="AA1246" s="529"/>
      <c r="AB1246" s="529"/>
      <c r="AC1246" s="529"/>
      <c r="AD1246" s="529"/>
      <c r="AE1246" s="530"/>
      <c r="AF1246" s="529"/>
      <c r="AG1246" s="529"/>
      <c r="AH1246" s="529"/>
      <c r="AI1246" s="75"/>
    </row>
    <row r="1247" spans="3:35" s="74" customFormat="1" x14ac:dyDescent="0.25">
      <c r="C1247" s="527"/>
      <c r="H1247" s="527"/>
      <c r="N1247" s="55"/>
      <c r="P1247" s="527"/>
      <c r="Q1247" s="529"/>
      <c r="R1247" s="529"/>
      <c r="S1247" s="529"/>
      <c r="T1247" s="529"/>
      <c r="U1247" s="529"/>
      <c r="V1247" s="529"/>
      <c r="W1247" s="529"/>
      <c r="X1247" s="529"/>
      <c r="Y1247" s="529"/>
      <c r="Z1247" s="529"/>
      <c r="AA1247" s="529"/>
      <c r="AB1247" s="529"/>
      <c r="AC1247" s="529"/>
      <c r="AD1247" s="529"/>
      <c r="AE1247" s="530"/>
      <c r="AF1247" s="529"/>
      <c r="AG1247" s="529"/>
      <c r="AH1247" s="529"/>
      <c r="AI1247" s="75"/>
    </row>
    <row r="1248" spans="3:35" s="74" customFormat="1" x14ac:dyDescent="0.25">
      <c r="C1248" s="527"/>
      <c r="H1248" s="527"/>
      <c r="N1248" s="55"/>
      <c r="P1248" s="527"/>
      <c r="Q1248" s="529"/>
      <c r="R1248" s="529"/>
      <c r="S1248" s="529"/>
      <c r="T1248" s="529"/>
      <c r="U1248" s="529"/>
      <c r="V1248" s="529"/>
      <c r="W1248" s="529"/>
      <c r="X1248" s="529"/>
      <c r="Y1248" s="529"/>
      <c r="Z1248" s="529"/>
      <c r="AA1248" s="529"/>
      <c r="AB1248" s="529"/>
      <c r="AC1248" s="529"/>
      <c r="AD1248" s="529"/>
      <c r="AE1248" s="530"/>
      <c r="AF1248" s="529"/>
      <c r="AG1248" s="529"/>
      <c r="AH1248" s="529"/>
      <c r="AI1248" s="75"/>
    </row>
    <row r="1249" spans="3:35" s="74" customFormat="1" x14ac:dyDescent="0.25">
      <c r="C1249" s="527"/>
      <c r="H1249" s="527"/>
      <c r="N1249" s="55"/>
      <c r="P1249" s="527"/>
      <c r="Q1249" s="529"/>
      <c r="R1249" s="529"/>
      <c r="S1249" s="529"/>
      <c r="T1249" s="529"/>
      <c r="U1249" s="529"/>
      <c r="V1249" s="529"/>
      <c r="W1249" s="529"/>
      <c r="X1249" s="529"/>
      <c r="Y1249" s="529"/>
      <c r="Z1249" s="529"/>
      <c r="AA1249" s="529"/>
      <c r="AB1249" s="529"/>
      <c r="AC1249" s="529"/>
      <c r="AD1249" s="529"/>
      <c r="AE1249" s="530"/>
      <c r="AF1249" s="529"/>
      <c r="AG1249" s="529"/>
      <c r="AH1249" s="529"/>
      <c r="AI1249" s="75"/>
    </row>
    <row r="1250" spans="3:35" s="74" customFormat="1" x14ac:dyDescent="0.25">
      <c r="C1250" s="527"/>
      <c r="H1250" s="527"/>
      <c r="N1250" s="55"/>
      <c r="P1250" s="527"/>
      <c r="Q1250" s="529"/>
      <c r="R1250" s="529"/>
      <c r="S1250" s="529"/>
      <c r="T1250" s="529"/>
      <c r="U1250" s="529"/>
      <c r="V1250" s="529"/>
      <c r="W1250" s="529"/>
      <c r="X1250" s="529"/>
      <c r="Y1250" s="529"/>
      <c r="Z1250" s="529"/>
      <c r="AA1250" s="529"/>
      <c r="AB1250" s="529"/>
      <c r="AC1250" s="529"/>
      <c r="AD1250" s="529"/>
      <c r="AE1250" s="530"/>
      <c r="AF1250" s="529"/>
      <c r="AG1250" s="529"/>
      <c r="AH1250" s="529"/>
      <c r="AI1250" s="75"/>
    </row>
    <row r="1251" spans="3:35" s="74" customFormat="1" x14ac:dyDescent="0.25">
      <c r="C1251" s="527"/>
      <c r="H1251" s="527"/>
      <c r="N1251" s="55"/>
      <c r="P1251" s="527"/>
      <c r="Q1251" s="529"/>
      <c r="R1251" s="529"/>
      <c r="S1251" s="529"/>
      <c r="T1251" s="529"/>
      <c r="U1251" s="529"/>
      <c r="V1251" s="529"/>
      <c r="W1251" s="529"/>
      <c r="X1251" s="529"/>
      <c r="Y1251" s="529"/>
      <c r="Z1251" s="529"/>
      <c r="AA1251" s="529"/>
      <c r="AB1251" s="529"/>
      <c r="AC1251" s="529"/>
      <c r="AD1251" s="529"/>
      <c r="AE1251" s="530"/>
      <c r="AF1251" s="529"/>
      <c r="AG1251" s="529"/>
      <c r="AH1251" s="529"/>
      <c r="AI1251" s="75"/>
    </row>
    <row r="1252" spans="3:35" s="74" customFormat="1" x14ac:dyDescent="0.25">
      <c r="C1252" s="527"/>
      <c r="H1252" s="527"/>
      <c r="N1252" s="55"/>
      <c r="P1252" s="527"/>
      <c r="Q1252" s="529"/>
      <c r="R1252" s="529"/>
      <c r="S1252" s="529"/>
      <c r="T1252" s="529"/>
      <c r="U1252" s="529"/>
      <c r="V1252" s="529"/>
      <c r="W1252" s="529"/>
      <c r="X1252" s="529"/>
      <c r="Y1252" s="529"/>
      <c r="Z1252" s="529"/>
      <c r="AA1252" s="529"/>
      <c r="AB1252" s="529"/>
      <c r="AC1252" s="529"/>
      <c r="AD1252" s="529"/>
      <c r="AE1252" s="530"/>
      <c r="AF1252" s="529"/>
      <c r="AG1252" s="529"/>
      <c r="AH1252" s="529"/>
      <c r="AI1252" s="75"/>
    </row>
    <row r="1253" spans="3:35" s="74" customFormat="1" x14ac:dyDescent="0.25">
      <c r="C1253" s="527"/>
      <c r="H1253" s="527"/>
      <c r="N1253" s="55"/>
      <c r="P1253" s="527"/>
      <c r="Q1253" s="529"/>
      <c r="R1253" s="529"/>
      <c r="S1253" s="529"/>
      <c r="T1253" s="529"/>
      <c r="U1253" s="529"/>
      <c r="V1253" s="529"/>
      <c r="W1253" s="529"/>
      <c r="X1253" s="529"/>
      <c r="Y1253" s="529"/>
      <c r="Z1253" s="529"/>
      <c r="AA1253" s="529"/>
      <c r="AB1253" s="529"/>
      <c r="AC1253" s="529"/>
      <c r="AD1253" s="529"/>
      <c r="AE1253" s="530"/>
      <c r="AF1253" s="529"/>
      <c r="AG1253" s="529"/>
      <c r="AH1253" s="529"/>
      <c r="AI1253" s="75"/>
    </row>
    <row r="1254" spans="3:35" s="74" customFormat="1" x14ac:dyDescent="0.25">
      <c r="C1254" s="527"/>
      <c r="H1254" s="527"/>
      <c r="N1254" s="55"/>
      <c r="P1254" s="527"/>
      <c r="Q1254" s="529"/>
      <c r="R1254" s="529"/>
      <c r="S1254" s="529"/>
      <c r="T1254" s="529"/>
      <c r="U1254" s="529"/>
      <c r="V1254" s="529"/>
      <c r="W1254" s="529"/>
      <c r="X1254" s="529"/>
      <c r="Y1254" s="529"/>
      <c r="Z1254" s="529"/>
      <c r="AA1254" s="529"/>
      <c r="AB1254" s="529"/>
      <c r="AC1254" s="529"/>
      <c r="AD1254" s="529"/>
      <c r="AE1254" s="530"/>
      <c r="AF1254" s="529"/>
      <c r="AG1254" s="529"/>
      <c r="AH1254" s="529"/>
      <c r="AI1254" s="75"/>
    </row>
    <row r="1255" spans="3:35" s="74" customFormat="1" x14ac:dyDescent="0.25">
      <c r="C1255" s="527"/>
      <c r="H1255" s="527"/>
      <c r="N1255" s="55"/>
      <c r="P1255" s="527"/>
      <c r="Q1255" s="529"/>
      <c r="R1255" s="529"/>
      <c r="S1255" s="529"/>
      <c r="T1255" s="529"/>
      <c r="U1255" s="529"/>
      <c r="V1255" s="529"/>
      <c r="W1255" s="529"/>
      <c r="X1255" s="529"/>
      <c r="Y1255" s="529"/>
      <c r="Z1255" s="529"/>
      <c r="AA1255" s="529"/>
      <c r="AB1255" s="529"/>
      <c r="AC1255" s="529"/>
      <c r="AD1255" s="529"/>
      <c r="AE1255" s="530"/>
      <c r="AF1255" s="529"/>
      <c r="AG1255" s="529"/>
      <c r="AH1255" s="529"/>
      <c r="AI1255" s="75"/>
    </row>
    <row r="1256" spans="3:35" s="74" customFormat="1" x14ac:dyDescent="0.25">
      <c r="C1256" s="527"/>
      <c r="H1256" s="527"/>
      <c r="N1256" s="55"/>
      <c r="P1256" s="527"/>
      <c r="Q1256" s="529"/>
      <c r="R1256" s="529"/>
      <c r="S1256" s="529"/>
      <c r="T1256" s="529"/>
      <c r="U1256" s="529"/>
      <c r="V1256" s="529"/>
      <c r="W1256" s="529"/>
      <c r="X1256" s="529"/>
      <c r="Y1256" s="529"/>
      <c r="Z1256" s="529"/>
      <c r="AA1256" s="529"/>
      <c r="AB1256" s="529"/>
      <c r="AC1256" s="529"/>
      <c r="AD1256" s="529"/>
      <c r="AE1256" s="530"/>
      <c r="AF1256" s="529"/>
      <c r="AG1256" s="529"/>
      <c r="AH1256" s="529"/>
      <c r="AI1256" s="75"/>
    </row>
    <row r="1257" spans="3:35" s="74" customFormat="1" x14ac:dyDescent="0.25">
      <c r="C1257" s="527"/>
      <c r="H1257" s="527"/>
      <c r="N1257" s="55"/>
      <c r="P1257" s="527"/>
      <c r="Q1257" s="529"/>
      <c r="R1257" s="529"/>
      <c r="S1257" s="529"/>
      <c r="T1257" s="529"/>
      <c r="U1257" s="529"/>
      <c r="V1257" s="529"/>
      <c r="W1257" s="529"/>
      <c r="X1257" s="529"/>
      <c r="Y1257" s="529"/>
      <c r="Z1257" s="529"/>
      <c r="AA1257" s="529"/>
      <c r="AB1257" s="529"/>
      <c r="AC1257" s="529"/>
      <c r="AD1257" s="529"/>
      <c r="AE1257" s="530"/>
      <c r="AF1257" s="529"/>
      <c r="AG1257" s="529"/>
      <c r="AH1257" s="529"/>
      <c r="AI1257" s="75"/>
    </row>
    <row r="1258" spans="3:35" s="74" customFormat="1" x14ac:dyDescent="0.25">
      <c r="C1258" s="527"/>
      <c r="H1258" s="527"/>
      <c r="N1258" s="55"/>
      <c r="P1258" s="527"/>
      <c r="Q1258" s="529"/>
      <c r="R1258" s="529"/>
      <c r="S1258" s="529"/>
      <c r="T1258" s="529"/>
      <c r="U1258" s="529"/>
      <c r="V1258" s="529"/>
      <c r="W1258" s="529"/>
      <c r="X1258" s="529"/>
      <c r="Y1258" s="529"/>
      <c r="Z1258" s="529"/>
      <c r="AA1258" s="529"/>
      <c r="AB1258" s="529"/>
      <c r="AC1258" s="529"/>
      <c r="AD1258" s="529"/>
      <c r="AE1258" s="530"/>
      <c r="AF1258" s="529"/>
      <c r="AG1258" s="529"/>
      <c r="AH1258" s="529"/>
      <c r="AI1258" s="75"/>
    </row>
    <row r="1259" spans="3:35" s="74" customFormat="1" x14ac:dyDescent="0.25">
      <c r="C1259" s="527"/>
      <c r="H1259" s="527"/>
      <c r="N1259" s="55"/>
      <c r="P1259" s="527"/>
      <c r="Q1259" s="529"/>
      <c r="R1259" s="529"/>
      <c r="S1259" s="529"/>
      <c r="T1259" s="529"/>
      <c r="U1259" s="529"/>
      <c r="V1259" s="529"/>
      <c r="W1259" s="529"/>
      <c r="X1259" s="529"/>
      <c r="Y1259" s="529"/>
      <c r="Z1259" s="529"/>
      <c r="AA1259" s="529"/>
      <c r="AB1259" s="529"/>
      <c r="AC1259" s="529"/>
      <c r="AD1259" s="529"/>
      <c r="AE1259" s="530"/>
      <c r="AF1259" s="529"/>
      <c r="AG1259" s="529"/>
      <c r="AH1259" s="529"/>
      <c r="AI1259" s="75"/>
    </row>
    <row r="1260" spans="3:35" s="74" customFormat="1" x14ac:dyDescent="0.25">
      <c r="C1260" s="527"/>
      <c r="H1260" s="527"/>
      <c r="N1260" s="55"/>
      <c r="P1260" s="527"/>
      <c r="Q1260" s="529"/>
      <c r="R1260" s="529"/>
      <c r="S1260" s="529"/>
      <c r="T1260" s="529"/>
      <c r="U1260" s="529"/>
      <c r="V1260" s="529"/>
      <c r="W1260" s="529"/>
      <c r="X1260" s="529"/>
      <c r="Y1260" s="529"/>
      <c r="Z1260" s="529"/>
      <c r="AA1260" s="529"/>
      <c r="AB1260" s="529"/>
      <c r="AC1260" s="529"/>
      <c r="AD1260" s="529"/>
      <c r="AE1260" s="530"/>
      <c r="AF1260" s="529"/>
      <c r="AG1260" s="529"/>
      <c r="AH1260" s="529"/>
      <c r="AI1260" s="75"/>
    </row>
    <row r="1261" spans="3:35" s="74" customFormat="1" x14ac:dyDescent="0.25">
      <c r="C1261" s="527"/>
      <c r="H1261" s="527"/>
      <c r="N1261" s="55"/>
      <c r="P1261" s="527"/>
      <c r="Q1261" s="529"/>
      <c r="R1261" s="529"/>
      <c r="S1261" s="529"/>
      <c r="T1261" s="529"/>
      <c r="U1261" s="529"/>
      <c r="V1261" s="529"/>
      <c r="W1261" s="529"/>
      <c r="X1261" s="529"/>
      <c r="Y1261" s="529"/>
      <c r="Z1261" s="529"/>
      <c r="AA1261" s="529"/>
      <c r="AB1261" s="529"/>
      <c r="AC1261" s="529"/>
      <c r="AD1261" s="529"/>
      <c r="AE1261" s="530"/>
      <c r="AF1261" s="529"/>
      <c r="AG1261" s="529"/>
      <c r="AH1261" s="529"/>
      <c r="AI1261" s="75"/>
    </row>
    <row r="1262" spans="3:35" s="74" customFormat="1" x14ac:dyDescent="0.25">
      <c r="C1262" s="527"/>
      <c r="H1262" s="527"/>
      <c r="N1262" s="55"/>
      <c r="P1262" s="527"/>
      <c r="Q1262" s="529"/>
      <c r="R1262" s="529"/>
      <c r="S1262" s="529"/>
      <c r="T1262" s="529"/>
      <c r="U1262" s="529"/>
      <c r="V1262" s="529"/>
      <c r="W1262" s="529"/>
      <c r="X1262" s="529"/>
      <c r="Y1262" s="529"/>
      <c r="Z1262" s="529"/>
      <c r="AA1262" s="529"/>
      <c r="AB1262" s="529"/>
      <c r="AC1262" s="529"/>
      <c r="AD1262" s="529"/>
      <c r="AE1262" s="530"/>
      <c r="AF1262" s="529"/>
      <c r="AG1262" s="529"/>
      <c r="AH1262" s="529"/>
      <c r="AI1262" s="75"/>
    </row>
    <row r="1263" spans="3:35" s="74" customFormat="1" x14ac:dyDescent="0.25">
      <c r="C1263" s="527"/>
      <c r="H1263" s="527"/>
      <c r="N1263" s="55"/>
      <c r="P1263" s="527"/>
      <c r="Q1263" s="529"/>
      <c r="R1263" s="529"/>
      <c r="S1263" s="529"/>
      <c r="T1263" s="529"/>
      <c r="U1263" s="529"/>
      <c r="V1263" s="529"/>
      <c r="W1263" s="529"/>
      <c r="X1263" s="529"/>
      <c r="Y1263" s="529"/>
      <c r="Z1263" s="529"/>
      <c r="AA1263" s="529"/>
      <c r="AB1263" s="529"/>
      <c r="AC1263" s="529"/>
      <c r="AD1263" s="529"/>
      <c r="AE1263" s="530"/>
      <c r="AF1263" s="529"/>
      <c r="AG1263" s="529"/>
      <c r="AH1263" s="529"/>
      <c r="AI1263" s="75"/>
    </row>
    <row r="1264" spans="3:35" s="74" customFormat="1" x14ac:dyDescent="0.25">
      <c r="C1264" s="527"/>
      <c r="H1264" s="527"/>
      <c r="N1264" s="55"/>
      <c r="P1264" s="527"/>
      <c r="Q1264" s="529"/>
      <c r="R1264" s="529"/>
      <c r="S1264" s="529"/>
      <c r="T1264" s="529"/>
      <c r="U1264" s="529"/>
      <c r="V1264" s="529"/>
      <c r="W1264" s="529"/>
      <c r="X1264" s="529"/>
      <c r="Y1264" s="529"/>
      <c r="Z1264" s="529"/>
      <c r="AA1264" s="529"/>
      <c r="AB1264" s="529"/>
      <c r="AC1264" s="529"/>
      <c r="AD1264" s="529"/>
      <c r="AE1264" s="530"/>
      <c r="AF1264" s="529"/>
      <c r="AG1264" s="529"/>
      <c r="AH1264" s="529"/>
      <c r="AI1264" s="75"/>
    </row>
    <row r="1265" spans="3:35" s="74" customFormat="1" x14ac:dyDescent="0.25">
      <c r="C1265" s="527"/>
      <c r="H1265" s="527"/>
      <c r="N1265" s="55"/>
      <c r="P1265" s="527"/>
      <c r="Q1265" s="529"/>
      <c r="R1265" s="529"/>
      <c r="S1265" s="529"/>
      <c r="T1265" s="529"/>
      <c r="U1265" s="529"/>
      <c r="V1265" s="529"/>
      <c r="W1265" s="529"/>
      <c r="X1265" s="529"/>
      <c r="Y1265" s="529"/>
      <c r="Z1265" s="529"/>
      <c r="AA1265" s="529"/>
      <c r="AB1265" s="529"/>
      <c r="AC1265" s="529"/>
      <c r="AD1265" s="529"/>
      <c r="AE1265" s="530"/>
      <c r="AF1265" s="529"/>
      <c r="AG1265" s="529"/>
      <c r="AH1265" s="529"/>
      <c r="AI1265" s="75"/>
    </row>
    <row r="1266" spans="3:35" s="74" customFormat="1" x14ac:dyDescent="0.25">
      <c r="C1266" s="527"/>
      <c r="H1266" s="527"/>
      <c r="N1266" s="55"/>
      <c r="P1266" s="527"/>
      <c r="Q1266" s="529"/>
      <c r="R1266" s="529"/>
      <c r="S1266" s="529"/>
      <c r="T1266" s="529"/>
      <c r="U1266" s="529"/>
      <c r="V1266" s="529"/>
      <c r="W1266" s="529"/>
      <c r="X1266" s="529"/>
      <c r="Y1266" s="529"/>
      <c r="Z1266" s="529"/>
      <c r="AA1266" s="529"/>
      <c r="AB1266" s="529"/>
      <c r="AC1266" s="529"/>
      <c r="AD1266" s="529"/>
      <c r="AE1266" s="530"/>
      <c r="AF1266" s="529"/>
      <c r="AG1266" s="529"/>
      <c r="AH1266" s="529"/>
      <c r="AI1266" s="75"/>
    </row>
    <row r="1267" spans="3:35" s="74" customFormat="1" x14ac:dyDescent="0.25">
      <c r="C1267" s="527"/>
      <c r="H1267" s="527"/>
      <c r="N1267" s="55"/>
      <c r="P1267" s="527"/>
      <c r="Q1267" s="529"/>
      <c r="R1267" s="529"/>
      <c r="S1267" s="529"/>
      <c r="T1267" s="529"/>
      <c r="U1267" s="529"/>
      <c r="V1267" s="529"/>
      <c r="W1267" s="529"/>
      <c r="X1267" s="529"/>
      <c r="Y1267" s="529"/>
      <c r="Z1267" s="529"/>
      <c r="AA1267" s="529"/>
      <c r="AB1267" s="529"/>
      <c r="AC1267" s="529"/>
      <c r="AD1267" s="529"/>
      <c r="AE1267" s="530"/>
      <c r="AF1267" s="529"/>
      <c r="AG1267" s="529"/>
      <c r="AH1267" s="529"/>
      <c r="AI1267" s="75"/>
    </row>
    <row r="1268" spans="3:35" s="74" customFormat="1" x14ac:dyDescent="0.25">
      <c r="C1268" s="527"/>
      <c r="H1268" s="527"/>
      <c r="N1268" s="55"/>
      <c r="P1268" s="527"/>
      <c r="Q1268" s="529"/>
      <c r="R1268" s="529"/>
      <c r="S1268" s="529"/>
      <c r="T1268" s="529"/>
      <c r="U1268" s="529"/>
      <c r="V1268" s="529"/>
      <c r="W1268" s="529"/>
      <c r="X1268" s="529"/>
      <c r="Y1268" s="529"/>
      <c r="Z1268" s="529"/>
      <c r="AA1268" s="529"/>
      <c r="AB1268" s="529"/>
      <c r="AC1268" s="529"/>
      <c r="AD1268" s="529"/>
      <c r="AE1268" s="530"/>
      <c r="AF1268" s="529"/>
      <c r="AG1268" s="529"/>
      <c r="AH1268" s="529"/>
      <c r="AI1268" s="75"/>
    </row>
    <row r="1269" spans="3:35" s="74" customFormat="1" x14ac:dyDescent="0.25">
      <c r="C1269" s="527"/>
      <c r="H1269" s="527"/>
      <c r="N1269" s="55"/>
      <c r="P1269" s="527"/>
      <c r="Q1269" s="529"/>
      <c r="R1269" s="529"/>
      <c r="S1269" s="529"/>
      <c r="T1269" s="529"/>
      <c r="U1269" s="529"/>
      <c r="V1269" s="529"/>
      <c r="W1269" s="529"/>
      <c r="X1269" s="529"/>
      <c r="Y1269" s="529"/>
      <c r="Z1269" s="529"/>
      <c r="AA1269" s="529"/>
      <c r="AB1269" s="529"/>
      <c r="AC1269" s="529"/>
      <c r="AD1269" s="529"/>
      <c r="AE1269" s="530"/>
      <c r="AF1269" s="529"/>
      <c r="AG1269" s="529"/>
      <c r="AH1269" s="529"/>
      <c r="AI1269" s="75"/>
    </row>
    <row r="1270" spans="3:35" s="74" customFormat="1" x14ac:dyDescent="0.25">
      <c r="C1270" s="527"/>
      <c r="H1270" s="527"/>
      <c r="N1270" s="55"/>
      <c r="P1270" s="527"/>
      <c r="Q1270" s="529"/>
      <c r="R1270" s="529"/>
      <c r="S1270" s="529"/>
      <c r="T1270" s="529"/>
      <c r="U1270" s="529"/>
      <c r="V1270" s="529"/>
      <c r="W1270" s="529"/>
      <c r="X1270" s="529"/>
      <c r="Y1270" s="529"/>
      <c r="Z1270" s="529"/>
      <c r="AA1270" s="529"/>
      <c r="AB1270" s="529"/>
      <c r="AC1270" s="529"/>
      <c r="AD1270" s="529"/>
      <c r="AE1270" s="530"/>
      <c r="AF1270" s="529"/>
      <c r="AG1270" s="529"/>
      <c r="AH1270" s="529"/>
      <c r="AI1270" s="75"/>
    </row>
    <row r="1271" spans="3:35" s="74" customFormat="1" x14ac:dyDescent="0.25">
      <c r="C1271" s="527"/>
      <c r="H1271" s="527"/>
      <c r="N1271" s="55"/>
      <c r="P1271" s="527"/>
      <c r="Q1271" s="529"/>
      <c r="R1271" s="529"/>
      <c r="S1271" s="529"/>
      <c r="T1271" s="529"/>
      <c r="U1271" s="529"/>
      <c r="V1271" s="529"/>
      <c r="W1271" s="529"/>
      <c r="X1271" s="529"/>
      <c r="Y1271" s="529"/>
      <c r="Z1271" s="529"/>
      <c r="AA1271" s="529"/>
      <c r="AB1271" s="529"/>
      <c r="AC1271" s="529"/>
      <c r="AD1271" s="529"/>
      <c r="AE1271" s="530"/>
      <c r="AF1271" s="529"/>
      <c r="AG1271" s="529"/>
      <c r="AH1271" s="529"/>
      <c r="AI1271" s="75"/>
    </row>
    <row r="1272" spans="3:35" s="74" customFormat="1" x14ac:dyDescent="0.25">
      <c r="C1272" s="527"/>
      <c r="H1272" s="527"/>
      <c r="N1272" s="55"/>
      <c r="P1272" s="527"/>
      <c r="Q1272" s="529"/>
      <c r="R1272" s="529"/>
      <c r="S1272" s="529"/>
      <c r="T1272" s="529"/>
      <c r="U1272" s="529"/>
      <c r="V1272" s="529"/>
      <c r="W1272" s="529"/>
      <c r="X1272" s="529"/>
      <c r="Y1272" s="529"/>
      <c r="Z1272" s="529"/>
      <c r="AA1272" s="529"/>
      <c r="AB1272" s="529"/>
      <c r="AC1272" s="529"/>
      <c r="AD1272" s="529"/>
      <c r="AE1272" s="530"/>
      <c r="AF1272" s="529"/>
      <c r="AG1272" s="529"/>
      <c r="AH1272" s="529"/>
      <c r="AI1272" s="75"/>
    </row>
    <row r="1273" spans="3:35" s="74" customFormat="1" x14ac:dyDescent="0.25">
      <c r="C1273" s="527"/>
      <c r="H1273" s="527"/>
      <c r="N1273" s="55"/>
      <c r="P1273" s="527"/>
      <c r="Q1273" s="529"/>
      <c r="R1273" s="529"/>
      <c r="S1273" s="529"/>
      <c r="T1273" s="529"/>
      <c r="U1273" s="529"/>
      <c r="V1273" s="529"/>
      <c r="W1273" s="529"/>
      <c r="X1273" s="529"/>
      <c r="Y1273" s="529"/>
      <c r="Z1273" s="529"/>
      <c r="AA1273" s="529"/>
      <c r="AB1273" s="529"/>
      <c r="AC1273" s="529"/>
      <c r="AD1273" s="529"/>
      <c r="AE1273" s="530"/>
      <c r="AF1273" s="529"/>
      <c r="AG1273" s="529"/>
      <c r="AH1273" s="529"/>
      <c r="AI1273" s="75"/>
    </row>
    <row r="1274" spans="3:35" s="74" customFormat="1" x14ac:dyDescent="0.25">
      <c r="C1274" s="527"/>
      <c r="H1274" s="527"/>
      <c r="N1274" s="55"/>
      <c r="P1274" s="527"/>
      <c r="Q1274" s="529"/>
      <c r="R1274" s="529"/>
      <c r="S1274" s="529"/>
      <c r="T1274" s="529"/>
      <c r="U1274" s="529"/>
      <c r="V1274" s="529"/>
      <c r="W1274" s="529"/>
      <c r="X1274" s="529"/>
      <c r="Y1274" s="529"/>
      <c r="Z1274" s="529"/>
      <c r="AA1274" s="529"/>
      <c r="AB1274" s="529"/>
      <c r="AC1274" s="529"/>
      <c r="AD1274" s="529"/>
      <c r="AE1274" s="530"/>
      <c r="AF1274" s="529"/>
      <c r="AG1274" s="529"/>
      <c r="AH1274" s="529"/>
      <c r="AI1274" s="75"/>
    </row>
    <row r="1275" spans="3:35" s="74" customFormat="1" x14ac:dyDescent="0.25">
      <c r="C1275" s="527"/>
      <c r="H1275" s="527"/>
      <c r="N1275" s="55"/>
      <c r="P1275" s="527"/>
      <c r="Q1275" s="529"/>
      <c r="R1275" s="529"/>
      <c r="S1275" s="529"/>
      <c r="T1275" s="529"/>
      <c r="U1275" s="529"/>
      <c r="V1275" s="529"/>
      <c r="W1275" s="529"/>
      <c r="X1275" s="529"/>
      <c r="Y1275" s="529"/>
      <c r="Z1275" s="529"/>
      <c r="AA1275" s="529"/>
      <c r="AB1275" s="529"/>
      <c r="AC1275" s="529"/>
      <c r="AD1275" s="529"/>
      <c r="AE1275" s="530"/>
      <c r="AF1275" s="529"/>
      <c r="AG1275" s="529"/>
      <c r="AH1275" s="529"/>
      <c r="AI1275" s="75"/>
    </row>
    <row r="1276" spans="3:35" s="74" customFormat="1" x14ac:dyDescent="0.25">
      <c r="C1276" s="527"/>
      <c r="H1276" s="527"/>
      <c r="N1276" s="55"/>
      <c r="P1276" s="527"/>
      <c r="Q1276" s="529"/>
      <c r="R1276" s="529"/>
      <c r="S1276" s="529"/>
      <c r="T1276" s="529"/>
      <c r="U1276" s="529"/>
      <c r="V1276" s="529"/>
      <c r="W1276" s="529"/>
      <c r="X1276" s="529"/>
      <c r="Y1276" s="529"/>
      <c r="Z1276" s="529"/>
      <c r="AA1276" s="529"/>
      <c r="AB1276" s="529"/>
      <c r="AC1276" s="529"/>
      <c r="AD1276" s="529"/>
      <c r="AE1276" s="530"/>
      <c r="AF1276" s="529"/>
      <c r="AG1276" s="529"/>
      <c r="AH1276" s="529"/>
      <c r="AI1276" s="75"/>
    </row>
    <row r="1277" spans="3:35" s="74" customFormat="1" x14ac:dyDescent="0.25">
      <c r="C1277" s="527"/>
      <c r="H1277" s="527"/>
      <c r="N1277" s="55"/>
      <c r="P1277" s="527"/>
      <c r="Q1277" s="529"/>
      <c r="R1277" s="529"/>
      <c r="S1277" s="529"/>
      <c r="T1277" s="529"/>
      <c r="U1277" s="529"/>
      <c r="V1277" s="529"/>
      <c r="W1277" s="529"/>
      <c r="X1277" s="529"/>
      <c r="Y1277" s="529"/>
      <c r="Z1277" s="529"/>
      <c r="AA1277" s="529"/>
      <c r="AB1277" s="529"/>
      <c r="AC1277" s="529"/>
      <c r="AD1277" s="529"/>
      <c r="AE1277" s="530"/>
      <c r="AF1277" s="529"/>
      <c r="AG1277" s="529"/>
      <c r="AH1277" s="529"/>
      <c r="AI1277" s="75"/>
    </row>
    <row r="1278" spans="3:35" s="74" customFormat="1" x14ac:dyDescent="0.25">
      <c r="C1278" s="527"/>
      <c r="H1278" s="527"/>
      <c r="N1278" s="55"/>
      <c r="P1278" s="527"/>
      <c r="Q1278" s="529"/>
      <c r="R1278" s="529"/>
      <c r="S1278" s="529"/>
      <c r="T1278" s="529"/>
      <c r="U1278" s="529"/>
      <c r="V1278" s="529"/>
      <c r="W1278" s="529"/>
      <c r="X1278" s="529"/>
      <c r="Y1278" s="529"/>
      <c r="Z1278" s="529"/>
      <c r="AA1278" s="529"/>
      <c r="AB1278" s="529"/>
      <c r="AC1278" s="529"/>
      <c r="AD1278" s="529"/>
      <c r="AE1278" s="530"/>
      <c r="AF1278" s="529"/>
      <c r="AG1278" s="529"/>
      <c r="AH1278" s="529"/>
      <c r="AI1278" s="75"/>
    </row>
    <row r="1279" spans="3:35" s="74" customFormat="1" x14ac:dyDescent="0.25">
      <c r="C1279" s="527"/>
      <c r="H1279" s="527"/>
      <c r="N1279" s="55"/>
      <c r="P1279" s="527"/>
      <c r="Q1279" s="529"/>
      <c r="R1279" s="529"/>
      <c r="S1279" s="529"/>
      <c r="T1279" s="529"/>
      <c r="U1279" s="529"/>
      <c r="V1279" s="529"/>
      <c r="W1279" s="529"/>
      <c r="X1279" s="529"/>
      <c r="Y1279" s="529"/>
      <c r="Z1279" s="529"/>
      <c r="AA1279" s="529"/>
      <c r="AB1279" s="529"/>
      <c r="AC1279" s="529"/>
      <c r="AD1279" s="529"/>
      <c r="AE1279" s="530"/>
      <c r="AF1279" s="529"/>
      <c r="AG1279" s="529"/>
      <c r="AH1279" s="529"/>
      <c r="AI1279" s="75"/>
    </row>
    <row r="1280" spans="3:35" s="74" customFormat="1" x14ac:dyDescent="0.25">
      <c r="C1280" s="527"/>
      <c r="H1280" s="527"/>
      <c r="N1280" s="55"/>
      <c r="P1280" s="527"/>
      <c r="Q1280" s="529"/>
      <c r="R1280" s="529"/>
      <c r="S1280" s="529"/>
      <c r="T1280" s="529"/>
      <c r="U1280" s="529"/>
      <c r="V1280" s="529"/>
      <c r="W1280" s="529"/>
      <c r="X1280" s="529"/>
      <c r="Y1280" s="529"/>
      <c r="Z1280" s="529"/>
      <c r="AA1280" s="529"/>
      <c r="AB1280" s="529"/>
      <c r="AC1280" s="529"/>
      <c r="AD1280" s="529"/>
      <c r="AE1280" s="530"/>
      <c r="AF1280" s="529"/>
      <c r="AG1280" s="529"/>
      <c r="AH1280" s="529"/>
      <c r="AI1280" s="75"/>
    </row>
    <row r="1281" spans="3:35" s="74" customFormat="1" x14ac:dyDescent="0.25">
      <c r="C1281" s="527"/>
      <c r="H1281" s="527"/>
      <c r="N1281" s="55"/>
      <c r="P1281" s="527"/>
      <c r="Q1281" s="529"/>
      <c r="R1281" s="529"/>
      <c r="S1281" s="529"/>
      <c r="T1281" s="529"/>
      <c r="U1281" s="529"/>
      <c r="V1281" s="529"/>
      <c r="W1281" s="529"/>
      <c r="X1281" s="529"/>
      <c r="Y1281" s="529"/>
      <c r="Z1281" s="529"/>
      <c r="AA1281" s="529"/>
      <c r="AB1281" s="529"/>
      <c r="AC1281" s="529"/>
      <c r="AD1281" s="529"/>
      <c r="AE1281" s="530"/>
      <c r="AF1281" s="529"/>
      <c r="AG1281" s="529"/>
      <c r="AH1281" s="529"/>
      <c r="AI1281" s="75"/>
    </row>
    <row r="1282" spans="3:35" s="74" customFormat="1" x14ac:dyDescent="0.25">
      <c r="C1282" s="527"/>
      <c r="H1282" s="527"/>
      <c r="N1282" s="55"/>
      <c r="P1282" s="527"/>
      <c r="Q1282" s="529"/>
      <c r="R1282" s="529"/>
      <c r="S1282" s="529"/>
      <c r="T1282" s="529"/>
      <c r="U1282" s="529"/>
      <c r="V1282" s="529"/>
      <c r="W1282" s="529"/>
      <c r="X1282" s="529"/>
      <c r="Y1282" s="529"/>
      <c r="Z1282" s="529"/>
      <c r="AA1282" s="529"/>
      <c r="AB1282" s="529"/>
      <c r="AC1282" s="529"/>
      <c r="AD1282" s="529"/>
      <c r="AE1282" s="530"/>
      <c r="AF1282" s="529"/>
      <c r="AG1282" s="529"/>
      <c r="AH1282" s="529"/>
      <c r="AI1282" s="75"/>
    </row>
    <row r="1283" spans="3:35" s="74" customFormat="1" x14ac:dyDescent="0.25">
      <c r="C1283" s="527"/>
      <c r="H1283" s="527"/>
      <c r="N1283" s="55"/>
      <c r="P1283" s="527"/>
      <c r="Q1283" s="529"/>
      <c r="R1283" s="529"/>
      <c r="S1283" s="529"/>
      <c r="T1283" s="529"/>
      <c r="U1283" s="529"/>
      <c r="V1283" s="529"/>
      <c r="W1283" s="529"/>
      <c r="X1283" s="529"/>
      <c r="Y1283" s="529"/>
      <c r="Z1283" s="529"/>
      <c r="AA1283" s="529"/>
      <c r="AB1283" s="529"/>
      <c r="AC1283" s="529"/>
      <c r="AD1283" s="529"/>
      <c r="AE1283" s="530"/>
      <c r="AF1283" s="529"/>
      <c r="AG1283" s="529"/>
      <c r="AH1283" s="529"/>
      <c r="AI1283" s="75"/>
    </row>
    <row r="1284" spans="3:35" s="74" customFormat="1" x14ac:dyDescent="0.25">
      <c r="C1284" s="527"/>
      <c r="H1284" s="527"/>
      <c r="N1284" s="55"/>
      <c r="P1284" s="527"/>
      <c r="Q1284" s="529"/>
      <c r="R1284" s="529"/>
      <c r="S1284" s="529"/>
      <c r="T1284" s="529"/>
      <c r="U1284" s="529"/>
      <c r="V1284" s="529"/>
      <c r="W1284" s="529"/>
      <c r="X1284" s="529"/>
      <c r="Y1284" s="529"/>
      <c r="Z1284" s="529"/>
      <c r="AA1284" s="529"/>
      <c r="AB1284" s="529"/>
      <c r="AC1284" s="529"/>
      <c r="AD1284" s="529"/>
      <c r="AE1284" s="530"/>
      <c r="AF1284" s="529"/>
      <c r="AG1284" s="529"/>
      <c r="AH1284" s="529"/>
      <c r="AI1284" s="75"/>
    </row>
    <row r="1285" spans="3:35" s="74" customFormat="1" x14ac:dyDescent="0.25">
      <c r="C1285" s="527"/>
      <c r="H1285" s="527"/>
      <c r="N1285" s="55"/>
      <c r="P1285" s="527"/>
      <c r="Q1285" s="529"/>
      <c r="R1285" s="529"/>
      <c r="S1285" s="529"/>
      <c r="T1285" s="529"/>
      <c r="U1285" s="529"/>
      <c r="V1285" s="529"/>
      <c r="W1285" s="529"/>
      <c r="X1285" s="529"/>
      <c r="Y1285" s="529"/>
      <c r="Z1285" s="529"/>
      <c r="AA1285" s="529"/>
      <c r="AB1285" s="529"/>
      <c r="AC1285" s="529"/>
      <c r="AD1285" s="529"/>
      <c r="AE1285" s="530"/>
      <c r="AF1285" s="529"/>
      <c r="AG1285" s="529"/>
      <c r="AH1285" s="529"/>
      <c r="AI1285" s="75"/>
    </row>
    <row r="1286" spans="3:35" s="74" customFormat="1" x14ac:dyDescent="0.25">
      <c r="C1286" s="527"/>
      <c r="H1286" s="527"/>
      <c r="N1286" s="55"/>
      <c r="P1286" s="527"/>
      <c r="Q1286" s="529"/>
      <c r="R1286" s="529"/>
      <c r="S1286" s="529"/>
      <c r="T1286" s="529"/>
      <c r="U1286" s="529"/>
      <c r="V1286" s="529"/>
      <c r="W1286" s="529"/>
      <c r="X1286" s="529"/>
      <c r="Y1286" s="529"/>
      <c r="Z1286" s="529"/>
      <c r="AA1286" s="529"/>
      <c r="AB1286" s="529"/>
      <c r="AC1286" s="529"/>
      <c r="AD1286" s="529"/>
      <c r="AE1286" s="530"/>
      <c r="AF1286" s="529"/>
      <c r="AG1286" s="529"/>
      <c r="AH1286" s="529"/>
      <c r="AI1286" s="75"/>
    </row>
    <row r="1287" spans="3:35" s="74" customFormat="1" x14ac:dyDescent="0.25">
      <c r="C1287" s="527"/>
      <c r="H1287" s="527"/>
      <c r="N1287" s="55"/>
      <c r="P1287" s="527"/>
      <c r="Q1287" s="529"/>
      <c r="R1287" s="529"/>
      <c r="S1287" s="529"/>
      <c r="T1287" s="529"/>
      <c r="U1287" s="529"/>
      <c r="V1287" s="529"/>
      <c r="W1287" s="529"/>
      <c r="X1287" s="529"/>
      <c r="Y1287" s="529"/>
      <c r="Z1287" s="529"/>
      <c r="AA1287" s="529"/>
      <c r="AB1287" s="529"/>
      <c r="AC1287" s="529"/>
      <c r="AD1287" s="529"/>
      <c r="AE1287" s="530"/>
      <c r="AF1287" s="529"/>
      <c r="AG1287" s="529"/>
      <c r="AH1287" s="529"/>
      <c r="AI1287" s="75"/>
    </row>
    <row r="1288" spans="3:35" s="74" customFormat="1" x14ac:dyDescent="0.25">
      <c r="C1288" s="527"/>
      <c r="H1288" s="527"/>
      <c r="N1288" s="55"/>
      <c r="P1288" s="527"/>
      <c r="Q1288" s="529"/>
      <c r="R1288" s="529"/>
      <c r="S1288" s="529"/>
      <c r="T1288" s="529"/>
      <c r="U1288" s="529"/>
      <c r="V1288" s="529"/>
      <c r="W1288" s="529"/>
      <c r="X1288" s="529"/>
      <c r="Y1288" s="529"/>
      <c r="Z1288" s="529"/>
      <c r="AA1288" s="529"/>
      <c r="AB1288" s="529"/>
      <c r="AC1288" s="529"/>
      <c r="AD1288" s="529"/>
      <c r="AE1288" s="530"/>
      <c r="AF1288" s="529"/>
      <c r="AG1288" s="529"/>
      <c r="AH1288" s="529"/>
      <c r="AI1288" s="75"/>
    </row>
    <row r="1289" spans="3:35" s="74" customFormat="1" x14ac:dyDescent="0.25">
      <c r="C1289" s="527"/>
      <c r="H1289" s="527"/>
      <c r="N1289" s="55"/>
      <c r="P1289" s="527"/>
      <c r="Q1289" s="529"/>
      <c r="R1289" s="529"/>
      <c r="S1289" s="529"/>
      <c r="T1289" s="529"/>
      <c r="U1289" s="529"/>
      <c r="V1289" s="529"/>
      <c r="W1289" s="529"/>
      <c r="X1289" s="529"/>
      <c r="Y1289" s="529"/>
      <c r="Z1289" s="529"/>
      <c r="AA1289" s="529"/>
      <c r="AB1289" s="529"/>
      <c r="AC1289" s="529"/>
      <c r="AD1289" s="529"/>
      <c r="AE1289" s="530"/>
      <c r="AF1289" s="529"/>
      <c r="AG1289" s="529"/>
      <c r="AH1289" s="529"/>
      <c r="AI1289" s="75"/>
    </row>
    <row r="1290" spans="3:35" s="74" customFormat="1" x14ac:dyDescent="0.25">
      <c r="C1290" s="527"/>
      <c r="H1290" s="527"/>
      <c r="N1290" s="55"/>
      <c r="P1290" s="527"/>
      <c r="Q1290" s="529"/>
      <c r="R1290" s="529"/>
      <c r="S1290" s="529"/>
      <c r="T1290" s="529"/>
      <c r="U1290" s="529"/>
      <c r="V1290" s="529"/>
      <c r="W1290" s="529"/>
      <c r="X1290" s="529"/>
      <c r="Y1290" s="529"/>
      <c r="Z1290" s="529"/>
      <c r="AA1290" s="529"/>
      <c r="AB1290" s="529"/>
      <c r="AC1290" s="529"/>
      <c r="AD1290" s="529"/>
      <c r="AE1290" s="530"/>
      <c r="AF1290" s="529"/>
      <c r="AG1290" s="529"/>
      <c r="AH1290" s="529"/>
      <c r="AI1290" s="75"/>
    </row>
    <row r="1291" spans="3:35" s="74" customFormat="1" x14ac:dyDescent="0.25">
      <c r="C1291" s="527"/>
      <c r="H1291" s="527"/>
      <c r="N1291" s="55"/>
      <c r="P1291" s="527"/>
      <c r="Q1291" s="529"/>
      <c r="R1291" s="529"/>
      <c r="S1291" s="529"/>
      <c r="T1291" s="529"/>
      <c r="U1291" s="529"/>
      <c r="V1291" s="529"/>
      <c r="W1291" s="529"/>
      <c r="X1291" s="529"/>
      <c r="Y1291" s="529"/>
      <c r="Z1291" s="529"/>
      <c r="AA1291" s="529"/>
      <c r="AB1291" s="529"/>
      <c r="AC1291" s="529"/>
      <c r="AD1291" s="529"/>
      <c r="AE1291" s="530"/>
      <c r="AF1291" s="529"/>
      <c r="AG1291" s="529"/>
      <c r="AH1291" s="529"/>
      <c r="AI1291" s="75"/>
    </row>
    <row r="1292" spans="3:35" s="74" customFormat="1" x14ac:dyDescent="0.25">
      <c r="C1292" s="527"/>
      <c r="H1292" s="527"/>
      <c r="N1292" s="55"/>
      <c r="P1292" s="527"/>
      <c r="Q1292" s="529"/>
      <c r="R1292" s="529"/>
      <c r="S1292" s="529"/>
      <c r="T1292" s="529"/>
      <c r="U1292" s="529"/>
      <c r="V1292" s="529"/>
      <c r="W1292" s="529"/>
      <c r="X1292" s="529"/>
      <c r="Y1292" s="529"/>
      <c r="Z1292" s="529"/>
      <c r="AA1292" s="529"/>
      <c r="AB1292" s="529"/>
      <c r="AC1292" s="529"/>
      <c r="AD1292" s="529"/>
      <c r="AE1292" s="530"/>
      <c r="AF1292" s="529"/>
      <c r="AG1292" s="529"/>
      <c r="AH1292" s="529"/>
      <c r="AI1292" s="75"/>
    </row>
    <row r="1293" spans="3:35" s="74" customFormat="1" x14ac:dyDescent="0.25">
      <c r="C1293" s="527"/>
      <c r="H1293" s="527"/>
      <c r="N1293" s="55"/>
      <c r="P1293" s="527"/>
      <c r="Q1293" s="529"/>
      <c r="R1293" s="529"/>
      <c r="S1293" s="529"/>
      <c r="T1293" s="529"/>
      <c r="U1293" s="529"/>
      <c r="V1293" s="529"/>
      <c r="W1293" s="529"/>
      <c r="X1293" s="529"/>
      <c r="Y1293" s="529"/>
      <c r="Z1293" s="529"/>
      <c r="AA1293" s="529"/>
      <c r="AB1293" s="529"/>
      <c r="AC1293" s="529"/>
      <c r="AD1293" s="529"/>
      <c r="AE1293" s="530"/>
      <c r="AF1293" s="529"/>
      <c r="AG1293" s="529"/>
      <c r="AH1293" s="529"/>
      <c r="AI1293" s="75"/>
    </row>
    <row r="1294" spans="3:35" s="74" customFormat="1" x14ac:dyDescent="0.25">
      <c r="C1294" s="527"/>
      <c r="H1294" s="527"/>
      <c r="N1294" s="55"/>
      <c r="P1294" s="527"/>
      <c r="Q1294" s="529"/>
      <c r="R1294" s="529"/>
      <c r="S1294" s="529"/>
      <c r="T1294" s="529"/>
      <c r="U1294" s="529"/>
      <c r="V1294" s="529"/>
      <c r="W1294" s="529"/>
      <c r="X1294" s="529"/>
      <c r="Y1294" s="529"/>
      <c r="Z1294" s="529"/>
      <c r="AA1294" s="529"/>
      <c r="AB1294" s="529"/>
      <c r="AC1294" s="529"/>
      <c r="AD1294" s="529"/>
      <c r="AE1294" s="530"/>
      <c r="AF1294" s="529"/>
      <c r="AG1294" s="529"/>
      <c r="AH1294" s="529"/>
      <c r="AI1294" s="75"/>
    </row>
    <row r="1295" spans="3:35" s="74" customFormat="1" x14ac:dyDescent="0.25">
      <c r="C1295" s="527"/>
      <c r="H1295" s="527"/>
      <c r="N1295" s="55"/>
      <c r="P1295" s="527"/>
      <c r="Q1295" s="529"/>
      <c r="R1295" s="529"/>
      <c r="S1295" s="529"/>
      <c r="T1295" s="529"/>
      <c r="U1295" s="529"/>
      <c r="V1295" s="529"/>
      <c r="W1295" s="529"/>
      <c r="X1295" s="529"/>
      <c r="Y1295" s="529"/>
      <c r="Z1295" s="529"/>
      <c r="AA1295" s="529"/>
      <c r="AB1295" s="529"/>
      <c r="AC1295" s="529"/>
      <c r="AD1295" s="529"/>
      <c r="AE1295" s="530"/>
      <c r="AF1295" s="529"/>
      <c r="AG1295" s="529"/>
      <c r="AH1295" s="529"/>
      <c r="AI1295" s="75"/>
    </row>
    <row r="1296" spans="3:35" s="74" customFormat="1" x14ac:dyDescent="0.25">
      <c r="C1296" s="527"/>
      <c r="H1296" s="527"/>
      <c r="N1296" s="55"/>
      <c r="P1296" s="527"/>
      <c r="Q1296" s="529"/>
      <c r="R1296" s="529"/>
      <c r="S1296" s="529"/>
      <c r="T1296" s="529"/>
      <c r="U1296" s="529"/>
      <c r="V1296" s="529"/>
      <c r="W1296" s="529"/>
      <c r="X1296" s="529"/>
      <c r="Y1296" s="529"/>
      <c r="Z1296" s="529"/>
      <c r="AA1296" s="529"/>
      <c r="AB1296" s="529"/>
      <c r="AC1296" s="529"/>
      <c r="AD1296" s="529"/>
      <c r="AE1296" s="530"/>
      <c r="AF1296" s="529"/>
      <c r="AG1296" s="529"/>
      <c r="AH1296" s="529"/>
      <c r="AI1296" s="75"/>
    </row>
    <row r="1297" spans="3:35" s="74" customFormat="1" x14ac:dyDescent="0.25">
      <c r="C1297" s="527"/>
      <c r="H1297" s="527"/>
      <c r="N1297" s="55"/>
      <c r="P1297" s="527"/>
      <c r="Q1297" s="529"/>
      <c r="R1297" s="529"/>
      <c r="S1297" s="529"/>
      <c r="T1297" s="529"/>
      <c r="U1297" s="529"/>
      <c r="V1297" s="529"/>
      <c r="W1297" s="529"/>
      <c r="X1297" s="529"/>
      <c r="Y1297" s="529"/>
      <c r="Z1297" s="529"/>
      <c r="AA1297" s="529"/>
      <c r="AB1297" s="529"/>
      <c r="AC1297" s="529"/>
      <c r="AD1297" s="529"/>
      <c r="AE1297" s="530"/>
      <c r="AF1297" s="529"/>
      <c r="AG1297" s="529"/>
      <c r="AH1297" s="529"/>
      <c r="AI1297" s="75"/>
    </row>
    <row r="1298" spans="3:35" s="74" customFormat="1" x14ac:dyDescent="0.25">
      <c r="C1298" s="527"/>
      <c r="H1298" s="527"/>
      <c r="N1298" s="55"/>
      <c r="P1298" s="527"/>
      <c r="Q1298" s="529"/>
      <c r="R1298" s="529"/>
      <c r="S1298" s="529"/>
      <c r="T1298" s="529"/>
      <c r="U1298" s="529"/>
      <c r="V1298" s="529"/>
      <c r="W1298" s="529"/>
      <c r="X1298" s="529"/>
      <c r="Y1298" s="529"/>
      <c r="Z1298" s="529"/>
      <c r="AA1298" s="529"/>
      <c r="AB1298" s="529"/>
      <c r="AC1298" s="529"/>
      <c r="AD1298" s="529"/>
      <c r="AE1298" s="530"/>
      <c r="AF1298" s="529"/>
      <c r="AG1298" s="529"/>
      <c r="AH1298" s="529"/>
      <c r="AI1298" s="75"/>
    </row>
    <row r="1299" spans="3:35" s="74" customFormat="1" x14ac:dyDescent="0.25">
      <c r="C1299" s="527"/>
      <c r="H1299" s="527"/>
      <c r="N1299" s="55"/>
      <c r="P1299" s="527"/>
      <c r="Q1299" s="529"/>
      <c r="R1299" s="529"/>
      <c r="S1299" s="529"/>
      <c r="T1299" s="529"/>
      <c r="U1299" s="529"/>
      <c r="V1299" s="529"/>
      <c r="W1299" s="529"/>
      <c r="X1299" s="529"/>
      <c r="Y1299" s="529"/>
      <c r="Z1299" s="529"/>
      <c r="AA1299" s="529"/>
      <c r="AB1299" s="529"/>
      <c r="AC1299" s="529"/>
      <c r="AD1299" s="529"/>
      <c r="AE1299" s="530"/>
      <c r="AF1299" s="529"/>
      <c r="AG1299" s="529"/>
      <c r="AH1299" s="529"/>
      <c r="AI1299" s="75"/>
    </row>
    <row r="1300" spans="3:35" s="74" customFormat="1" x14ac:dyDescent="0.25">
      <c r="C1300" s="527"/>
      <c r="H1300" s="527"/>
      <c r="N1300" s="55"/>
      <c r="P1300" s="527"/>
      <c r="Q1300" s="529"/>
      <c r="R1300" s="529"/>
      <c r="S1300" s="529"/>
      <c r="T1300" s="529"/>
      <c r="U1300" s="529"/>
      <c r="V1300" s="529"/>
      <c r="W1300" s="529"/>
      <c r="X1300" s="529"/>
      <c r="Y1300" s="529"/>
      <c r="Z1300" s="529"/>
      <c r="AA1300" s="529"/>
      <c r="AB1300" s="529"/>
      <c r="AC1300" s="529"/>
      <c r="AD1300" s="529"/>
      <c r="AE1300" s="530"/>
      <c r="AF1300" s="529"/>
      <c r="AG1300" s="529"/>
      <c r="AH1300" s="529"/>
      <c r="AI1300" s="75"/>
    </row>
    <row r="1301" spans="3:35" s="74" customFormat="1" x14ac:dyDescent="0.25">
      <c r="C1301" s="527"/>
      <c r="H1301" s="527"/>
      <c r="N1301" s="55"/>
      <c r="P1301" s="527"/>
      <c r="Q1301" s="529"/>
      <c r="R1301" s="529"/>
      <c r="S1301" s="529"/>
      <c r="T1301" s="529"/>
      <c r="U1301" s="529"/>
      <c r="V1301" s="529"/>
      <c r="W1301" s="529"/>
      <c r="X1301" s="529"/>
      <c r="Y1301" s="529"/>
      <c r="Z1301" s="529"/>
      <c r="AA1301" s="529"/>
      <c r="AB1301" s="529"/>
      <c r="AC1301" s="529"/>
      <c r="AD1301" s="529"/>
      <c r="AE1301" s="530"/>
      <c r="AF1301" s="529"/>
      <c r="AG1301" s="529"/>
      <c r="AH1301" s="529"/>
      <c r="AI1301" s="75"/>
    </row>
    <row r="1302" spans="3:35" s="74" customFormat="1" x14ac:dyDescent="0.25">
      <c r="C1302" s="527"/>
      <c r="H1302" s="527"/>
      <c r="N1302" s="55"/>
      <c r="P1302" s="527"/>
      <c r="Q1302" s="529"/>
      <c r="R1302" s="529"/>
      <c r="S1302" s="529"/>
      <c r="T1302" s="529"/>
      <c r="U1302" s="529"/>
      <c r="V1302" s="529"/>
      <c r="W1302" s="529"/>
      <c r="X1302" s="529"/>
      <c r="Y1302" s="529"/>
      <c r="Z1302" s="529"/>
      <c r="AA1302" s="529"/>
      <c r="AB1302" s="529"/>
      <c r="AC1302" s="529"/>
      <c r="AD1302" s="529"/>
      <c r="AE1302" s="530"/>
      <c r="AF1302" s="529"/>
      <c r="AG1302" s="529"/>
      <c r="AH1302" s="529"/>
      <c r="AI1302" s="75"/>
    </row>
    <row r="1303" spans="3:35" s="74" customFormat="1" x14ac:dyDescent="0.25">
      <c r="C1303" s="527"/>
      <c r="H1303" s="527"/>
      <c r="N1303" s="55"/>
      <c r="P1303" s="527"/>
      <c r="Q1303" s="529"/>
      <c r="R1303" s="529"/>
      <c r="S1303" s="529"/>
      <c r="T1303" s="529"/>
      <c r="U1303" s="529"/>
      <c r="V1303" s="529"/>
      <c r="W1303" s="529"/>
      <c r="X1303" s="529"/>
      <c r="Y1303" s="529"/>
      <c r="Z1303" s="529"/>
      <c r="AA1303" s="529"/>
      <c r="AB1303" s="529"/>
      <c r="AC1303" s="529"/>
      <c r="AD1303" s="529"/>
      <c r="AE1303" s="530"/>
      <c r="AF1303" s="529"/>
      <c r="AG1303" s="529"/>
      <c r="AH1303" s="529"/>
      <c r="AI1303" s="75"/>
    </row>
    <row r="1304" spans="3:35" s="74" customFormat="1" x14ac:dyDescent="0.25">
      <c r="C1304" s="527"/>
      <c r="H1304" s="527"/>
      <c r="N1304" s="55"/>
      <c r="P1304" s="527"/>
      <c r="Q1304" s="529"/>
      <c r="R1304" s="529"/>
      <c r="S1304" s="529"/>
      <c r="T1304" s="529"/>
      <c r="U1304" s="529"/>
      <c r="V1304" s="529"/>
      <c r="W1304" s="529"/>
      <c r="X1304" s="529"/>
      <c r="Y1304" s="529"/>
      <c r="Z1304" s="529"/>
      <c r="AA1304" s="529"/>
      <c r="AB1304" s="529"/>
      <c r="AC1304" s="529"/>
      <c r="AD1304" s="529"/>
      <c r="AE1304" s="530"/>
      <c r="AF1304" s="529"/>
      <c r="AG1304" s="529"/>
      <c r="AH1304" s="529"/>
      <c r="AI1304" s="75"/>
    </row>
    <row r="1305" spans="3:35" s="74" customFormat="1" x14ac:dyDescent="0.25">
      <c r="C1305" s="527"/>
      <c r="H1305" s="527"/>
      <c r="N1305" s="55"/>
      <c r="P1305" s="527"/>
      <c r="Q1305" s="529"/>
      <c r="R1305" s="529"/>
      <c r="S1305" s="529"/>
      <c r="T1305" s="529"/>
      <c r="U1305" s="529"/>
      <c r="V1305" s="529"/>
      <c r="W1305" s="529"/>
      <c r="X1305" s="529"/>
      <c r="Y1305" s="529"/>
      <c r="Z1305" s="529"/>
      <c r="AA1305" s="529"/>
      <c r="AB1305" s="529"/>
      <c r="AC1305" s="529"/>
      <c r="AD1305" s="529"/>
      <c r="AE1305" s="530"/>
      <c r="AF1305" s="529"/>
      <c r="AG1305" s="529"/>
      <c r="AH1305" s="529"/>
      <c r="AI1305" s="75"/>
    </row>
    <row r="1306" spans="3:35" s="74" customFormat="1" x14ac:dyDescent="0.25">
      <c r="C1306" s="527"/>
      <c r="H1306" s="527"/>
      <c r="N1306" s="55"/>
      <c r="P1306" s="527"/>
      <c r="Q1306" s="529"/>
      <c r="R1306" s="529"/>
      <c r="S1306" s="529"/>
      <c r="T1306" s="529"/>
      <c r="U1306" s="529"/>
      <c r="V1306" s="529"/>
      <c r="W1306" s="529"/>
      <c r="X1306" s="529"/>
      <c r="Y1306" s="529"/>
      <c r="Z1306" s="529"/>
      <c r="AA1306" s="529"/>
      <c r="AB1306" s="529"/>
      <c r="AC1306" s="529"/>
      <c r="AD1306" s="529"/>
      <c r="AE1306" s="530"/>
      <c r="AF1306" s="529"/>
      <c r="AG1306" s="529"/>
      <c r="AH1306" s="529"/>
      <c r="AI1306" s="75"/>
    </row>
    <row r="1307" spans="3:35" s="74" customFormat="1" x14ac:dyDescent="0.25">
      <c r="C1307" s="527"/>
      <c r="H1307" s="527"/>
      <c r="N1307" s="55"/>
      <c r="P1307" s="527"/>
      <c r="Q1307" s="529"/>
      <c r="R1307" s="529"/>
      <c r="S1307" s="529"/>
      <c r="T1307" s="529"/>
      <c r="U1307" s="529"/>
      <c r="V1307" s="529"/>
      <c r="W1307" s="529"/>
      <c r="X1307" s="529"/>
      <c r="Y1307" s="529"/>
      <c r="Z1307" s="529"/>
      <c r="AA1307" s="529"/>
      <c r="AB1307" s="529"/>
      <c r="AC1307" s="529"/>
      <c r="AD1307" s="529"/>
      <c r="AE1307" s="530"/>
      <c r="AF1307" s="529"/>
      <c r="AG1307" s="529"/>
      <c r="AH1307" s="529"/>
      <c r="AI1307" s="75"/>
    </row>
    <row r="1308" spans="3:35" s="74" customFormat="1" x14ac:dyDescent="0.25">
      <c r="C1308" s="527"/>
      <c r="H1308" s="527"/>
      <c r="N1308" s="55"/>
      <c r="P1308" s="527"/>
      <c r="Q1308" s="529"/>
      <c r="R1308" s="529"/>
      <c r="S1308" s="529"/>
      <c r="T1308" s="529"/>
      <c r="U1308" s="529"/>
      <c r="V1308" s="529"/>
      <c r="W1308" s="529"/>
      <c r="X1308" s="529"/>
      <c r="Y1308" s="529"/>
      <c r="Z1308" s="529"/>
      <c r="AA1308" s="529"/>
      <c r="AB1308" s="529"/>
      <c r="AC1308" s="529"/>
      <c r="AD1308" s="529"/>
      <c r="AE1308" s="530"/>
      <c r="AF1308" s="529"/>
      <c r="AG1308" s="529"/>
      <c r="AH1308" s="529"/>
      <c r="AI1308" s="75"/>
    </row>
    <row r="1309" spans="3:35" s="74" customFormat="1" x14ac:dyDescent="0.25">
      <c r="C1309" s="527"/>
      <c r="H1309" s="527"/>
      <c r="N1309" s="55"/>
      <c r="P1309" s="527"/>
      <c r="Q1309" s="529"/>
      <c r="R1309" s="529"/>
      <c r="S1309" s="529"/>
      <c r="T1309" s="529"/>
      <c r="U1309" s="529"/>
      <c r="V1309" s="529"/>
      <c r="W1309" s="529"/>
      <c r="X1309" s="529"/>
      <c r="Y1309" s="529"/>
      <c r="Z1309" s="529"/>
      <c r="AA1309" s="529"/>
      <c r="AB1309" s="529"/>
      <c r="AC1309" s="529"/>
      <c r="AD1309" s="529"/>
      <c r="AE1309" s="530"/>
      <c r="AF1309" s="529"/>
      <c r="AG1309" s="529"/>
      <c r="AH1309" s="529"/>
      <c r="AI1309" s="75"/>
    </row>
    <row r="1310" spans="3:35" s="74" customFormat="1" x14ac:dyDescent="0.25">
      <c r="C1310" s="527"/>
      <c r="H1310" s="527"/>
      <c r="N1310" s="55"/>
      <c r="P1310" s="527"/>
      <c r="Q1310" s="529"/>
      <c r="R1310" s="529"/>
      <c r="S1310" s="529"/>
      <c r="T1310" s="529"/>
      <c r="U1310" s="529"/>
      <c r="V1310" s="529"/>
      <c r="W1310" s="529"/>
      <c r="X1310" s="529"/>
      <c r="Y1310" s="529"/>
      <c r="Z1310" s="529"/>
      <c r="AA1310" s="529"/>
      <c r="AB1310" s="529"/>
      <c r="AC1310" s="529"/>
      <c r="AD1310" s="529"/>
      <c r="AE1310" s="530"/>
      <c r="AF1310" s="529"/>
      <c r="AG1310" s="529"/>
      <c r="AH1310" s="529"/>
      <c r="AI1310" s="75"/>
    </row>
    <row r="1311" spans="3:35" s="74" customFormat="1" x14ac:dyDescent="0.25">
      <c r="C1311" s="527"/>
      <c r="H1311" s="527"/>
      <c r="N1311" s="55"/>
      <c r="P1311" s="527"/>
      <c r="Q1311" s="529"/>
      <c r="R1311" s="529"/>
      <c r="S1311" s="529"/>
      <c r="T1311" s="529"/>
      <c r="U1311" s="529"/>
      <c r="V1311" s="529"/>
      <c r="W1311" s="529"/>
      <c r="X1311" s="529"/>
      <c r="Y1311" s="529"/>
      <c r="Z1311" s="529"/>
      <c r="AA1311" s="529"/>
      <c r="AB1311" s="529"/>
      <c r="AC1311" s="529"/>
      <c r="AD1311" s="529"/>
      <c r="AE1311" s="530"/>
      <c r="AF1311" s="529"/>
      <c r="AG1311" s="529"/>
      <c r="AH1311" s="529"/>
      <c r="AI1311" s="75"/>
    </row>
    <row r="1312" spans="3:35" s="74" customFormat="1" x14ac:dyDescent="0.25">
      <c r="C1312" s="527"/>
      <c r="H1312" s="527"/>
      <c r="N1312" s="55"/>
      <c r="P1312" s="527"/>
      <c r="Q1312" s="529"/>
      <c r="R1312" s="529"/>
      <c r="S1312" s="529"/>
      <c r="T1312" s="529"/>
      <c r="U1312" s="529"/>
      <c r="V1312" s="529"/>
      <c r="W1312" s="529"/>
      <c r="X1312" s="529"/>
      <c r="Y1312" s="529"/>
      <c r="Z1312" s="529"/>
      <c r="AA1312" s="529"/>
      <c r="AB1312" s="529"/>
      <c r="AC1312" s="529"/>
      <c r="AD1312" s="529"/>
      <c r="AE1312" s="530"/>
      <c r="AF1312" s="529"/>
      <c r="AG1312" s="529"/>
      <c r="AH1312" s="529"/>
      <c r="AI1312" s="75"/>
    </row>
    <row r="1313" spans="3:35" s="74" customFormat="1" x14ac:dyDescent="0.25">
      <c r="C1313" s="527"/>
      <c r="H1313" s="527"/>
      <c r="N1313" s="55"/>
      <c r="P1313" s="527"/>
      <c r="Q1313" s="529"/>
      <c r="R1313" s="529"/>
      <c r="S1313" s="529"/>
      <c r="T1313" s="529"/>
      <c r="U1313" s="529"/>
      <c r="V1313" s="529"/>
      <c r="W1313" s="529"/>
      <c r="X1313" s="529"/>
      <c r="Y1313" s="529"/>
      <c r="Z1313" s="529"/>
      <c r="AA1313" s="529"/>
      <c r="AB1313" s="529"/>
      <c r="AC1313" s="529"/>
      <c r="AD1313" s="529"/>
      <c r="AE1313" s="530"/>
      <c r="AF1313" s="529"/>
      <c r="AG1313" s="529"/>
      <c r="AH1313" s="529"/>
      <c r="AI1313" s="75"/>
    </row>
    <row r="1314" spans="3:35" s="74" customFormat="1" x14ac:dyDescent="0.25">
      <c r="C1314" s="527"/>
      <c r="H1314" s="527"/>
      <c r="N1314" s="55"/>
      <c r="P1314" s="527"/>
      <c r="Q1314" s="529"/>
      <c r="R1314" s="529"/>
      <c r="S1314" s="529"/>
      <c r="T1314" s="529"/>
      <c r="U1314" s="529"/>
      <c r="V1314" s="529"/>
      <c r="W1314" s="529"/>
      <c r="X1314" s="529"/>
      <c r="Y1314" s="529"/>
      <c r="Z1314" s="529"/>
      <c r="AA1314" s="529"/>
      <c r="AB1314" s="529"/>
      <c r="AC1314" s="529"/>
      <c r="AD1314" s="529"/>
      <c r="AE1314" s="530"/>
      <c r="AF1314" s="529"/>
      <c r="AG1314" s="529"/>
      <c r="AH1314" s="529"/>
      <c r="AI1314" s="75"/>
    </row>
    <row r="1315" spans="3:35" s="74" customFormat="1" x14ac:dyDescent="0.25">
      <c r="C1315" s="527"/>
      <c r="H1315" s="527"/>
      <c r="N1315" s="55"/>
      <c r="P1315" s="527"/>
      <c r="Q1315" s="529"/>
      <c r="R1315" s="529"/>
      <c r="S1315" s="529"/>
      <c r="T1315" s="529"/>
      <c r="U1315" s="529"/>
      <c r="V1315" s="529"/>
      <c r="W1315" s="529"/>
      <c r="X1315" s="529"/>
      <c r="Y1315" s="529"/>
      <c r="Z1315" s="529"/>
      <c r="AA1315" s="529"/>
      <c r="AB1315" s="529"/>
      <c r="AC1315" s="529"/>
      <c r="AD1315" s="529"/>
      <c r="AE1315" s="530"/>
      <c r="AF1315" s="529"/>
      <c r="AG1315" s="529"/>
      <c r="AH1315" s="529"/>
      <c r="AI1315" s="75"/>
    </row>
    <row r="1316" spans="3:35" s="74" customFormat="1" x14ac:dyDescent="0.25">
      <c r="C1316" s="527"/>
      <c r="H1316" s="527"/>
      <c r="N1316" s="55"/>
      <c r="P1316" s="527"/>
      <c r="Q1316" s="529"/>
      <c r="R1316" s="529"/>
      <c r="S1316" s="529"/>
      <c r="T1316" s="529"/>
      <c r="U1316" s="529"/>
      <c r="V1316" s="529"/>
      <c r="W1316" s="529"/>
      <c r="X1316" s="529"/>
      <c r="Y1316" s="529"/>
      <c r="Z1316" s="529"/>
      <c r="AA1316" s="529"/>
      <c r="AB1316" s="529"/>
      <c r="AC1316" s="529"/>
      <c r="AD1316" s="529"/>
      <c r="AE1316" s="530"/>
      <c r="AF1316" s="529"/>
      <c r="AG1316" s="529"/>
      <c r="AH1316" s="529"/>
      <c r="AI1316" s="75"/>
    </row>
    <row r="1317" spans="3:35" s="74" customFormat="1" x14ac:dyDescent="0.25">
      <c r="C1317" s="527"/>
      <c r="H1317" s="527"/>
      <c r="N1317" s="55"/>
      <c r="P1317" s="527"/>
      <c r="Q1317" s="529"/>
      <c r="R1317" s="529"/>
      <c r="S1317" s="529"/>
      <c r="T1317" s="529"/>
      <c r="U1317" s="529"/>
      <c r="V1317" s="529"/>
      <c r="W1317" s="529"/>
      <c r="X1317" s="529"/>
      <c r="Y1317" s="529"/>
      <c r="Z1317" s="529"/>
      <c r="AA1317" s="529"/>
      <c r="AB1317" s="529"/>
      <c r="AC1317" s="529"/>
      <c r="AD1317" s="529"/>
      <c r="AE1317" s="530"/>
      <c r="AF1317" s="529"/>
      <c r="AG1317" s="529"/>
      <c r="AH1317" s="529"/>
      <c r="AI1317" s="75"/>
    </row>
    <row r="1318" spans="3:35" s="74" customFormat="1" x14ac:dyDescent="0.25">
      <c r="C1318" s="527"/>
      <c r="H1318" s="527"/>
      <c r="N1318" s="55"/>
      <c r="P1318" s="527"/>
      <c r="Q1318" s="529"/>
      <c r="R1318" s="529"/>
      <c r="S1318" s="529"/>
      <c r="T1318" s="529"/>
      <c r="U1318" s="529"/>
      <c r="V1318" s="529"/>
      <c r="W1318" s="529"/>
      <c r="X1318" s="529"/>
      <c r="Y1318" s="529"/>
      <c r="Z1318" s="529"/>
      <c r="AA1318" s="529"/>
      <c r="AB1318" s="529"/>
      <c r="AC1318" s="529"/>
      <c r="AD1318" s="529"/>
      <c r="AE1318" s="530"/>
      <c r="AF1318" s="529"/>
      <c r="AG1318" s="529"/>
      <c r="AH1318" s="529"/>
      <c r="AI1318" s="75"/>
    </row>
    <row r="1319" spans="3:35" s="74" customFormat="1" x14ac:dyDescent="0.25">
      <c r="C1319" s="527"/>
      <c r="H1319" s="527"/>
      <c r="N1319" s="55"/>
      <c r="P1319" s="527"/>
      <c r="Q1319" s="529"/>
      <c r="R1319" s="529"/>
      <c r="S1319" s="529"/>
      <c r="T1319" s="529"/>
      <c r="U1319" s="529"/>
      <c r="V1319" s="529"/>
      <c r="W1319" s="529"/>
      <c r="X1319" s="529"/>
      <c r="Y1319" s="529"/>
      <c r="Z1319" s="529"/>
      <c r="AA1319" s="529"/>
      <c r="AB1319" s="529"/>
      <c r="AC1319" s="529"/>
      <c r="AD1319" s="529"/>
      <c r="AE1319" s="530"/>
      <c r="AF1319" s="529"/>
      <c r="AG1319" s="529"/>
      <c r="AH1319" s="529"/>
      <c r="AI1319" s="75"/>
    </row>
    <row r="1320" spans="3:35" s="74" customFormat="1" x14ac:dyDescent="0.25">
      <c r="C1320" s="527"/>
      <c r="H1320" s="527"/>
      <c r="N1320" s="55"/>
      <c r="P1320" s="527"/>
      <c r="Q1320" s="529"/>
      <c r="R1320" s="529"/>
      <c r="S1320" s="529"/>
      <c r="T1320" s="529"/>
      <c r="U1320" s="529"/>
      <c r="V1320" s="529"/>
      <c r="W1320" s="529"/>
      <c r="X1320" s="529"/>
      <c r="Y1320" s="529"/>
      <c r="Z1320" s="529"/>
      <c r="AA1320" s="529"/>
      <c r="AB1320" s="529"/>
      <c r="AC1320" s="529"/>
      <c r="AD1320" s="529"/>
      <c r="AE1320" s="530"/>
      <c r="AF1320" s="529"/>
      <c r="AG1320" s="529"/>
      <c r="AH1320" s="529"/>
      <c r="AI1320" s="75"/>
    </row>
    <row r="1321" spans="3:35" s="74" customFormat="1" x14ac:dyDescent="0.25">
      <c r="C1321" s="527"/>
      <c r="H1321" s="527"/>
      <c r="N1321" s="55"/>
      <c r="P1321" s="527"/>
      <c r="Q1321" s="529"/>
      <c r="R1321" s="529"/>
      <c r="S1321" s="529"/>
      <c r="T1321" s="529"/>
      <c r="U1321" s="529"/>
      <c r="V1321" s="529"/>
      <c r="W1321" s="529"/>
      <c r="X1321" s="529"/>
      <c r="Y1321" s="529"/>
      <c r="Z1321" s="529"/>
      <c r="AA1321" s="529"/>
      <c r="AB1321" s="529"/>
      <c r="AC1321" s="529"/>
      <c r="AD1321" s="529"/>
      <c r="AE1321" s="530"/>
      <c r="AF1321" s="529"/>
      <c r="AG1321" s="529"/>
      <c r="AH1321" s="529"/>
      <c r="AI1321" s="75"/>
    </row>
    <row r="1322" spans="3:35" s="74" customFormat="1" x14ac:dyDescent="0.25">
      <c r="C1322" s="527"/>
      <c r="H1322" s="527"/>
      <c r="N1322" s="55"/>
      <c r="P1322" s="527"/>
      <c r="Q1322" s="529"/>
      <c r="R1322" s="529"/>
      <c r="S1322" s="529"/>
      <c r="T1322" s="529"/>
      <c r="U1322" s="529"/>
      <c r="V1322" s="529"/>
      <c r="W1322" s="529"/>
      <c r="X1322" s="529"/>
      <c r="Y1322" s="529"/>
      <c r="Z1322" s="529"/>
      <c r="AA1322" s="529"/>
      <c r="AB1322" s="529"/>
      <c r="AC1322" s="529"/>
      <c r="AD1322" s="529"/>
      <c r="AE1322" s="530"/>
      <c r="AF1322" s="529"/>
      <c r="AG1322" s="529"/>
      <c r="AH1322" s="529"/>
      <c r="AI1322" s="75"/>
    </row>
    <row r="1323" spans="3:35" s="74" customFormat="1" x14ac:dyDescent="0.25">
      <c r="C1323" s="527"/>
      <c r="H1323" s="527"/>
      <c r="N1323" s="55"/>
      <c r="P1323" s="527"/>
      <c r="Q1323" s="529"/>
      <c r="R1323" s="529"/>
      <c r="S1323" s="529"/>
      <c r="T1323" s="529"/>
      <c r="U1323" s="529"/>
      <c r="V1323" s="529"/>
      <c r="W1323" s="529"/>
      <c r="X1323" s="529"/>
      <c r="Y1323" s="529"/>
      <c r="Z1323" s="529"/>
      <c r="AA1323" s="529"/>
      <c r="AB1323" s="529"/>
      <c r="AC1323" s="529"/>
      <c r="AD1323" s="529"/>
      <c r="AE1323" s="530"/>
      <c r="AF1323" s="529"/>
      <c r="AG1323" s="529"/>
      <c r="AH1323" s="529"/>
      <c r="AI1323" s="75"/>
    </row>
    <row r="1324" spans="3:35" s="74" customFormat="1" x14ac:dyDescent="0.25">
      <c r="C1324" s="527"/>
      <c r="H1324" s="527"/>
      <c r="N1324" s="55"/>
      <c r="P1324" s="527"/>
      <c r="Q1324" s="529"/>
      <c r="R1324" s="529"/>
      <c r="S1324" s="529"/>
      <c r="T1324" s="529"/>
      <c r="U1324" s="529"/>
      <c r="V1324" s="529"/>
      <c r="W1324" s="529"/>
      <c r="X1324" s="529"/>
      <c r="Y1324" s="529"/>
      <c r="Z1324" s="529"/>
      <c r="AA1324" s="529"/>
      <c r="AB1324" s="529"/>
      <c r="AC1324" s="529"/>
      <c r="AD1324" s="529"/>
      <c r="AE1324" s="530"/>
      <c r="AF1324" s="529"/>
      <c r="AG1324" s="529"/>
      <c r="AH1324" s="529"/>
      <c r="AI1324" s="75"/>
    </row>
    <row r="1325" spans="3:35" s="74" customFormat="1" x14ac:dyDescent="0.25">
      <c r="C1325" s="527"/>
      <c r="H1325" s="527"/>
      <c r="N1325" s="55"/>
      <c r="P1325" s="527"/>
      <c r="Q1325" s="529"/>
      <c r="R1325" s="529"/>
      <c r="S1325" s="529"/>
      <c r="T1325" s="529"/>
      <c r="U1325" s="529"/>
      <c r="V1325" s="529"/>
      <c r="W1325" s="529"/>
      <c r="X1325" s="529"/>
      <c r="Y1325" s="529"/>
      <c r="Z1325" s="529"/>
      <c r="AA1325" s="529"/>
      <c r="AB1325" s="529"/>
      <c r="AC1325" s="529"/>
      <c r="AD1325" s="529"/>
      <c r="AE1325" s="530"/>
      <c r="AF1325" s="529"/>
      <c r="AG1325" s="529"/>
      <c r="AH1325" s="529"/>
      <c r="AI1325" s="75"/>
    </row>
    <row r="1326" spans="3:35" s="74" customFormat="1" x14ac:dyDescent="0.25">
      <c r="C1326" s="527"/>
      <c r="H1326" s="527"/>
      <c r="N1326" s="55"/>
      <c r="P1326" s="527"/>
      <c r="Q1326" s="529"/>
      <c r="R1326" s="529"/>
      <c r="S1326" s="529"/>
      <c r="T1326" s="529"/>
      <c r="U1326" s="529"/>
      <c r="V1326" s="529"/>
      <c r="W1326" s="529"/>
      <c r="X1326" s="529"/>
      <c r="Y1326" s="529"/>
      <c r="Z1326" s="529"/>
      <c r="AA1326" s="529"/>
      <c r="AB1326" s="529"/>
      <c r="AC1326" s="529"/>
      <c r="AD1326" s="529"/>
      <c r="AE1326" s="530"/>
      <c r="AF1326" s="529"/>
      <c r="AG1326" s="529"/>
      <c r="AH1326" s="529"/>
      <c r="AI1326" s="75"/>
    </row>
    <row r="1327" spans="3:35" s="74" customFormat="1" x14ac:dyDescent="0.25">
      <c r="C1327" s="527"/>
      <c r="H1327" s="527"/>
      <c r="N1327" s="55"/>
      <c r="P1327" s="527"/>
      <c r="Q1327" s="529"/>
      <c r="R1327" s="529"/>
      <c r="S1327" s="529"/>
      <c r="T1327" s="529"/>
      <c r="U1327" s="529"/>
      <c r="V1327" s="529"/>
      <c r="W1327" s="529"/>
      <c r="X1327" s="529"/>
      <c r="Y1327" s="529"/>
      <c r="Z1327" s="529"/>
      <c r="AA1327" s="529"/>
      <c r="AB1327" s="529"/>
      <c r="AC1327" s="529"/>
      <c r="AD1327" s="529"/>
      <c r="AE1327" s="530"/>
      <c r="AF1327" s="529"/>
      <c r="AG1327" s="529"/>
      <c r="AH1327" s="529"/>
      <c r="AI1327" s="75"/>
    </row>
    <row r="1328" spans="3:35" s="74" customFormat="1" x14ac:dyDescent="0.25">
      <c r="C1328" s="527"/>
      <c r="H1328" s="527"/>
      <c r="N1328" s="55"/>
      <c r="P1328" s="527"/>
      <c r="Q1328" s="529"/>
      <c r="R1328" s="529"/>
      <c r="S1328" s="529"/>
      <c r="T1328" s="529"/>
      <c r="U1328" s="529"/>
      <c r="V1328" s="529"/>
      <c r="W1328" s="529"/>
      <c r="X1328" s="529"/>
      <c r="Y1328" s="529"/>
      <c r="Z1328" s="529"/>
      <c r="AA1328" s="529"/>
      <c r="AB1328" s="529"/>
      <c r="AC1328" s="529"/>
      <c r="AD1328" s="529"/>
      <c r="AE1328" s="530"/>
      <c r="AF1328" s="529"/>
      <c r="AG1328" s="529"/>
      <c r="AH1328" s="529"/>
      <c r="AI1328" s="75"/>
    </row>
    <row r="1329" spans="3:35" s="74" customFormat="1" x14ac:dyDescent="0.25">
      <c r="C1329" s="527"/>
      <c r="H1329" s="527"/>
      <c r="N1329" s="55"/>
      <c r="P1329" s="527"/>
      <c r="Q1329" s="529"/>
      <c r="R1329" s="529"/>
      <c r="S1329" s="529"/>
      <c r="T1329" s="529"/>
      <c r="U1329" s="529"/>
      <c r="V1329" s="529"/>
      <c r="W1329" s="529"/>
      <c r="X1329" s="529"/>
      <c r="Y1329" s="529"/>
      <c r="Z1329" s="529"/>
      <c r="AA1329" s="529"/>
      <c r="AB1329" s="529"/>
      <c r="AC1329" s="529"/>
      <c r="AD1329" s="529"/>
      <c r="AE1329" s="530"/>
      <c r="AF1329" s="529"/>
      <c r="AG1329" s="529"/>
      <c r="AH1329" s="529"/>
      <c r="AI1329" s="75"/>
    </row>
    <row r="1330" spans="3:35" s="74" customFormat="1" x14ac:dyDescent="0.25">
      <c r="C1330" s="527"/>
      <c r="H1330" s="527"/>
      <c r="N1330" s="55"/>
      <c r="P1330" s="527"/>
      <c r="Q1330" s="529"/>
      <c r="R1330" s="529"/>
      <c r="S1330" s="529"/>
      <c r="T1330" s="529"/>
      <c r="U1330" s="529"/>
      <c r="V1330" s="529"/>
      <c r="W1330" s="529"/>
      <c r="X1330" s="529"/>
      <c r="Y1330" s="529"/>
      <c r="Z1330" s="529"/>
      <c r="AA1330" s="529"/>
      <c r="AB1330" s="529"/>
      <c r="AC1330" s="529"/>
      <c r="AD1330" s="529"/>
      <c r="AE1330" s="530"/>
      <c r="AF1330" s="529"/>
      <c r="AG1330" s="529"/>
      <c r="AH1330" s="529"/>
      <c r="AI1330" s="75"/>
    </row>
    <row r="1331" spans="3:35" s="74" customFormat="1" x14ac:dyDescent="0.25">
      <c r="C1331" s="527"/>
      <c r="H1331" s="527"/>
      <c r="N1331" s="55"/>
      <c r="P1331" s="527"/>
      <c r="Q1331" s="529"/>
      <c r="R1331" s="529"/>
      <c r="S1331" s="529"/>
      <c r="T1331" s="529"/>
      <c r="U1331" s="529"/>
      <c r="V1331" s="529"/>
      <c r="W1331" s="529"/>
      <c r="X1331" s="529"/>
      <c r="Y1331" s="529"/>
      <c r="Z1331" s="529"/>
      <c r="AA1331" s="529"/>
      <c r="AB1331" s="529"/>
      <c r="AC1331" s="529"/>
      <c r="AD1331" s="529"/>
      <c r="AE1331" s="530"/>
      <c r="AF1331" s="529"/>
      <c r="AG1331" s="529"/>
      <c r="AH1331" s="529"/>
      <c r="AI1331" s="75"/>
    </row>
    <row r="1332" spans="3:35" s="74" customFormat="1" x14ac:dyDescent="0.25">
      <c r="C1332" s="527"/>
      <c r="H1332" s="527"/>
      <c r="N1332" s="55"/>
      <c r="P1332" s="527"/>
      <c r="Q1332" s="529"/>
      <c r="R1332" s="529"/>
      <c r="S1332" s="529"/>
      <c r="T1332" s="529"/>
      <c r="U1332" s="529"/>
      <c r="V1332" s="529"/>
      <c r="W1332" s="529"/>
      <c r="X1332" s="529"/>
      <c r="Y1332" s="529"/>
      <c r="Z1332" s="529"/>
      <c r="AA1332" s="529"/>
      <c r="AB1332" s="529"/>
      <c r="AC1332" s="529"/>
      <c r="AD1332" s="529"/>
      <c r="AE1332" s="530"/>
      <c r="AF1332" s="529"/>
      <c r="AG1332" s="529"/>
      <c r="AH1332" s="529"/>
      <c r="AI1332" s="75"/>
    </row>
    <row r="1333" spans="3:35" s="74" customFormat="1" x14ac:dyDescent="0.25">
      <c r="C1333" s="527"/>
      <c r="H1333" s="527"/>
      <c r="N1333" s="55"/>
      <c r="P1333" s="527"/>
      <c r="Q1333" s="529"/>
      <c r="R1333" s="529"/>
      <c r="S1333" s="529"/>
      <c r="T1333" s="529"/>
      <c r="U1333" s="529"/>
      <c r="V1333" s="529"/>
      <c r="W1333" s="529"/>
      <c r="X1333" s="529"/>
      <c r="Y1333" s="529"/>
      <c r="Z1333" s="529"/>
      <c r="AA1333" s="529"/>
      <c r="AB1333" s="529"/>
      <c r="AC1333" s="529"/>
      <c r="AD1333" s="529"/>
      <c r="AE1333" s="530"/>
      <c r="AF1333" s="529"/>
      <c r="AG1333" s="529"/>
      <c r="AH1333" s="529"/>
      <c r="AI1333" s="75"/>
    </row>
    <row r="1334" spans="3:35" s="74" customFormat="1" x14ac:dyDescent="0.25">
      <c r="C1334" s="527"/>
      <c r="H1334" s="527"/>
      <c r="N1334" s="55"/>
      <c r="P1334" s="527"/>
      <c r="Q1334" s="529"/>
      <c r="R1334" s="529"/>
      <c r="S1334" s="529"/>
      <c r="T1334" s="529"/>
      <c r="U1334" s="529"/>
      <c r="V1334" s="529"/>
      <c r="W1334" s="529"/>
      <c r="X1334" s="529"/>
      <c r="Y1334" s="529"/>
      <c r="Z1334" s="529"/>
      <c r="AA1334" s="529"/>
      <c r="AB1334" s="529"/>
      <c r="AC1334" s="529"/>
      <c r="AD1334" s="529"/>
      <c r="AE1334" s="530"/>
      <c r="AF1334" s="529"/>
      <c r="AG1334" s="529"/>
      <c r="AH1334" s="529"/>
      <c r="AI1334" s="75"/>
    </row>
    <row r="1335" spans="3:35" s="74" customFormat="1" x14ac:dyDescent="0.25">
      <c r="C1335" s="527"/>
      <c r="H1335" s="527"/>
      <c r="N1335" s="55"/>
      <c r="P1335" s="527"/>
      <c r="Q1335" s="529"/>
      <c r="R1335" s="529"/>
      <c r="S1335" s="529"/>
      <c r="T1335" s="529"/>
      <c r="U1335" s="529"/>
      <c r="V1335" s="529"/>
      <c r="W1335" s="529"/>
      <c r="X1335" s="529"/>
      <c r="Y1335" s="529"/>
      <c r="Z1335" s="529"/>
      <c r="AA1335" s="529"/>
      <c r="AB1335" s="529"/>
      <c r="AC1335" s="529"/>
      <c r="AD1335" s="529"/>
      <c r="AE1335" s="530"/>
      <c r="AF1335" s="529"/>
      <c r="AG1335" s="529"/>
      <c r="AH1335" s="529"/>
      <c r="AI1335" s="75"/>
    </row>
    <row r="1336" spans="3:35" s="74" customFormat="1" x14ac:dyDescent="0.25">
      <c r="C1336" s="527"/>
      <c r="H1336" s="527"/>
      <c r="N1336" s="55"/>
      <c r="P1336" s="527"/>
      <c r="Q1336" s="529"/>
      <c r="R1336" s="529"/>
      <c r="S1336" s="529"/>
      <c r="T1336" s="529"/>
      <c r="U1336" s="529"/>
      <c r="V1336" s="529"/>
      <c r="W1336" s="529"/>
      <c r="X1336" s="529"/>
      <c r="Y1336" s="529"/>
      <c r="Z1336" s="529"/>
      <c r="AA1336" s="529"/>
      <c r="AB1336" s="529"/>
      <c r="AC1336" s="529"/>
      <c r="AD1336" s="529"/>
      <c r="AE1336" s="530"/>
      <c r="AF1336" s="529"/>
      <c r="AG1336" s="529"/>
      <c r="AH1336" s="529"/>
      <c r="AI1336" s="75"/>
    </row>
    <row r="1337" spans="3:35" s="74" customFormat="1" x14ac:dyDescent="0.25">
      <c r="C1337" s="527"/>
      <c r="H1337" s="527"/>
      <c r="N1337" s="55"/>
      <c r="P1337" s="527"/>
      <c r="Q1337" s="529"/>
      <c r="R1337" s="529"/>
      <c r="S1337" s="529"/>
      <c r="T1337" s="529"/>
      <c r="U1337" s="529"/>
      <c r="V1337" s="529"/>
      <c r="W1337" s="529"/>
      <c r="X1337" s="529"/>
      <c r="Y1337" s="529"/>
      <c r="Z1337" s="529"/>
      <c r="AA1337" s="529"/>
      <c r="AB1337" s="529"/>
      <c r="AC1337" s="529"/>
      <c r="AD1337" s="529"/>
      <c r="AE1337" s="530"/>
      <c r="AF1337" s="529"/>
      <c r="AG1337" s="529"/>
      <c r="AH1337" s="529"/>
      <c r="AI1337" s="75"/>
    </row>
    <row r="1338" spans="3:35" s="74" customFormat="1" x14ac:dyDescent="0.25">
      <c r="C1338" s="527"/>
      <c r="H1338" s="527"/>
      <c r="N1338" s="55"/>
      <c r="P1338" s="527"/>
      <c r="Q1338" s="529"/>
      <c r="R1338" s="529"/>
      <c r="S1338" s="529"/>
      <c r="T1338" s="529"/>
      <c r="U1338" s="529"/>
      <c r="V1338" s="529"/>
      <c r="W1338" s="529"/>
      <c r="X1338" s="529"/>
      <c r="Y1338" s="529"/>
      <c r="Z1338" s="529"/>
      <c r="AA1338" s="529"/>
      <c r="AB1338" s="529"/>
      <c r="AC1338" s="529"/>
      <c r="AD1338" s="529"/>
      <c r="AE1338" s="530"/>
      <c r="AF1338" s="529"/>
      <c r="AG1338" s="529"/>
      <c r="AH1338" s="529"/>
      <c r="AI1338" s="75"/>
    </row>
    <row r="1339" spans="3:35" s="74" customFormat="1" x14ac:dyDescent="0.25">
      <c r="C1339" s="527"/>
      <c r="H1339" s="527"/>
      <c r="N1339" s="55"/>
      <c r="P1339" s="527"/>
      <c r="Q1339" s="529"/>
      <c r="R1339" s="529"/>
      <c r="S1339" s="529"/>
      <c r="T1339" s="529"/>
      <c r="U1339" s="529"/>
      <c r="V1339" s="529"/>
      <c r="W1339" s="529"/>
      <c r="X1339" s="529"/>
      <c r="Y1339" s="529"/>
      <c r="Z1339" s="529"/>
      <c r="AA1339" s="529"/>
      <c r="AB1339" s="529"/>
      <c r="AC1339" s="529"/>
      <c r="AD1339" s="529"/>
      <c r="AE1339" s="530"/>
      <c r="AF1339" s="529"/>
      <c r="AG1339" s="529"/>
      <c r="AH1339" s="529"/>
      <c r="AI1339" s="75"/>
    </row>
    <row r="1340" spans="3:35" s="74" customFormat="1" x14ac:dyDescent="0.25">
      <c r="C1340" s="527"/>
      <c r="H1340" s="527"/>
      <c r="N1340" s="55"/>
      <c r="P1340" s="527"/>
      <c r="Q1340" s="529"/>
      <c r="R1340" s="529"/>
      <c r="S1340" s="529"/>
      <c r="T1340" s="529"/>
      <c r="U1340" s="529"/>
      <c r="V1340" s="529"/>
      <c r="W1340" s="529"/>
      <c r="X1340" s="529"/>
      <c r="Y1340" s="529"/>
      <c r="Z1340" s="529"/>
      <c r="AA1340" s="529"/>
      <c r="AB1340" s="529"/>
      <c r="AC1340" s="529"/>
      <c r="AD1340" s="529"/>
      <c r="AE1340" s="530"/>
      <c r="AF1340" s="529"/>
      <c r="AG1340" s="529"/>
      <c r="AH1340" s="529"/>
      <c r="AI1340" s="75"/>
    </row>
    <row r="1341" spans="3:35" s="74" customFormat="1" x14ac:dyDescent="0.25">
      <c r="C1341" s="527"/>
      <c r="H1341" s="527"/>
      <c r="N1341" s="55"/>
      <c r="P1341" s="527"/>
      <c r="Q1341" s="529"/>
      <c r="R1341" s="529"/>
      <c r="S1341" s="529"/>
      <c r="T1341" s="529"/>
      <c r="U1341" s="529"/>
      <c r="V1341" s="529"/>
      <c r="W1341" s="529"/>
      <c r="X1341" s="529"/>
      <c r="Y1341" s="529"/>
      <c r="Z1341" s="529"/>
      <c r="AA1341" s="529"/>
      <c r="AB1341" s="529"/>
      <c r="AC1341" s="529"/>
      <c r="AD1341" s="529"/>
      <c r="AE1341" s="530"/>
      <c r="AF1341" s="529"/>
      <c r="AG1341" s="529"/>
      <c r="AH1341" s="529"/>
      <c r="AI1341" s="75"/>
    </row>
    <row r="1342" spans="3:35" s="74" customFormat="1" x14ac:dyDescent="0.25">
      <c r="C1342" s="527"/>
      <c r="H1342" s="527"/>
      <c r="N1342" s="55"/>
      <c r="P1342" s="527"/>
      <c r="Q1342" s="529"/>
      <c r="R1342" s="529"/>
      <c r="S1342" s="529"/>
      <c r="T1342" s="529"/>
      <c r="U1342" s="529"/>
      <c r="V1342" s="529"/>
      <c r="W1342" s="529"/>
      <c r="X1342" s="529"/>
      <c r="Y1342" s="529"/>
      <c r="Z1342" s="529"/>
      <c r="AA1342" s="529"/>
      <c r="AB1342" s="529"/>
      <c r="AC1342" s="529"/>
      <c r="AD1342" s="529"/>
      <c r="AE1342" s="530"/>
      <c r="AF1342" s="529"/>
      <c r="AG1342" s="529"/>
      <c r="AH1342" s="529"/>
      <c r="AI1342" s="75"/>
    </row>
    <row r="1343" spans="3:35" s="74" customFormat="1" x14ac:dyDescent="0.25">
      <c r="C1343" s="527"/>
      <c r="H1343" s="527"/>
      <c r="N1343" s="55"/>
      <c r="P1343" s="527"/>
      <c r="Q1343" s="529"/>
      <c r="R1343" s="529"/>
      <c r="S1343" s="529"/>
      <c r="T1343" s="529"/>
      <c r="U1343" s="529"/>
      <c r="V1343" s="529"/>
      <c r="W1343" s="529"/>
      <c r="X1343" s="529"/>
      <c r="Y1343" s="529"/>
      <c r="Z1343" s="529"/>
      <c r="AA1343" s="529"/>
      <c r="AB1343" s="529"/>
      <c r="AC1343" s="529"/>
      <c r="AD1343" s="529"/>
      <c r="AE1343" s="530"/>
      <c r="AF1343" s="529"/>
      <c r="AG1343" s="529"/>
      <c r="AH1343" s="529"/>
      <c r="AI1343" s="75"/>
    </row>
    <row r="1344" spans="3:35" s="74" customFormat="1" x14ac:dyDescent="0.25">
      <c r="C1344" s="527"/>
      <c r="H1344" s="527"/>
      <c r="N1344" s="55"/>
      <c r="P1344" s="527"/>
      <c r="Q1344" s="529"/>
      <c r="R1344" s="529"/>
      <c r="S1344" s="529"/>
      <c r="T1344" s="529"/>
      <c r="U1344" s="529"/>
      <c r="V1344" s="529"/>
      <c r="W1344" s="529"/>
      <c r="X1344" s="529"/>
      <c r="Y1344" s="529"/>
      <c r="Z1344" s="529"/>
      <c r="AA1344" s="529"/>
      <c r="AB1344" s="529"/>
      <c r="AC1344" s="529"/>
      <c r="AD1344" s="529"/>
      <c r="AE1344" s="530"/>
      <c r="AF1344" s="529"/>
      <c r="AG1344" s="529"/>
      <c r="AH1344" s="529"/>
      <c r="AI1344" s="75"/>
    </row>
    <row r="1345" spans="3:35" s="74" customFormat="1" x14ac:dyDescent="0.25">
      <c r="C1345" s="527"/>
      <c r="H1345" s="527"/>
      <c r="N1345" s="55"/>
      <c r="P1345" s="527"/>
      <c r="Q1345" s="529"/>
      <c r="R1345" s="529"/>
      <c r="S1345" s="529"/>
      <c r="T1345" s="529"/>
      <c r="U1345" s="529"/>
      <c r="V1345" s="529"/>
      <c r="W1345" s="529"/>
      <c r="X1345" s="529"/>
      <c r="Y1345" s="529"/>
      <c r="Z1345" s="529"/>
      <c r="AA1345" s="529"/>
      <c r="AB1345" s="529"/>
      <c r="AC1345" s="529"/>
      <c r="AD1345" s="529"/>
      <c r="AE1345" s="530"/>
      <c r="AF1345" s="529"/>
      <c r="AG1345" s="529"/>
      <c r="AH1345" s="529"/>
      <c r="AI1345" s="75"/>
    </row>
  </sheetData>
  <sheetProtection password="A60F" sheet="1" objects="1" scenarios="1"/>
  <mergeCells count="386">
    <mergeCell ref="A2:AH2"/>
    <mergeCell ref="A1:AH1"/>
    <mergeCell ref="A4:AH4"/>
    <mergeCell ref="K5:L5"/>
    <mergeCell ref="C5:D5"/>
    <mergeCell ref="H5:I5"/>
    <mergeCell ref="A678:I678"/>
    <mergeCell ref="A753:H753"/>
    <mergeCell ref="C745:C747"/>
    <mergeCell ref="D745:D747"/>
    <mergeCell ref="E745:E747"/>
    <mergeCell ref="F745:F747"/>
    <mergeCell ref="N745:N747"/>
    <mergeCell ref="O745:O747"/>
    <mergeCell ref="N705:N707"/>
    <mergeCell ref="O705:O707"/>
    <mergeCell ref="B716:B718"/>
    <mergeCell ref="B724:E724"/>
    <mergeCell ref="C725:F725"/>
    <mergeCell ref="N731:N734"/>
    <mergeCell ref="O731:O734"/>
    <mergeCell ref="B704:B712"/>
    <mergeCell ref="C705:C707"/>
    <mergeCell ref="D705:D707"/>
    <mergeCell ref="E705:E707"/>
    <mergeCell ref="F705:F707"/>
    <mergeCell ref="G705:G707"/>
    <mergeCell ref="A752:K752"/>
    <mergeCell ref="A739:O739"/>
    <mergeCell ref="A679:G679"/>
    <mergeCell ref="E697:E699"/>
    <mergeCell ref="F697:F699"/>
    <mergeCell ref="G697:G699"/>
    <mergeCell ref="N697:N699"/>
    <mergeCell ref="O697:O699"/>
    <mergeCell ref="C684:C685"/>
    <mergeCell ref="D684:D685"/>
    <mergeCell ref="E684:E685"/>
    <mergeCell ref="F684:F685"/>
    <mergeCell ref="N684:N685"/>
    <mergeCell ref="O684:O685"/>
    <mergeCell ref="C697:C699"/>
    <mergeCell ref="D697:D699"/>
    <mergeCell ref="G659:G661"/>
    <mergeCell ref="M659:M661"/>
    <mergeCell ref="N659:N661"/>
    <mergeCell ref="O659:O661"/>
    <mergeCell ref="N647:N648"/>
    <mergeCell ref="O647:O648"/>
    <mergeCell ref="C652:C653"/>
    <mergeCell ref="D652:D653"/>
    <mergeCell ref="E652:E653"/>
    <mergeCell ref="F652:F653"/>
    <mergeCell ref="G652:G653"/>
    <mergeCell ref="M652:M653"/>
    <mergeCell ref="N652:N653"/>
    <mergeCell ref="O652:O653"/>
    <mergeCell ref="C647:C648"/>
    <mergeCell ref="D647:D648"/>
    <mergeCell ref="E647:E648"/>
    <mergeCell ref="F647:F648"/>
    <mergeCell ref="G647:G648"/>
    <mergeCell ref="M647:M648"/>
    <mergeCell ref="C641:C642"/>
    <mergeCell ref="D641:D642"/>
    <mergeCell ref="E641:E642"/>
    <mergeCell ref="F641:F642"/>
    <mergeCell ref="M641:M642"/>
    <mergeCell ref="N641:N642"/>
    <mergeCell ref="O641:O642"/>
    <mergeCell ref="C631:C633"/>
    <mergeCell ref="D631:D633"/>
    <mergeCell ref="E631:E633"/>
    <mergeCell ref="F631:F633"/>
    <mergeCell ref="G631:G633"/>
    <mergeCell ref="M631:M633"/>
    <mergeCell ref="C610:C611"/>
    <mergeCell ref="D610:D611"/>
    <mergeCell ref="E610:E611"/>
    <mergeCell ref="F610:F611"/>
    <mergeCell ref="M610:M611"/>
    <mergeCell ref="N610:N611"/>
    <mergeCell ref="O610:O611"/>
    <mergeCell ref="N631:N633"/>
    <mergeCell ref="O631:O633"/>
    <mergeCell ref="O591:O593"/>
    <mergeCell ref="M597:M600"/>
    <mergeCell ref="N597:N600"/>
    <mergeCell ref="O597:O600"/>
    <mergeCell ref="C604:C605"/>
    <mergeCell ref="D604:D605"/>
    <mergeCell ref="E604:E605"/>
    <mergeCell ref="F604:F605"/>
    <mergeCell ref="G604:G605"/>
    <mergeCell ref="M604:M605"/>
    <mergeCell ref="D591:D592"/>
    <mergeCell ref="E591:E592"/>
    <mergeCell ref="F591:F592"/>
    <mergeCell ref="G591:G592"/>
    <mergeCell ref="M591:M593"/>
    <mergeCell ref="N591:N593"/>
    <mergeCell ref="N604:N605"/>
    <mergeCell ref="O604:O605"/>
    <mergeCell ref="N581:N582"/>
    <mergeCell ref="O581:O582"/>
    <mergeCell ref="G586:G587"/>
    <mergeCell ref="M586:M587"/>
    <mergeCell ref="N586:N587"/>
    <mergeCell ref="O586:O587"/>
    <mergeCell ref="O573:O574"/>
    <mergeCell ref="M575:M576"/>
    <mergeCell ref="N575:N576"/>
    <mergeCell ref="O575:O576"/>
    <mergeCell ref="N573:N574"/>
    <mergeCell ref="C581:C582"/>
    <mergeCell ref="D581:D582"/>
    <mergeCell ref="E581:E582"/>
    <mergeCell ref="F581:F582"/>
    <mergeCell ref="G581:G582"/>
    <mergeCell ref="M581:M582"/>
    <mergeCell ref="C568:C569"/>
    <mergeCell ref="D568:D569"/>
    <mergeCell ref="E568:E569"/>
    <mergeCell ref="F568:F569"/>
    <mergeCell ref="M573:M574"/>
    <mergeCell ref="G567:G569"/>
    <mergeCell ref="M567:M569"/>
    <mergeCell ref="N567:N569"/>
    <mergeCell ref="O567:O569"/>
    <mergeCell ref="N549:N550"/>
    <mergeCell ref="O549:O550"/>
    <mergeCell ref="M554:M557"/>
    <mergeCell ref="N554:N557"/>
    <mergeCell ref="O554:O557"/>
    <mergeCell ref="C561:C563"/>
    <mergeCell ref="D561:D563"/>
    <mergeCell ref="E561:E563"/>
    <mergeCell ref="F561:F563"/>
    <mergeCell ref="M561:M563"/>
    <mergeCell ref="N561:N563"/>
    <mergeCell ref="O561:O563"/>
    <mergeCell ref="M541:M543"/>
    <mergeCell ref="N541:N543"/>
    <mergeCell ref="O541:O543"/>
    <mergeCell ref="C549:C550"/>
    <mergeCell ref="D549:D550"/>
    <mergeCell ref="E549:E550"/>
    <mergeCell ref="F549:F550"/>
    <mergeCell ref="G549:G550"/>
    <mergeCell ref="M549:M550"/>
    <mergeCell ref="O476:O478"/>
    <mergeCell ref="M482:M484"/>
    <mergeCell ref="N482:N484"/>
    <mergeCell ref="O482:O484"/>
    <mergeCell ref="C518:C521"/>
    <mergeCell ref="D518:D521"/>
    <mergeCell ref="E518:E521"/>
    <mergeCell ref="F518:F521"/>
    <mergeCell ref="M518:M521"/>
    <mergeCell ref="N518:N521"/>
    <mergeCell ref="C476:C478"/>
    <mergeCell ref="D476:D478"/>
    <mergeCell ref="E476:E478"/>
    <mergeCell ref="F476:F478"/>
    <mergeCell ref="M476:M478"/>
    <mergeCell ref="N476:N478"/>
    <mergeCell ref="O518:O521"/>
    <mergeCell ref="O448:O449"/>
    <mergeCell ref="C465:C466"/>
    <mergeCell ref="D465:D466"/>
    <mergeCell ref="E465:E466"/>
    <mergeCell ref="F465:F466"/>
    <mergeCell ref="M465:M466"/>
    <mergeCell ref="N465:N466"/>
    <mergeCell ref="O465:O466"/>
    <mergeCell ref="C448:C449"/>
    <mergeCell ref="D448:D449"/>
    <mergeCell ref="E448:E449"/>
    <mergeCell ref="F448:F449"/>
    <mergeCell ref="M448:M449"/>
    <mergeCell ref="N448:N449"/>
    <mergeCell ref="M425:M428"/>
    <mergeCell ref="N425:N428"/>
    <mergeCell ref="O425:O428"/>
    <mergeCell ref="C435:C436"/>
    <mergeCell ref="D435:D436"/>
    <mergeCell ref="E435:E436"/>
    <mergeCell ref="F435:F436"/>
    <mergeCell ref="M435:M436"/>
    <mergeCell ref="N435:N436"/>
    <mergeCell ref="O435:O436"/>
    <mergeCell ref="M404:M407"/>
    <mergeCell ref="N404:N407"/>
    <mergeCell ref="O404:O407"/>
    <mergeCell ref="M417:M421"/>
    <mergeCell ref="N417:N421"/>
    <mergeCell ref="O417:O421"/>
    <mergeCell ref="M380:M387"/>
    <mergeCell ref="N380:N387"/>
    <mergeCell ref="O380:O387"/>
    <mergeCell ref="M391:M400"/>
    <mergeCell ref="N391:N400"/>
    <mergeCell ref="O391:O400"/>
    <mergeCell ref="M365:M370"/>
    <mergeCell ref="N365:N370"/>
    <mergeCell ref="O365:O370"/>
    <mergeCell ref="C316:F316"/>
    <mergeCell ref="M319:M320"/>
    <mergeCell ref="N319:N320"/>
    <mergeCell ref="O319:O320"/>
    <mergeCell ref="M328:M332"/>
    <mergeCell ref="N328:N332"/>
    <mergeCell ref="O328:O332"/>
    <mergeCell ref="N312:N315"/>
    <mergeCell ref="O312:O315"/>
    <mergeCell ref="M284:M288"/>
    <mergeCell ref="N284:N288"/>
    <mergeCell ref="O284:O288"/>
    <mergeCell ref="M296:M299"/>
    <mergeCell ref="N296:N299"/>
    <mergeCell ref="O296:O299"/>
    <mergeCell ref="M359:M361"/>
    <mergeCell ref="N359:N361"/>
    <mergeCell ref="O359:O361"/>
    <mergeCell ref="M312:M315"/>
    <mergeCell ref="N303:N306"/>
    <mergeCell ref="O303:O306"/>
    <mergeCell ref="M303:M308"/>
    <mergeCell ref="C237:C238"/>
    <mergeCell ref="D237:D238"/>
    <mergeCell ref="E237:E238"/>
    <mergeCell ref="F237:F238"/>
    <mergeCell ref="M269:M273"/>
    <mergeCell ref="N269:N273"/>
    <mergeCell ref="O269:O273"/>
    <mergeCell ref="C250:C251"/>
    <mergeCell ref="D250:D251"/>
    <mergeCell ref="E250:E251"/>
    <mergeCell ref="F250:F251"/>
    <mergeCell ref="M242:M244"/>
    <mergeCell ref="N242:N244"/>
    <mergeCell ref="O242:O244"/>
    <mergeCell ref="M250:M251"/>
    <mergeCell ref="N250:N251"/>
    <mergeCell ref="O250:O251"/>
    <mergeCell ref="G235:G238"/>
    <mergeCell ref="C196:C198"/>
    <mergeCell ref="D196:D198"/>
    <mergeCell ref="E196:E198"/>
    <mergeCell ref="C229:C230"/>
    <mergeCell ref="D229:D230"/>
    <mergeCell ref="E229:E230"/>
    <mergeCell ref="F229:F230"/>
    <mergeCell ref="M229:M231"/>
    <mergeCell ref="N229:N231"/>
    <mergeCell ref="C216:C217"/>
    <mergeCell ref="D216:D217"/>
    <mergeCell ref="E216:E217"/>
    <mergeCell ref="F216:F217"/>
    <mergeCell ref="M216:M217"/>
    <mergeCell ref="N216:N217"/>
    <mergeCell ref="N162:N163"/>
    <mergeCell ref="O162:O163"/>
    <mergeCell ref="C177:C181"/>
    <mergeCell ref="D177:D181"/>
    <mergeCell ref="E177:E181"/>
    <mergeCell ref="F177:F181"/>
    <mergeCell ref="M177:M181"/>
    <mergeCell ref="N177:N181"/>
    <mergeCell ref="O177:O181"/>
    <mergeCell ref="C162:C163"/>
    <mergeCell ref="D162:D163"/>
    <mergeCell ref="E162:E163"/>
    <mergeCell ref="F162:F163"/>
    <mergeCell ref="G162:G163"/>
    <mergeCell ref="M162:M163"/>
    <mergeCell ref="N69:N71"/>
    <mergeCell ref="O69:O71"/>
    <mergeCell ref="O51:O59"/>
    <mergeCell ref="C69:C71"/>
    <mergeCell ref="D69:D71"/>
    <mergeCell ref="C88:C95"/>
    <mergeCell ref="D88:D95"/>
    <mergeCell ref="E88:E95"/>
    <mergeCell ref="F88:F95"/>
    <mergeCell ref="N88:N94"/>
    <mergeCell ref="O88:O94"/>
    <mergeCell ref="O72:O73"/>
    <mergeCell ref="C83:C84"/>
    <mergeCell ref="D83:D84"/>
    <mergeCell ref="E83:E84"/>
    <mergeCell ref="F83:F84"/>
    <mergeCell ref="M83:M84"/>
    <mergeCell ref="N83:N84"/>
    <mergeCell ref="O83:O84"/>
    <mergeCell ref="C72:C73"/>
    <mergeCell ref="D72:D73"/>
    <mergeCell ref="E72:E73"/>
    <mergeCell ref="F72:F73"/>
    <mergeCell ref="N72:N73"/>
    <mergeCell ref="O147:O148"/>
    <mergeCell ref="C147:C148"/>
    <mergeCell ref="D147:D148"/>
    <mergeCell ref="C154:C158"/>
    <mergeCell ref="M13:M16"/>
    <mergeCell ref="N13:N16"/>
    <mergeCell ref="O13:O16"/>
    <mergeCell ref="C42:C46"/>
    <mergeCell ref="D42:D46"/>
    <mergeCell ref="E42:E46"/>
    <mergeCell ref="F42:F46"/>
    <mergeCell ref="M42:M46"/>
    <mergeCell ref="N42:N46"/>
    <mergeCell ref="O42:O46"/>
    <mergeCell ref="C40:D40"/>
    <mergeCell ref="C51:C59"/>
    <mergeCell ref="D51:D59"/>
    <mergeCell ref="E51:E59"/>
    <mergeCell ref="F51:F59"/>
    <mergeCell ref="M51:M59"/>
    <mergeCell ref="N51:N59"/>
    <mergeCell ref="E69:E71"/>
    <mergeCell ref="M69:M71"/>
    <mergeCell ref="F69:F71"/>
    <mergeCell ref="C67:E67"/>
    <mergeCell ref="F196:F198"/>
    <mergeCell ref="M196:M198"/>
    <mergeCell ref="C117:C119"/>
    <mergeCell ref="D117:D119"/>
    <mergeCell ref="E117:E119"/>
    <mergeCell ref="F117:F119"/>
    <mergeCell ref="M117:M121"/>
    <mergeCell ref="M72:M73"/>
    <mergeCell ref="C141:C143"/>
    <mergeCell ref="D141:D143"/>
    <mergeCell ref="E141:E143"/>
    <mergeCell ref="F141:F143"/>
    <mergeCell ref="M141:M143"/>
    <mergeCell ref="C133:C137"/>
    <mergeCell ref="D133:D137"/>
    <mergeCell ref="E133:E137"/>
    <mergeCell ref="F133:F137"/>
    <mergeCell ref="M133:M137"/>
    <mergeCell ref="F120:F121"/>
    <mergeCell ref="C125:C126"/>
    <mergeCell ref="D125:D126"/>
    <mergeCell ref="E125:E126"/>
    <mergeCell ref="N117:N121"/>
    <mergeCell ref="O117:O121"/>
    <mergeCell ref="C120:C121"/>
    <mergeCell ref="D120:D121"/>
    <mergeCell ref="M125:M127"/>
    <mergeCell ref="N125:N127"/>
    <mergeCell ref="O125:O127"/>
    <mergeCell ref="E120:E121"/>
    <mergeCell ref="E154:E158"/>
    <mergeCell ref="F154:F158"/>
    <mergeCell ref="M154:M158"/>
    <mergeCell ref="N154:N158"/>
    <mergeCell ref="O154:O158"/>
    <mergeCell ref="E147:E148"/>
    <mergeCell ref="F147:F148"/>
    <mergeCell ref="M147:M148"/>
    <mergeCell ref="N147:N148"/>
    <mergeCell ref="O133:O137"/>
    <mergeCell ref="N141:N143"/>
    <mergeCell ref="O141:O143"/>
    <mergeCell ref="N133:N137"/>
    <mergeCell ref="F125:F126"/>
    <mergeCell ref="D154:D158"/>
    <mergeCell ref="O277:O278"/>
    <mergeCell ref="N196:N198"/>
    <mergeCell ref="O216:O217"/>
    <mergeCell ref="M227:M228"/>
    <mergeCell ref="N227:N228"/>
    <mergeCell ref="O227:O228"/>
    <mergeCell ref="M282:M283"/>
    <mergeCell ref="N282:N283"/>
    <mergeCell ref="O282:O283"/>
    <mergeCell ref="O229:O231"/>
    <mergeCell ref="M235:M238"/>
    <mergeCell ref="N235:N238"/>
    <mergeCell ref="O235:O238"/>
    <mergeCell ref="M277:M278"/>
    <mergeCell ref="N277:N278"/>
    <mergeCell ref="O196:O19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48"/>
  <sheetViews>
    <sheetView showGridLines="0" workbookViewId="0"/>
  </sheetViews>
  <sheetFormatPr baseColWidth="10" defaultColWidth="11.42578125" defaultRowHeight="11.25" x14ac:dyDescent="0.2"/>
  <cols>
    <col min="1" max="1" width="3.85546875" style="91" customWidth="1"/>
    <col min="2" max="2" width="20" style="91" customWidth="1"/>
    <col min="3" max="3" width="24.85546875" style="91" customWidth="1"/>
    <col min="4" max="4" width="24.28515625" style="91" customWidth="1"/>
    <col min="5" max="5" width="15" style="133" customWidth="1"/>
    <col min="6" max="6" width="39.5703125" style="91" customWidth="1"/>
    <col min="7" max="7" width="23.140625" style="109" bestFit="1" customWidth="1"/>
    <col min="8" max="8" width="18.140625" style="91" customWidth="1"/>
    <col min="9" max="9" width="16.28515625" style="91" customWidth="1"/>
    <col min="10" max="16384" width="11.42578125" style="91"/>
  </cols>
  <sheetData>
    <row r="1" spans="1:7" ht="11.25" customHeight="1" x14ac:dyDescent="0.2">
      <c r="B1" s="1269" t="s">
        <v>912</v>
      </c>
      <c r="C1" s="1269"/>
      <c r="D1" s="1269"/>
      <c r="E1" s="1269"/>
      <c r="F1" s="1269"/>
      <c r="G1" s="1270"/>
    </row>
    <row r="2" spans="1:7" ht="9.75" customHeight="1" x14ac:dyDescent="0.2">
      <c r="B2" s="1269"/>
      <c r="C2" s="1269"/>
      <c r="D2" s="1269"/>
      <c r="E2" s="1269"/>
      <c r="F2" s="1269"/>
      <c r="G2" s="1270"/>
    </row>
    <row r="3" spans="1:7" ht="16.5" customHeight="1" x14ac:dyDescent="0.2">
      <c r="B3" s="1269"/>
      <c r="C3" s="1269"/>
      <c r="D3" s="1269"/>
      <c r="E3" s="1269"/>
      <c r="F3" s="1269"/>
      <c r="G3" s="1270"/>
    </row>
    <row r="4" spans="1:7" ht="18.75" customHeight="1" x14ac:dyDescent="0.2">
      <c r="B4" s="1271" t="s">
        <v>1072</v>
      </c>
      <c r="C4" s="1271"/>
      <c r="D4" s="1271"/>
      <c r="E4" s="1271"/>
      <c r="F4" s="1271"/>
      <c r="G4" s="1272"/>
    </row>
    <row r="5" spans="1:7" s="92" customFormat="1" ht="15" customHeight="1" x14ac:dyDescent="0.25">
      <c r="B5" s="93" t="s">
        <v>4</v>
      </c>
      <c r="C5" s="564" t="s">
        <v>5</v>
      </c>
      <c r="D5" s="564" t="s">
        <v>9</v>
      </c>
      <c r="E5" s="564" t="s">
        <v>913</v>
      </c>
      <c r="F5" s="564" t="s">
        <v>13</v>
      </c>
      <c r="G5" s="562" t="s">
        <v>914</v>
      </c>
    </row>
    <row r="6" spans="1:7" s="92" customFormat="1" ht="18.75" customHeight="1" x14ac:dyDescent="0.25">
      <c r="B6" s="1273" t="s">
        <v>915</v>
      </c>
      <c r="C6" s="1273"/>
      <c r="D6" s="1273"/>
      <c r="E6" s="1273"/>
      <c r="F6" s="1273"/>
      <c r="G6" s="1274"/>
    </row>
    <row r="7" spans="1:7" s="94" customFormat="1" ht="18.75" customHeight="1" x14ac:dyDescent="0.25">
      <c r="B7" s="95" t="s">
        <v>29</v>
      </c>
      <c r="C7" s="96"/>
      <c r="D7" s="96"/>
      <c r="E7" s="97"/>
      <c r="F7" s="96"/>
      <c r="G7" s="98">
        <f>SUM(G8:G11)</f>
        <v>5413858467</v>
      </c>
    </row>
    <row r="8" spans="1:7" ht="22.5" x14ac:dyDescent="0.2">
      <c r="A8" s="99">
        <v>1</v>
      </c>
      <c r="B8" s="1251" t="s">
        <v>916</v>
      </c>
      <c r="C8" s="1251" t="s">
        <v>917</v>
      </c>
      <c r="D8" s="1251" t="s">
        <v>918</v>
      </c>
      <c r="E8" s="100" t="s">
        <v>38</v>
      </c>
      <c r="F8" s="561" t="s">
        <v>39</v>
      </c>
      <c r="G8" s="101">
        <f>'POAI SEP 2019'!AI10</f>
        <v>79103800</v>
      </c>
    </row>
    <row r="9" spans="1:7" ht="33.75" x14ac:dyDescent="0.2">
      <c r="A9" s="99">
        <f>+A8+1</f>
        <v>2</v>
      </c>
      <c r="B9" s="1251"/>
      <c r="C9" s="1251"/>
      <c r="D9" s="1251"/>
      <c r="E9" s="100" t="s">
        <v>44</v>
      </c>
      <c r="F9" s="561" t="s">
        <v>45</v>
      </c>
      <c r="G9" s="101">
        <f>'POAI SEP 2019'!AI11</f>
        <v>44007000</v>
      </c>
    </row>
    <row r="10" spans="1:7" ht="33.75" x14ac:dyDescent="0.2">
      <c r="A10" s="99" t="e">
        <f>+#REF!+1</f>
        <v>#REF!</v>
      </c>
      <c r="B10" s="1251"/>
      <c r="C10" s="1251"/>
      <c r="D10" s="1251"/>
      <c r="E10" s="100" t="s">
        <v>49</v>
      </c>
      <c r="F10" s="561" t="s">
        <v>50</v>
      </c>
      <c r="G10" s="101">
        <f>'POAI SEP 2019'!AI12</f>
        <v>78604667</v>
      </c>
    </row>
    <row r="11" spans="1:7" ht="33.75" x14ac:dyDescent="0.2">
      <c r="A11" s="99" t="e">
        <f>+A10+1</f>
        <v>#REF!</v>
      </c>
      <c r="B11" s="1251"/>
      <c r="C11" s="1251"/>
      <c r="D11" s="1251"/>
      <c r="E11" s="560" t="s">
        <v>52</v>
      </c>
      <c r="F11" s="561" t="s">
        <v>53</v>
      </c>
      <c r="G11" s="101">
        <f>SUM('POAI SEP 2019'!AI13:AI16)</f>
        <v>5212143000</v>
      </c>
    </row>
    <row r="12" spans="1:7" s="94" customFormat="1" ht="22.5" customHeight="1" x14ac:dyDescent="0.25">
      <c r="A12" s="92"/>
      <c r="B12" s="102" t="s">
        <v>57</v>
      </c>
      <c r="C12" s="102"/>
      <c r="D12" s="102"/>
      <c r="E12" s="103"/>
      <c r="F12" s="102"/>
      <c r="G12" s="104">
        <f>SUM(G13:G21)</f>
        <v>1489487634</v>
      </c>
    </row>
    <row r="13" spans="1:7" ht="45" x14ac:dyDescent="0.2">
      <c r="A13" s="99" t="e">
        <f>+A11+1</f>
        <v>#REF!</v>
      </c>
      <c r="B13" s="1251" t="s">
        <v>916</v>
      </c>
      <c r="C13" s="1249" t="s">
        <v>919</v>
      </c>
      <c r="D13" s="561" t="s">
        <v>920</v>
      </c>
      <c r="E13" s="105" t="s">
        <v>63</v>
      </c>
      <c r="F13" s="561" t="s">
        <v>64</v>
      </c>
      <c r="G13" s="101">
        <f>'POAI SEP 2019'!AI26</f>
        <v>17500000</v>
      </c>
    </row>
    <row r="14" spans="1:7" ht="33.75" x14ac:dyDescent="0.2">
      <c r="A14" s="99" t="e">
        <f>+A13+1</f>
        <v>#REF!</v>
      </c>
      <c r="B14" s="1251"/>
      <c r="C14" s="1249"/>
      <c r="D14" s="561" t="s">
        <v>921</v>
      </c>
      <c r="E14" s="105" t="s">
        <v>67</v>
      </c>
      <c r="F14" s="561" t="s">
        <v>922</v>
      </c>
      <c r="G14" s="101">
        <f>'POAI SEP 2019'!AI30</f>
        <v>58500000</v>
      </c>
    </row>
    <row r="15" spans="1:7" ht="22.5" x14ac:dyDescent="0.2">
      <c r="A15" s="99" t="e">
        <f t="shared" ref="A15:A21" si="0">+A14+1</f>
        <v>#REF!</v>
      </c>
      <c r="B15" s="1251"/>
      <c r="C15" s="561" t="s">
        <v>923</v>
      </c>
      <c r="D15" s="561" t="s">
        <v>924</v>
      </c>
      <c r="E15" s="105" t="s">
        <v>925</v>
      </c>
      <c r="F15" s="561" t="s">
        <v>74</v>
      </c>
      <c r="G15" s="101">
        <f>'POAI SEP 2019'!AI36</f>
        <v>120000000</v>
      </c>
    </row>
    <row r="16" spans="1:7" s="10" customFormat="1" ht="33.75" x14ac:dyDescent="0.2">
      <c r="A16" s="99" t="e">
        <f t="shared" si="0"/>
        <v>#REF!</v>
      </c>
      <c r="B16" s="1251"/>
      <c r="C16" s="1249" t="s">
        <v>917</v>
      </c>
      <c r="D16" s="1249" t="s">
        <v>926</v>
      </c>
      <c r="E16" s="105" t="s">
        <v>77</v>
      </c>
      <c r="F16" s="106" t="s">
        <v>78</v>
      </c>
      <c r="G16" s="107">
        <f>SUM('POAI SEP 2019'!AI42:AI46)</f>
        <v>399350000</v>
      </c>
    </row>
    <row r="17" spans="1:7" ht="22.5" x14ac:dyDescent="0.2">
      <c r="A17" s="99" t="e">
        <f t="shared" si="0"/>
        <v>#REF!</v>
      </c>
      <c r="B17" s="1251"/>
      <c r="C17" s="1249"/>
      <c r="D17" s="1249"/>
      <c r="E17" s="105" t="s">
        <v>84</v>
      </c>
      <c r="F17" s="561" t="s">
        <v>85</v>
      </c>
      <c r="G17" s="101">
        <f>'POAI SEP 2019'!AI47</f>
        <v>82600000</v>
      </c>
    </row>
    <row r="18" spans="1:7" ht="33.75" x14ac:dyDescent="0.2">
      <c r="A18" s="99" t="e">
        <f t="shared" si="0"/>
        <v>#REF!</v>
      </c>
      <c r="B18" s="1251"/>
      <c r="C18" s="1249"/>
      <c r="D18" s="1249"/>
      <c r="E18" s="105" t="s">
        <v>87</v>
      </c>
      <c r="F18" s="561" t="s">
        <v>88</v>
      </c>
      <c r="G18" s="101">
        <f>'POAI SEP 2019'!AI48</f>
        <v>37650000</v>
      </c>
    </row>
    <row r="19" spans="1:7" ht="33.75" x14ac:dyDescent="0.2">
      <c r="A19" s="99" t="e">
        <f t="shared" si="0"/>
        <v>#REF!</v>
      </c>
      <c r="B19" s="1251"/>
      <c r="C19" s="1249"/>
      <c r="D19" s="1249"/>
      <c r="E19" s="105" t="s">
        <v>91</v>
      </c>
      <c r="F19" s="561" t="s">
        <v>92</v>
      </c>
      <c r="G19" s="101">
        <f>'POAI SEP 2019'!AI49</f>
        <v>493700000</v>
      </c>
    </row>
    <row r="20" spans="1:7" ht="22.5" x14ac:dyDescent="0.2">
      <c r="A20" s="99" t="e">
        <f t="shared" si="0"/>
        <v>#REF!</v>
      </c>
      <c r="B20" s="1251"/>
      <c r="C20" s="1249"/>
      <c r="D20" s="1249"/>
      <c r="E20" s="105" t="s">
        <v>94</v>
      </c>
      <c r="F20" s="561" t="s">
        <v>95</v>
      </c>
      <c r="G20" s="101">
        <f>'POAI SEP 2019'!AI50</f>
        <v>48000000</v>
      </c>
    </row>
    <row r="21" spans="1:7" ht="33.75" x14ac:dyDescent="0.2">
      <c r="A21" s="99" t="e">
        <f t="shared" si="0"/>
        <v>#REF!</v>
      </c>
      <c r="B21" s="1251"/>
      <c r="C21" s="1249"/>
      <c r="D21" s="1249"/>
      <c r="E21" s="105" t="s">
        <v>97</v>
      </c>
      <c r="F21" s="561" t="s">
        <v>98</v>
      </c>
      <c r="G21" s="101">
        <f>SUM('POAI SEP 2019'!AI51:AI59)</f>
        <v>232187634</v>
      </c>
    </row>
    <row r="22" spans="1:7" ht="18" customHeight="1" x14ac:dyDescent="0.2">
      <c r="A22" s="99"/>
      <c r="B22" s="102" t="s">
        <v>107</v>
      </c>
      <c r="C22" s="108"/>
      <c r="D22" s="108"/>
      <c r="E22" s="103"/>
      <c r="F22" s="102"/>
      <c r="G22" s="104">
        <f>SUM(G23:G24)</f>
        <v>2348473039</v>
      </c>
    </row>
    <row r="23" spans="1:7" ht="33.75" x14ac:dyDescent="0.2">
      <c r="A23" s="99">
        <v>15</v>
      </c>
      <c r="B23" s="1252" t="s">
        <v>916</v>
      </c>
      <c r="C23" s="1264" t="s">
        <v>917</v>
      </c>
      <c r="D23" s="1249" t="s">
        <v>927</v>
      </c>
      <c r="E23" s="105" t="s">
        <v>110</v>
      </c>
      <c r="F23" s="561" t="s">
        <v>111</v>
      </c>
      <c r="G23" s="101">
        <f>SUM('POAI SEP 2019'!AI69:AI71)</f>
        <v>1905945991</v>
      </c>
    </row>
    <row r="24" spans="1:7" ht="45" x14ac:dyDescent="0.2">
      <c r="A24" s="99">
        <v>16</v>
      </c>
      <c r="B24" s="1252"/>
      <c r="C24" s="1264"/>
      <c r="D24" s="1249"/>
      <c r="E24" s="105" t="s">
        <v>115</v>
      </c>
      <c r="F24" s="561" t="s">
        <v>116</v>
      </c>
      <c r="G24" s="101">
        <f>SUM('POAI SEP 2019'!AI72:AI73)</f>
        <v>442527048</v>
      </c>
    </row>
    <row r="25" spans="1:7" ht="24" customHeight="1" x14ac:dyDescent="0.2">
      <c r="A25" s="99"/>
      <c r="B25" s="102" t="s">
        <v>118</v>
      </c>
      <c r="C25" s="108"/>
      <c r="D25" s="108"/>
      <c r="E25" s="103"/>
      <c r="F25" s="102"/>
      <c r="G25" s="104">
        <f>SUM(G26:G33)</f>
        <v>33128661636</v>
      </c>
    </row>
    <row r="26" spans="1:7" ht="48.75" customHeight="1" x14ac:dyDescent="0.2">
      <c r="A26" s="99">
        <v>17</v>
      </c>
      <c r="B26" s="1251" t="s">
        <v>928</v>
      </c>
      <c r="C26" s="1249" t="s">
        <v>929</v>
      </c>
      <c r="D26" s="561" t="s">
        <v>930</v>
      </c>
      <c r="E26" s="105" t="s">
        <v>125</v>
      </c>
      <c r="F26" s="561" t="s">
        <v>126</v>
      </c>
      <c r="G26" s="101">
        <f>SUM('POAI SEP 2019'!AI83:AI84)</f>
        <v>6266240674</v>
      </c>
    </row>
    <row r="27" spans="1:7" ht="29.25" customHeight="1" x14ac:dyDescent="0.2">
      <c r="A27" s="99">
        <f>+A26+1</f>
        <v>18</v>
      </c>
      <c r="B27" s="1251"/>
      <c r="C27" s="1249"/>
      <c r="D27" s="1249" t="s">
        <v>931</v>
      </c>
      <c r="E27" s="105" t="s">
        <v>132</v>
      </c>
      <c r="F27" s="561" t="s">
        <v>133</v>
      </c>
      <c r="G27" s="101">
        <f>SUM('POAI SEP 2019'!AI88:AI94)</f>
        <v>20985340781</v>
      </c>
    </row>
    <row r="28" spans="1:7" ht="29.25" customHeight="1" x14ac:dyDescent="0.2">
      <c r="A28" s="99">
        <v>24</v>
      </c>
      <c r="B28" s="1251"/>
      <c r="C28" s="1249"/>
      <c r="D28" s="1249"/>
      <c r="E28" s="100" t="s">
        <v>142</v>
      </c>
      <c r="F28" s="561" t="s">
        <v>143</v>
      </c>
      <c r="G28" s="101">
        <f>'POAI SEP 2019'!AI95</f>
        <v>815853756</v>
      </c>
    </row>
    <row r="29" spans="1:7" ht="24.75" customHeight="1" x14ac:dyDescent="0.2">
      <c r="A29" s="99">
        <f>+A27+1</f>
        <v>19</v>
      </c>
      <c r="B29" s="1249" t="s">
        <v>932</v>
      </c>
      <c r="C29" s="1249" t="s">
        <v>933</v>
      </c>
      <c r="D29" s="1266" t="s">
        <v>934</v>
      </c>
      <c r="E29" s="100" t="s">
        <v>152</v>
      </c>
      <c r="F29" s="561" t="s">
        <v>153</v>
      </c>
      <c r="G29" s="101">
        <f>'POAI SEP 2019'!AI103</f>
        <v>2440979994</v>
      </c>
    </row>
    <row r="30" spans="1:7" ht="33.75" x14ac:dyDescent="0.2">
      <c r="A30" s="99">
        <f>+A29+1</f>
        <v>20</v>
      </c>
      <c r="B30" s="1249"/>
      <c r="C30" s="1249"/>
      <c r="D30" s="1267"/>
      <c r="E30" s="100" t="s">
        <v>154</v>
      </c>
      <c r="F30" s="561" t="s">
        <v>155</v>
      </c>
      <c r="G30" s="101">
        <f>'POAI SEP 2019'!AI104</f>
        <v>1120246431</v>
      </c>
    </row>
    <row r="31" spans="1:7" ht="33.75" x14ac:dyDescent="0.2">
      <c r="A31" s="99">
        <f>+A30+1</f>
        <v>21</v>
      </c>
      <c r="B31" s="1249"/>
      <c r="C31" s="1249"/>
      <c r="D31" s="1267"/>
      <c r="E31" s="100" t="s">
        <v>157</v>
      </c>
      <c r="F31" s="561" t="s">
        <v>158</v>
      </c>
      <c r="G31" s="101">
        <f>'POAI SEP 2019'!AI105</f>
        <v>80000000</v>
      </c>
    </row>
    <row r="32" spans="1:7" s="94" customFormat="1" ht="33.75" x14ac:dyDescent="0.25">
      <c r="A32" s="99">
        <f>+A31+1</f>
        <v>22</v>
      </c>
      <c r="B32" s="1249"/>
      <c r="C32" s="1249"/>
      <c r="D32" s="1267"/>
      <c r="E32" s="100" t="s">
        <v>160</v>
      </c>
      <c r="F32" s="561" t="s">
        <v>161</v>
      </c>
      <c r="G32" s="101">
        <f>'POAI SEP 2019'!AI106</f>
        <v>230000000</v>
      </c>
    </row>
    <row r="33" spans="1:7" ht="39.75" customHeight="1" x14ac:dyDescent="0.2">
      <c r="A33" s="99">
        <f>+A32+1</f>
        <v>23</v>
      </c>
      <c r="B33" s="1249"/>
      <c r="C33" s="1249"/>
      <c r="D33" s="1268"/>
      <c r="E33" s="100" t="s">
        <v>163</v>
      </c>
      <c r="F33" s="561" t="s">
        <v>164</v>
      </c>
      <c r="G33" s="101">
        <f>'POAI SEP 2019'!AI107</f>
        <v>1190000000</v>
      </c>
    </row>
    <row r="34" spans="1:7" ht="22.5" customHeight="1" x14ac:dyDescent="0.2">
      <c r="A34" s="99"/>
      <c r="B34" s="102" t="s">
        <v>165</v>
      </c>
      <c r="C34" s="102"/>
      <c r="D34" s="102"/>
      <c r="E34" s="103"/>
      <c r="F34" s="102"/>
      <c r="G34" s="104">
        <f>SUM(G35:G44)</f>
        <v>9981583583</v>
      </c>
    </row>
    <row r="35" spans="1:7" ht="45" customHeight="1" x14ac:dyDescent="0.2">
      <c r="A35" s="99">
        <v>25</v>
      </c>
      <c r="B35" s="1251" t="s">
        <v>935</v>
      </c>
      <c r="C35" s="1249" t="s">
        <v>936</v>
      </c>
      <c r="D35" s="561" t="s">
        <v>937</v>
      </c>
      <c r="E35" s="105" t="s">
        <v>174</v>
      </c>
      <c r="F35" s="561" t="s">
        <v>175</v>
      </c>
      <c r="G35" s="101">
        <f>SUM('POAI SEP 2019'!AI117:AI121)</f>
        <v>6668223337</v>
      </c>
    </row>
    <row r="36" spans="1:7" ht="22.5" customHeight="1" x14ac:dyDescent="0.2">
      <c r="A36" s="99">
        <f>+A35+1</f>
        <v>26</v>
      </c>
      <c r="B36" s="1251"/>
      <c r="C36" s="1249"/>
      <c r="D36" s="561" t="s">
        <v>938</v>
      </c>
      <c r="E36" s="105" t="s">
        <v>185</v>
      </c>
      <c r="F36" s="561" t="s">
        <v>186</v>
      </c>
      <c r="G36" s="101">
        <f>SUM('POAI SEP 2019'!AI125:AI127)</f>
        <v>718838837</v>
      </c>
    </row>
    <row r="37" spans="1:7" ht="48" customHeight="1" x14ac:dyDescent="0.2">
      <c r="A37" s="99">
        <f t="shared" ref="A37:A44" si="1">+A36+1</f>
        <v>27</v>
      </c>
      <c r="B37" s="1251"/>
      <c r="C37" s="1249" t="s">
        <v>939</v>
      </c>
      <c r="D37" s="561" t="s">
        <v>940</v>
      </c>
      <c r="E37" s="105" t="s">
        <v>196</v>
      </c>
      <c r="F37" s="561" t="s">
        <v>197</v>
      </c>
      <c r="G37" s="101">
        <f>SUM('POAI SEP 2019'!AI133:AI137)</f>
        <v>479000000</v>
      </c>
    </row>
    <row r="38" spans="1:7" ht="45" x14ac:dyDescent="0.2">
      <c r="A38" s="99">
        <f t="shared" si="1"/>
        <v>28</v>
      </c>
      <c r="B38" s="1251"/>
      <c r="C38" s="1249"/>
      <c r="D38" s="561" t="s">
        <v>941</v>
      </c>
      <c r="E38" s="105" t="s">
        <v>204</v>
      </c>
      <c r="F38" s="561" t="s">
        <v>205</v>
      </c>
      <c r="G38" s="101">
        <f>SUM('POAI SEP 2019'!AI141:AI143)</f>
        <v>58000000</v>
      </c>
    </row>
    <row r="39" spans="1:7" ht="37.5" customHeight="1" x14ac:dyDescent="0.2">
      <c r="A39" s="99">
        <f t="shared" si="1"/>
        <v>29</v>
      </c>
      <c r="B39" s="1251"/>
      <c r="C39" s="1249"/>
      <c r="D39" s="561" t="s">
        <v>942</v>
      </c>
      <c r="E39" s="105" t="s">
        <v>210</v>
      </c>
      <c r="F39" s="561" t="s">
        <v>211</v>
      </c>
      <c r="G39" s="101">
        <f>SUM('POAI SEP 2019'!AI147:AI148)</f>
        <v>68000000</v>
      </c>
    </row>
    <row r="40" spans="1:7" ht="34.5" customHeight="1" x14ac:dyDescent="0.2">
      <c r="A40" s="99">
        <f t="shared" si="1"/>
        <v>30</v>
      </c>
      <c r="B40" s="1251"/>
      <c r="C40" s="1264" t="s">
        <v>943</v>
      </c>
      <c r="D40" s="561" t="s">
        <v>944</v>
      </c>
      <c r="E40" s="105" t="s">
        <v>217</v>
      </c>
      <c r="F40" s="561" t="s">
        <v>218</v>
      </c>
      <c r="G40" s="101">
        <f>SUM('POAI SEP 2019'!AI154:AI158)</f>
        <v>1055866861</v>
      </c>
    </row>
    <row r="41" spans="1:7" ht="67.5" customHeight="1" x14ac:dyDescent="0.2">
      <c r="A41" s="99">
        <f t="shared" si="1"/>
        <v>31</v>
      </c>
      <c r="B41" s="1251"/>
      <c r="C41" s="1264"/>
      <c r="D41" s="561" t="s">
        <v>945</v>
      </c>
      <c r="E41" s="105" t="s">
        <v>225</v>
      </c>
      <c r="F41" s="561" t="s">
        <v>226</v>
      </c>
      <c r="G41" s="101">
        <f>SUM('POAI SEP 2019'!AI162:AI163)</f>
        <v>84323515</v>
      </c>
    </row>
    <row r="42" spans="1:7" ht="22.5" x14ac:dyDescent="0.2">
      <c r="A42" s="99">
        <f t="shared" si="1"/>
        <v>32</v>
      </c>
      <c r="B42" s="1265" t="s">
        <v>916</v>
      </c>
      <c r="C42" s="561" t="s">
        <v>919</v>
      </c>
      <c r="D42" s="561" t="s">
        <v>921</v>
      </c>
      <c r="E42" s="105" t="s">
        <v>230</v>
      </c>
      <c r="F42" s="561" t="s">
        <v>231</v>
      </c>
      <c r="G42" s="101">
        <f>'POAI SEP 2019'!AI171</f>
        <v>49687000</v>
      </c>
    </row>
    <row r="43" spans="1:7" ht="30.75" customHeight="1" x14ac:dyDescent="0.2">
      <c r="A43" s="99">
        <f t="shared" si="1"/>
        <v>33</v>
      </c>
      <c r="B43" s="1265"/>
      <c r="C43" s="1249" t="s">
        <v>946</v>
      </c>
      <c r="D43" s="561" t="s">
        <v>924</v>
      </c>
      <c r="E43" s="560" t="s">
        <v>234</v>
      </c>
      <c r="F43" s="561" t="s">
        <v>235</v>
      </c>
      <c r="G43" s="101">
        <f>SUM('POAI SEP 2019'!AI177:AI181)</f>
        <v>700271633</v>
      </c>
    </row>
    <row r="44" spans="1:7" ht="36.75" customHeight="1" x14ac:dyDescent="0.2">
      <c r="A44" s="99">
        <f t="shared" si="1"/>
        <v>34</v>
      </c>
      <c r="B44" s="1265"/>
      <c r="C44" s="1249"/>
      <c r="D44" s="561" t="s">
        <v>947</v>
      </c>
      <c r="E44" s="105" t="s">
        <v>243</v>
      </c>
      <c r="F44" s="561" t="s">
        <v>244</v>
      </c>
      <c r="G44" s="101">
        <f>'POAI SEP 2019'!AI185</f>
        <v>99372400</v>
      </c>
    </row>
    <row r="45" spans="1:7" ht="23.25" customHeight="1" x14ac:dyDescent="0.2">
      <c r="A45" s="99"/>
      <c r="B45" s="102" t="s">
        <v>245</v>
      </c>
      <c r="C45" s="102"/>
      <c r="D45" s="102"/>
      <c r="E45" s="103"/>
      <c r="F45" s="102"/>
      <c r="G45" s="104">
        <f>SUM(G46:G51)</f>
        <v>5449943900</v>
      </c>
    </row>
    <row r="46" spans="1:7" ht="24.75" customHeight="1" x14ac:dyDescent="0.2">
      <c r="A46" s="99">
        <v>35</v>
      </c>
      <c r="B46" s="1252" t="s">
        <v>948</v>
      </c>
      <c r="C46" s="1249" t="s">
        <v>949</v>
      </c>
      <c r="D46" s="1249" t="s">
        <v>950</v>
      </c>
      <c r="E46" s="105" t="s">
        <v>255</v>
      </c>
      <c r="F46" s="561" t="s">
        <v>256</v>
      </c>
      <c r="G46" s="101">
        <f>'POAI SEP 2019'!AI195</f>
        <v>1249277717</v>
      </c>
    </row>
    <row r="47" spans="1:7" ht="22.5" x14ac:dyDescent="0.2">
      <c r="A47" s="99">
        <f>+A46+1</f>
        <v>36</v>
      </c>
      <c r="B47" s="1252"/>
      <c r="C47" s="1249"/>
      <c r="D47" s="1249"/>
      <c r="E47" s="105" t="s">
        <v>257</v>
      </c>
      <c r="F47" s="561" t="s">
        <v>258</v>
      </c>
      <c r="G47" s="101">
        <f>SUM('POAI SEP 2019'!AI196:AI198)</f>
        <v>3213783215</v>
      </c>
    </row>
    <row r="48" spans="1:7" ht="26.25" customHeight="1" x14ac:dyDescent="0.2">
      <c r="A48" s="99">
        <f>+A47+1</f>
        <v>37</v>
      </c>
      <c r="B48" s="1252"/>
      <c r="C48" s="1249"/>
      <c r="D48" s="561" t="s">
        <v>951</v>
      </c>
      <c r="E48" s="105" t="s">
        <v>267</v>
      </c>
      <c r="F48" s="561" t="s">
        <v>268</v>
      </c>
      <c r="G48" s="101">
        <f>'POAI SEP 2019'!AI202</f>
        <v>79500000</v>
      </c>
    </row>
    <row r="49" spans="1:7" ht="31.5" customHeight="1" x14ac:dyDescent="0.2">
      <c r="A49" s="99">
        <f>+A48+1</f>
        <v>38</v>
      </c>
      <c r="B49" s="1252"/>
      <c r="C49" s="1249"/>
      <c r="D49" s="561" t="s">
        <v>952</v>
      </c>
      <c r="E49" s="105" t="s">
        <v>275</v>
      </c>
      <c r="F49" s="561" t="s">
        <v>276</v>
      </c>
      <c r="G49" s="101">
        <f>'POAI SEP 2019'!AI206</f>
        <v>245423575</v>
      </c>
    </row>
    <row r="50" spans="1:7" ht="44.25" customHeight="1" x14ac:dyDescent="0.2">
      <c r="A50" s="99">
        <f>+A49+1</f>
        <v>39</v>
      </c>
      <c r="B50" s="1252"/>
      <c r="C50" s="1249" t="s">
        <v>953</v>
      </c>
      <c r="D50" s="561" t="s">
        <v>954</v>
      </c>
      <c r="E50" s="105" t="s">
        <v>284</v>
      </c>
      <c r="F50" s="561" t="s">
        <v>285</v>
      </c>
      <c r="G50" s="101">
        <f>'POAI SEP 2019'!AI212</f>
        <v>542559393</v>
      </c>
    </row>
    <row r="51" spans="1:7" ht="57.75" customHeight="1" x14ac:dyDescent="0.2">
      <c r="A51" s="99">
        <f>+A50+1</f>
        <v>40</v>
      </c>
      <c r="B51" s="1252"/>
      <c r="C51" s="1249"/>
      <c r="D51" s="561" t="s">
        <v>955</v>
      </c>
      <c r="E51" s="105" t="s">
        <v>292</v>
      </c>
      <c r="F51" s="561" t="s">
        <v>293</v>
      </c>
      <c r="G51" s="101">
        <f>SUM('POAI SEP 2019'!AI216:AI217)</f>
        <v>119400000</v>
      </c>
    </row>
    <row r="52" spans="1:7" ht="20.25" customHeight="1" x14ac:dyDescent="0.2">
      <c r="A52" s="99"/>
      <c r="B52" s="102" t="s">
        <v>295</v>
      </c>
      <c r="C52" s="102"/>
      <c r="D52" s="102"/>
      <c r="E52" s="103"/>
      <c r="F52" s="102"/>
      <c r="G52" s="104">
        <f>SUM(G53:G59)</f>
        <v>2910880390</v>
      </c>
    </row>
    <row r="53" spans="1:7" ht="32.25" customHeight="1" x14ac:dyDescent="0.2">
      <c r="A53" s="99">
        <v>41</v>
      </c>
      <c r="B53" s="1252" t="s">
        <v>928</v>
      </c>
      <c r="C53" s="1249" t="s">
        <v>956</v>
      </c>
      <c r="D53" s="1249" t="s">
        <v>957</v>
      </c>
      <c r="E53" s="105" t="s">
        <v>301</v>
      </c>
      <c r="F53" s="561" t="s">
        <v>302</v>
      </c>
      <c r="G53" s="101">
        <f>SUM('POAI SEP 2019'!AI227:AI228)</f>
        <v>119600000</v>
      </c>
    </row>
    <row r="54" spans="1:7" ht="33.75" x14ac:dyDescent="0.2">
      <c r="A54" s="99">
        <f t="shared" ref="A54:A59" si="2">+A53+1</f>
        <v>42</v>
      </c>
      <c r="B54" s="1252"/>
      <c r="C54" s="1249"/>
      <c r="D54" s="1249"/>
      <c r="E54" s="105" t="s">
        <v>308</v>
      </c>
      <c r="F54" s="561" t="s">
        <v>309</v>
      </c>
      <c r="G54" s="101">
        <f>SUM('POAI SEP 2019'!AI229:AI231)</f>
        <v>129450000</v>
      </c>
    </row>
    <row r="55" spans="1:7" ht="45" x14ac:dyDescent="0.2">
      <c r="A55" s="99">
        <f t="shared" si="2"/>
        <v>43</v>
      </c>
      <c r="B55" s="1252"/>
      <c r="C55" s="1249"/>
      <c r="D55" s="561" t="s">
        <v>958</v>
      </c>
      <c r="E55" s="105" t="s">
        <v>314</v>
      </c>
      <c r="F55" s="561" t="s">
        <v>315</v>
      </c>
      <c r="G55" s="101">
        <f>SUM('POAI SEP 2019'!AI235:AI238)</f>
        <v>603200000</v>
      </c>
    </row>
    <row r="56" spans="1:7" ht="22.5" x14ac:dyDescent="0.2">
      <c r="A56" s="99">
        <f t="shared" si="2"/>
        <v>44</v>
      </c>
      <c r="B56" s="1252"/>
      <c r="C56" s="1249"/>
      <c r="D56" s="561" t="s">
        <v>959</v>
      </c>
      <c r="E56" s="105" t="s">
        <v>327</v>
      </c>
      <c r="F56" s="561" t="s">
        <v>328</v>
      </c>
      <c r="G56" s="101">
        <f>SUM('POAI SEP 2019'!AI242:AI244)</f>
        <v>358450000</v>
      </c>
    </row>
    <row r="57" spans="1:7" ht="48.75" customHeight="1" x14ac:dyDescent="0.2">
      <c r="A57" s="99">
        <f t="shared" si="2"/>
        <v>45</v>
      </c>
      <c r="B57" s="1252"/>
      <c r="C57" s="1249" t="s">
        <v>960</v>
      </c>
      <c r="D57" s="561" t="s">
        <v>961</v>
      </c>
      <c r="E57" s="105" t="s">
        <v>339</v>
      </c>
      <c r="F57" s="561" t="s">
        <v>340</v>
      </c>
      <c r="G57" s="101">
        <f>SUM('POAI SEP 2019'!AI250:AI251)</f>
        <v>149050000</v>
      </c>
    </row>
    <row r="58" spans="1:7" ht="33.75" x14ac:dyDescent="0.2">
      <c r="A58" s="99">
        <f t="shared" si="2"/>
        <v>46</v>
      </c>
      <c r="B58" s="1252"/>
      <c r="C58" s="1249"/>
      <c r="D58" s="561" t="s">
        <v>962</v>
      </c>
      <c r="E58" s="105" t="s">
        <v>344</v>
      </c>
      <c r="F58" s="561" t="s">
        <v>345</v>
      </c>
      <c r="G58" s="101">
        <f>'POAI SEP 2019'!AI255</f>
        <v>119240000</v>
      </c>
    </row>
    <row r="59" spans="1:7" s="109" customFormat="1" ht="60.75" customHeight="1" x14ac:dyDescent="0.25">
      <c r="A59" s="99">
        <f t="shared" si="2"/>
        <v>47</v>
      </c>
      <c r="B59" s="1252"/>
      <c r="C59" s="1249"/>
      <c r="D59" s="561" t="s">
        <v>963</v>
      </c>
      <c r="E59" s="105" t="s">
        <v>348</v>
      </c>
      <c r="F59" s="561" t="s">
        <v>349</v>
      </c>
      <c r="G59" s="101">
        <f>'POAI SEP 2019'!AI259</f>
        <v>1431890390</v>
      </c>
    </row>
    <row r="60" spans="1:7" ht="22.5" customHeight="1" x14ac:dyDescent="0.2">
      <c r="A60" s="99"/>
      <c r="B60" s="102" t="s">
        <v>350</v>
      </c>
      <c r="C60" s="110"/>
      <c r="D60" s="110"/>
      <c r="E60" s="111"/>
      <c r="F60" s="110"/>
      <c r="G60" s="112">
        <f>SUM(G61:G71)</f>
        <v>4764794686</v>
      </c>
    </row>
    <row r="61" spans="1:7" ht="33.75" x14ac:dyDescent="0.2">
      <c r="A61" s="99">
        <v>48</v>
      </c>
      <c r="B61" s="1252" t="s">
        <v>932</v>
      </c>
      <c r="C61" s="1249" t="s">
        <v>933</v>
      </c>
      <c r="D61" s="561" t="s">
        <v>964</v>
      </c>
      <c r="E61" s="105" t="s">
        <v>355</v>
      </c>
      <c r="F61" s="561" t="s">
        <v>356</v>
      </c>
      <c r="G61" s="101">
        <f>SUM('POAI SEP 2019'!AI269:AI273)</f>
        <v>134617500</v>
      </c>
    </row>
    <row r="62" spans="1:7" ht="36" customHeight="1" x14ac:dyDescent="0.2">
      <c r="A62" s="99">
        <f>+A61+1</f>
        <v>49</v>
      </c>
      <c r="B62" s="1252"/>
      <c r="C62" s="1249"/>
      <c r="D62" s="561" t="s">
        <v>965</v>
      </c>
      <c r="E62" s="105" t="s">
        <v>365</v>
      </c>
      <c r="F62" s="561" t="s">
        <v>366</v>
      </c>
      <c r="G62" s="101">
        <f>SUM('POAI SEP 2019'!AI277:AI278)</f>
        <v>158373529</v>
      </c>
    </row>
    <row r="63" spans="1:7" ht="29.25" customHeight="1" x14ac:dyDescent="0.2">
      <c r="A63" s="99">
        <f t="shared" ref="A63:A71" si="3">+A62+1</f>
        <v>50</v>
      </c>
      <c r="B63" s="1252"/>
      <c r="C63" s="1249"/>
      <c r="D63" s="1249" t="s">
        <v>966</v>
      </c>
      <c r="E63" s="560" t="s">
        <v>374</v>
      </c>
      <c r="F63" s="561" t="s">
        <v>375</v>
      </c>
      <c r="G63" s="101">
        <f>SUM('POAI SEP 2019'!AI282:AI283)</f>
        <v>1693514361</v>
      </c>
    </row>
    <row r="64" spans="1:7" ht="22.5" x14ac:dyDescent="0.2">
      <c r="A64" s="99">
        <f t="shared" si="3"/>
        <v>51</v>
      </c>
      <c r="B64" s="1252"/>
      <c r="C64" s="1249"/>
      <c r="D64" s="1249"/>
      <c r="E64" s="105" t="s">
        <v>380</v>
      </c>
      <c r="F64" s="561" t="s">
        <v>381</v>
      </c>
      <c r="G64" s="101">
        <f>SUM('POAI SEP 2019'!AI284:AI288)</f>
        <v>63061235</v>
      </c>
    </row>
    <row r="65" spans="1:7" ht="57" customHeight="1" x14ac:dyDescent="0.2">
      <c r="A65" s="99">
        <f t="shared" si="3"/>
        <v>52</v>
      </c>
      <c r="B65" s="1252" t="s">
        <v>967</v>
      </c>
      <c r="C65" s="1249" t="s">
        <v>956</v>
      </c>
      <c r="D65" s="561" t="s">
        <v>968</v>
      </c>
      <c r="E65" s="105" t="s">
        <v>395</v>
      </c>
      <c r="F65" s="561" t="s">
        <v>396</v>
      </c>
      <c r="G65" s="101">
        <f>SUM('POAI SEP 2019'!AI296:AI299)</f>
        <v>364259118</v>
      </c>
    </row>
    <row r="66" spans="1:7" ht="35.25" customHeight="1" x14ac:dyDescent="0.2">
      <c r="A66" s="99">
        <f t="shared" si="3"/>
        <v>53</v>
      </c>
      <c r="B66" s="1252"/>
      <c r="C66" s="1249"/>
      <c r="D66" s="1249" t="s">
        <v>969</v>
      </c>
      <c r="E66" s="105" t="s">
        <v>402</v>
      </c>
      <c r="F66" s="561" t="s">
        <v>403</v>
      </c>
      <c r="G66" s="101">
        <f>SUM('POAI SEP 2019'!AI303:AI306)</f>
        <v>1365168000</v>
      </c>
    </row>
    <row r="67" spans="1:7" ht="22.5" x14ac:dyDescent="0.2">
      <c r="A67" s="99">
        <f t="shared" si="3"/>
        <v>54</v>
      </c>
      <c r="B67" s="1252"/>
      <c r="C67" s="1249"/>
      <c r="D67" s="1249"/>
      <c r="E67" s="105" t="s">
        <v>408</v>
      </c>
      <c r="F67" s="561" t="s">
        <v>409</v>
      </c>
      <c r="G67" s="101">
        <f>'POAI SEP 2019'!AI307</f>
        <v>122170000</v>
      </c>
    </row>
    <row r="68" spans="1:7" ht="33.75" x14ac:dyDescent="0.2">
      <c r="A68" s="99">
        <f t="shared" si="3"/>
        <v>55</v>
      </c>
      <c r="B68" s="1252"/>
      <c r="C68" s="1249"/>
      <c r="D68" s="1249"/>
      <c r="E68" s="100" t="s">
        <v>411</v>
      </c>
      <c r="F68" s="561" t="s">
        <v>412</v>
      </c>
      <c r="G68" s="101">
        <f>'POAI SEP 2019'!AI308</f>
        <v>22169913</v>
      </c>
    </row>
    <row r="69" spans="1:7" ht="22.5" x14ac:dyDescent="0.2">
      <c r="A69" s="99">
        <f t="shared" si="3"/>
        <v>56</v>
      </c>
      <c r="B69" s="1252"/>
      <c r="C69" s="1249"/>
      <c r="D69" s="561" t="s">
        <v>970</v>
      </c>
      <c r="E69" s="105" t="s">
        <v>416</v>
      </c>
      <c r="F69" s="561" t="s">
        <v>417</v>
      </c>
      <c r="G69" s="101">
        <f>SUM('POAI SEP 2019'!AI312:AI315)</f>
        <v>475120588</v>
      </c>
    </row>
    <row r="70" spans="1:7" ht="33.75" x14ac:dyDescent="0.2">
      <c r="A70" s="99">
        <f t="shared" si="3"/>
        <v>57</v>
      </c>
      <c r="B70" s="1252"/>
      <c r="C70" s="1249"/>
      <c r="D70" s="561" t="s">
        <v>971</v>
      </c>
      <c r="E70" s="105" t="s">
        <v>425</v>
      </c>
      <c r="F70" s="561" t="s">
        <v>426</v>
      </c>
      <c r="G70" s="101">
        <f>SUM('POAI SEP 2019'!AI319:AI320)</f>
        <v>197966912</v>
      </c>
    </row>
    <row r="71" spans="1:7" ht="56.25" x14ac:dyDescent="0.2">
      <c r="A71" s="99">
        <f t="shared" si="3"/>
        <v>58</v>
      </c>
      <c r="B71" s="113" t="s">
        <v>948</v>
      </c>
      <c r="C71" s="561" t="s">
        <v>972</v>
      </c>
      <c r="D71" s="561" t="s">
        <v>973</v>
      </c>
      <c r="E71" s="105" t="s">
        <v>435</v>
      </c>
      <c r="F71" s="561" t="s">
        <v>436</v>
      </c>
      <c r="G71" s="101">
        <f>SUM('POAI SEP 2019'!AI328:AI332)</f>
        <v>168373530</v>
      </c>
    </row>
    <row r="72" spans="1:7" ht="24" customHeight="1" x14ac:dyDescent="0.2">
      <c r="A72" s="99"/>
      <c r="B72" s="102" t="s">
        <v>441</v>
      </c>
      <c r="C72" s="102"/>
      <c r="D72" s="102"/>
      <c r="E72" s="103"/>
      <c r="F72" s="102"/>
      <c r="G72" s="104">
        <f>SUM(G73:G75)</f>
        <v>1953092662</v>
      </c>
    </row>
    <row r="73" spans="1:7" ht="33.75" x14ac:dyDescent="0.2">
      <c r="A73" s="99">
        <v>59</v>
      </c>
      <c r="B73" s="1252" t="s">
        <v>974</v>
      </c>
      <c r="C73" s="1249" t="s">
        <v>919</v>
      </c>
      <c r="D73" s="1249" t="s">
        <v>920</v>
      </c>
      <c r="E73" s="105" t="s">
        <v>446</v>
      </c>
      <c r="F73" s="561" t="s">
        <v>447</v>
      </c>
      <c r="G73" s="101">
        <f>'POAI SEP 2019'!AI342</f>
        <v>450000000</v>
      </c>
    </row>
    <row r="74" spans="1:7" ht="22.5" x14ac:dyDescent="0.2">
      <c r="A74" s="99">
        <v>60</v>
      </c>
      <c r="B74" s="1252"/>
      <c r="C74" s="1249"/>
      <c r="D74" s="1249"/>
      <c r="E74" s="105" t="s">
        <v>450</v>
      </c>
      <c r="F74" s="561" t="s">
        <v>451</v>
      </c>
      <c r="G74" s="101">
        <f>'POAI SEP 2019'!AI343</f>
        <v>40000000</v>
      </c>
    </row>
    <row r="75" spans="1:7" ht="33.75" x14ac:dyDescent="0.2">
      <c r="A75" s="99">
        <v>61</v>
      </c>
      <c r="B75" s="1252"/>
      <c r="C75" s="1249"/>
      <c r="D75" s="561" t="s">
        <v>975</v>
      </c>
      <c r="E75" s="105" t="s">
        <v>453</v>
      </c>
      <c r="F75" s="561" t="s">
        <v>454</v>
      </c>
      <c r="G75" s="101">
        <f>'POAI SEP 2019'!AI349</f>
        <v>1463092662</v>
      </c>
    </row>
    <row r="76" spans="1:7" ht="23.25" customHeight="1" x14ac:dyDescent="0.2">
      <c r="A76" s="99"/>
      <c r="B76" s="102" t="s">
        <v>1078</v>
      </c>
      <c r="C76" s="102"/>
      <c r="D76" s="102"/>
      <c r="E76" s="103"/>
      <c r="F76" s="102"/>
      <c r="G76" s="104">
        <f>SUM(G77:G91)</f>
        <v>182697792015.15997</v>
      </c>
    </row>
    <row r="77" spans="1:7" ht="33" customHeight="1" x14ac:dyDescent="0.2">
      <c r="A77" s="99">
        <v>62</v>
      </c>
      <c r="B77" s="1252" t="s">
        <v>948</v>
      </c>
      <c r="C77" s="1249" t="s">
        <v>976</v>
      </c>
      <c r="D77" s="561" t="s">
        <v>977</v>
      </c>
      <c r="E77" s="105" t="s">
        <v>461</v>
      </c>
      <c r="F77" s="561" t="s">
        <v>462</v>
      </c>
      <c r="G77" s="101">
        <f>SUM('POAI SEP 2019'!AI359:AI361)</f>
        <v>22459800034.010002</v>
      </c>
    </row>
    <row r="78" spans="1:7" ht="45" x14ac:dyDescent="0.2">
      <c r="A78" s="99">
        <f>+A77+1</f>
        <v>63</v>
      </c>
      <c r="B78" s="1252"/>
      <c r="C78" s="1249"/>
      <c r="D78" s="561" t="s">
        <v>978</v>
      </c>
      <c r="E78" s="105" t="s">
        <v>471</v>
      </c>
      <c r="F78" s="561" t="s">
        <v>472</v>
      </c>
      <c r="G78" s="101">
        <f>SUM('POAI SEP 2019'!AI365:AI370)</f>
        <v>1602291242</v>
      </c>
    </row>
    <row r="79" spans="1:7" ht="60" customHeight="1" x14ac:dyDescent="0.2">
      <c r="A79" s="99">
        <f t="shared" ref="A79:A147" si="4">+A78+1</f>
        <v>64</v>
      </c>
      <c r="B79" s="1252"/>
      <c r="C79" s="1249"/>
      <c r="D79" s="561" t="s">
        <v>979</v>
      </c>
      <c r="E79" s="105" t="s">
        <v>487</v>
      </c>
      <c r="F79" s="561" t="s">
        <v>488</v>
      </c>
      <c r="G79" s="101">
        <f>'POAI SEP 2019'!AI374</f>
        <v>151601241535.28998</v>
      </c>
    </row>
    <row r="80" spans="1:7" ht="44.25" customHeight="1" x14ac:dyDescent="0.2">
      <c r="A80" s="99">
        <f t="shared" si="4"/>
        <v>65</v>
      </c>
      <c r="B80" s="1252"/>
      <c r="C80" s="1249" t="s">
        <v>980</v>
      </c>
      <c r="D80" s="561" t="s">
        <v>981</v>
      </c>
      <c r="E80" s="105" t="s">
        <v>492</v>
      </c>
      <c r="F80" s="114" t="s">
        <v>982</v>
      </c>
      <c r="G80" s="101">
        <f>SUM('POAI SEP 2019'!AI380:AI387)</f>
        <v>68355000</v>
      </c>
    </row>
    <row r="81" spans="1:7" ht="45" x14ac:dyDescent="0.2">
      <c r="A81" s="99">
        <f t="shared" si="4"/>
        <v>66</v>
      </c>
      <c r="B81" s="1252"/>
      <c r="C81" s="1249"/>
      <c r="D81" s="561" t="s">
        <v>983</v>
      </c>
      <c r="E81" s="105" t="s">
        <v>505</v>
      </c>
      <c r="F81" s="561" t="s">
        <v>506</v>
      </c>
      <c r="G81" s="101">
        <f>SUM('POAI SEP 2019'!AI391:AI400)</f>
        <v>536696586.86000001</v>
      </c>
    </row>
    <row r="82" spans="1:7" ht="33.75" x14ac:dyDescent="0.2">
      <c r="A82" s="99">
        <f t="shared" si="4"/>
        <v>67</v>
      </c>
      <c r="B82" s="1252"/>
      <c r="C82" s="1249"/>
      <c r="D82" s="561" t="s">
        <v>984</v>
      </c>
      <c r="E82" s="105" t="s">
        <v>520</v>
      </c>
      <c r="F82" s="561" t="s">
        <v>521</v>
      </c>
      <c r="G82" s="101">
        <f>SUM('POAI SEP 2019'!AI404:AI407)</f>
        <v>109129992</v>
      </c>
    </row>
    <row r="83" spans="1:7" ht="37.5" customHeight="1" x14ac:dyDescent="0.2">
      <c r="A83" s="99">
        <f t="shared" si="4"/>
        <v>68</v>
      </c>
      <c r="B83" s="1252"/>
      <c r="C83" s="1249"/>
      <c r="D83" s="561" t="s">
        <v>985</v>
      </c>
      <c r="E83" s="105" t="s">
        <v>531</v>
      </c>
      <c r="F83" s="561" t="s">
        <v>532</v>
      </c>
      <c r="G83" s="101">
        <f>'POAI SEP 2019'!AI411</f>
        <v>30000000</v>
      </c>
    </row>
    <row r="84" spans="1:7" ht="45" x14ac:dyDescent="0.2">
      <c r="A84" s="99">
        <f t="shared" si="4"/>
        <v>69</v>
      </c>
      <c r="B84" s="1252"/>
      <c r="C84" s="1249" t="s">
        <v>986</v>
      </c>
      <c r="D84" s="561" t="s">
        <v>987</v>
      </c>
      <c r="E84" s="105" t="s">
        <v>536</v>
      </c>
      <c r="F84" s="561" t="s">
        <v>537</v>
      </c>
      <c r="G84" s="101">
        <f>SUM('POAI SEP 2019'!AI417:AI421)</f>
        <v>0</v>
      </c>
    </row>
    <row r="85" spans="1:7" s="115" customFormat="1" ht="33.75" x14ac:dyDescent="0.25">
      <c r="A85" s="99">
        <f t="shared" si="4"/>
        <v>70</v>
      </c>
      <c r="B85" s="1252"/>
      <c r="C85" s="1249"/>
      <c r="D85" s="1249" t="s">
        <v>988</v>
      </c>
      <c r="E85" s="560" t="s">
        <v>545</v>
      </c>
      <c r="F85" s="561" t="s">
        <v>546</v>
      </c>
      <c r="G85" s="101">
        <f>SUM('POAI SEP 2019'!AI425:AI428)</f>
        <v>709972887</v>
      </c>
    </row>
    <row r="86" spans="1:7" s="115" customFormat="1" ht="45" x14ac:dyDescent="0.25">
      <c r="A86" s="99">
        <f t="shared" si="4"/>
        <v>71</v>
      </c>
      <c r="B86" s="1252"/>
      <c r="C86" s="1249"/>
      <c r="D86" s="1249"/>
      <c r="E86" s="116" t="s">
        <v>557</v>
      </c>
      <c r="F86" s="561" t="s">
        <v>558</v>
      </c>
      <c r="G86" s="101">
        <f>'POAI SEP 2019'!AI429</f>
        <v>1294717884</v>
      </c>
    </row>
    <row r="87" spans="1:7" s="115" customFormat="1" ht="33.75" x14ac:dyDescent="0.25">
      <c r="A87" s="99">
        <f t="shared" si="4"/>
        <v>72</v>
      </c>
      <c r="B87" s="1252"/>
      <c r="C87" s="1249" t="s">
        <v>989</v>
      </c>
      <c r="D87" s="561" t="s">
        <v>990</v>
      </c>
      <c r="E87" s="105" t="s">
        <v>562</v>
      </c>
      <c r="F87" s="561" t="s">
        <v>563</v>
      </c>
      <c r="G87" s="101">
        <f>SUM('POAI SEP 2019'!AI435:AI436)</f>
        <v>36705028</v>
      </c>
    </row>
    <row r="88" spans="1:7" s="115" customFormat="1" ht="27.75" customHeight="1" x14ac:dyDescent="0.25">
      <c r="A88" s="99">
        <f t="shared" si="4"/>
        <v>73</v>
      </c>
      <c r="B88" s="1252"/>
      <c r="C88" s="1249"/>
      <c r="D88" s="561" t="s">
        <v>991</v>
      </c>
      <c r="E88" s="105" t="s">
        <v>571</v>
      </c>
      <c r="F88" s="561" t="s">
        <v>572</v>
      </c>
      <c r="G88" s="101">
        <f>'POAI SEP 2019'!AI440</f>
        <v>706195624</v>
      </c>
    </row>
    <row r="89" spans="1:7" ht="61.5" customHeight="1" x14ac:dyDescent="0.2">
      <c r="A89" s="99">
        <f t="shared" si="4"/>
        <v>74</v>
      </c>
      <c r="B89" s="1252"/>
      <c r="C89" s="1249"/>
      <c r="D89" s="561" t="s">
        <v>992</v>
      </c>
      <c r="E89" s="105" t="s">
        <v>575</v>
      </c>
      <c r="F89" s="117" t="s">
        <v>576</v>
      </c>
      <c r="G89" s="101">
        <f>'POAI SEP 2019'!AI444</f>
        <v>3503000000</v>
      </c>
    </row>
    <row r="90" spans="1:7" ht="33.75" x14ac:dyDescent="0.2">
      <c r="A90" s="99">
        <f t="shared" si="4"/>
        <v>75</v>
      </c>
      <c r="B90" s="1252"/>
      <c r="C90" s="1249"/>
      <c r="D90" s="561" t="s">
        <v>993</v>
      </c>
      <c r="E90" s="118" t="s">
        <v>579</v>
      </c>
      <c r="F90" s="561" t="s">
        <v>580</v>
      </c>
      <c r="G90" s="101">
        <f>SUM('POAI SEP 2019'!AI448:AI449)</f>
        <v>20868204</v>
      </c>
    </row>
    <row r="91" spans="1:7" ht="22.5" x14ac:dyDescent="0.2">
      <c r="A91" s="99">
        <f t="shared" si="4"/>
        <v>76</v>
      </c>
      <c r="B91" s="1252"/>
      <c r="C91" s="561" t="s">
        <v>994</v>
      </c>
      <c r="D91" s="561" t="s">
        <v>995</v>
      </c>
      <c r="E91" s="105" t="s">
        <v>589</v>
      </c>
      <c r="F91" s="561" t="s">
        <v>590</v>
      </c>
      <c r="G91" s="101">
        <f>'POAI SEP 2019'!AI455</f>
        <v>18817998</v>
      </c>
    </row>
    <row r="92" spans="1:7" ht="21.75" customHeight="1" x14ac:dyDescent="0.2">
      <c r="A92" s="99"/>
      <c r="B92" s="102" t="s">
        <v>591</v>
      </c>
      <c r="C92" s="102"/>
      <c r="D92" s="102"/>
      <c r="E92" s="103"/>
      <c r="F92" s="102"/>
      <c r="G92" s="104">
        <f>SUM(G93:G105)</f>
        <v>6657165943</v>
      </c>
    </row>
    <row r="93" spans="1:7" ht="33.75" x14ac:dyDescent="0.2">
      <c r="A93" s="99">
        <v>77</v>
      </c>
      <c r="B93" s="1252" t="s">
        <v>996</v>
      </c>
      <c r="C93" s="561" t="s">
        <v>994</v>
      </c>
      <c r="D93" s="561" t="s">
        <v>997</v>
      </c>
      <c r="E93" s="105" t="s">
        <v>595</v>
      </c>
      <c r="F93" s="561" t="s">
        <v>596</v>
      </c>
      <c r="G93" s="101">
        <f>SUM('POAI SEP 2019'!AI465:AI466)</f>
        <v>64050000</v>
      </c>
    </row>
    <row r="94" spans="1:7" ht="33.75" x14ac:dyDescent="0.2">
      <c r="A94" s="99">
        <f t="shared" si="4"/>
        <v>78</v>
      </c>
      <c r="B94" s="1252"/>
      <c r="C94" s="1254" t="s">
        <v>998</v>
      </c>
      <c r="D94" s="561" t="s">
        <v>999</v>
      </c>
      <c r="E94" s="105" t="s">
        <v>604</v>
      </c>
      <c r="F94" s="561" t="s">
        <v>605</v>
      </c>
      <c r="G94" s="101">
        <f>'POAI SEP 2019'!AI472</f>
        <v>178850000</v>
      </c>
    </row>
    <row r="95" spans="1:7" ht="33.75" x14ac:dyDescent="0.2">
      <c r="A95" s="99">
        <f t="shared" si="4"/>
        <v>79</v>
      </c>
      <c r="B95" s="1252"/>
      <c r="C95" s="1254"/>
      <c r="D95" s="561" t="s">
        <v>1000</v>
      </c>
      <c r="E95" s="105" t="s">
        <v>612</v>
      </c>
      <c r="F95" s="561" t="s">
        <v>613</v>
      </c>
      <c r="G95" s="101">
        <f>SUM('POAI SEP 2019'!AI476:AI478)</f>
        <v>519400000</v>
      </c>
    </row>
    <row r="96" spans="1:7" ht="33.75" x14ac:dyDescent="0.2">
      <c r="A96" s="99">
        <f t="shared" si="4"/>
        <v>80</v>
      </c>
      <c r="B96" s="1252"/>
      <c r="C96" s="1254"/>
      <c r="D96" s="561" t="s">
        <v>1001</v>
      </c>
      <c r="E96" s="105" t="s">
        <v>621</v>
      </c>
      <c r="F96" s="561" t="s">
        <v>622</v>
      </c>
      <c r="G96" s="101">
        <f>SUM('POAI SEP 2019'!AI482:AI484)</f>
        <v>120000000</v>
      </c>
    </row>
    <row r="97" spans="1:7" ht="33.75" x14ac:dyDescent="0.2">
      <c r="A97" s="99">
        <f t="shared" si="4"/>
        <v>81</v>
      </c>
      <c r="B97" s="1252"/>
      <c r="C97" s="1254"/>
      <c r="D97" s="561" t="s">
        <v>1002</v>
      </c>
      <c r="E97" s="105" t="s">
        <v>631</v>
      </c>
      <c r="F97" s="561" t="s">
        <v>632</v>
      </c>
      <c r="G97" s="101">
        <f>'POAI SEP 2019'!AI488</f>
        <v>190000000</v>
      </c>
    </row>
    <row r="98" spans="1:7" ht="41.25" customHeight="1" x14ac:dyDescent="0.2">
      <c r="A98" s="99">
        <f t="shared" si="4"/>
        <v>82</v>
      </c>
      <c r="B98" s="1252"/>
      <c r="C98" s="1254" t="s">
        <v>1003</v>
      </c>
      <c r="D98" s="1249" t="s">
        <v>1004</v>
      </c>
      <c r="E98" s="105" t="s">
        <v>636</v>
      </c>
      <c r="F98" s="561" t="s">
        <v>637</v>
      </c>
      <c r="G98" s="101">
        <f>'POAI SEP 2019'!AI494</f>
        <v>1008600000</v>
      </c>
    </row>
    <row r="99" spans="1:7" ht="33.75" x14ac:dyDescent="0.2">
      <c r="A99" s="99">
        <f t="shared" si="4"/>
        <v>83</v>
      </c>
      <c r="B99" s="1252"/>
      <c r="C99" s="1254"/>
      <c r="D99" s="1249"/>
      <c r="E99" s="105" t="s">
        <v>639</v>
      </c>
      <c r="F99" s="561" t="s">
        <v>640</v>
      </c>
      <c r="G99" s="101">
        <f>'POAI SEP 2019'!AI495</f>
        <v>79500000</v>
      </c>
    </row>
    <row r="100" spans="1:7" ht="36.75" customHeight="1" x14ac:dyDescent="0.2">
      <c r="A100" s="99">
        <f t="shared" si="4"/>
        <v>84</v>
      </c>
      <c r="B100" s="1252"/>
      <c r="C100" s="1254"/>
      <c r="D100" s="1249" t="s">
        <v>1005</v>
      </c>
      <c r="E100" s="105" t="s">
        <v>643</v>
      </c>
      <c r="F100" s="561" t="s">
        <v>644</v>
      </c>
      <c r="G100" s="101">
        <f>'POAI SEP 2019'!AI499</f>
        <v>29800000</v>
      </c>
    </row>
    <row r="101" spans="1:7" ht="33.75" x14ac:dyDescent="0.2">
      <c r="A101" s="99">
        <f t="shared" si="4"/>
        <v>85</v>
      </c>
      <c r="B101" s="1252"/>
      <c r="C101" s="1254"/>
      <c r="D101" s="1249"/>
      <c r="E101" s="105" t="s">
        <v>646</v>
      </c>
      <c r="F101" s="561" t="s">
        <v>647</v>
      </c>
      <c r="G101" s="101">
        <f>'POAI SEP 2019'!AI500</f>
        <v>69560000</v>
      </c>
    </row>
    <row r="102" spans="1:7" ht="33.75" x14ac:dyDescent="0.2">
      <c r="A102" s="99">
        <f t="shared" si="4"/>
        <v>86</v>
      </c>
      <c r="B102" s="1252"/>
      <c r="C102" s="1254"/>
      <c r="D102" s="561" t="s">
        <v>1006</v>
      </c>
      <c r="E102" s="105" t="s">
        <v>651</v>
      </c>
      <c r="F102" s="561" t="s">
        <v>652</v>
      </c>
      <c r="G102" s="101">
        <f>'POAI SEP 2019'!AI504</f>
        <v>100000000</v>
      </c>
    </row>
    <row r="103" spans="1:7" ht="47.25" customHeight="1" x14ac:dyDescent="0.2">
      <c r="A103" s="99">
        <f t="shared" si="4"/>
        <v>87</v>
      </c>
      <c r="B103" s="1252"/>
      <c r="C103" s="1254"/>
      <c r="D103" s="561" t="s">
        <v>1007</v>
      </c>
      <c r="E103" s="105" t="s">
        <v>658</v>
      </c>
      <c r="F103" s="561" t="s">
        <v>659</v>
      </c>
      <c r="G103" s="101">
        <f>'POAI SEP 2019'!AI508</f>
        <v>30000000</v>
      </c>
    </row>
    <row r="104" spans="1:7" ht="22.5" x14ac:dyDescent="0.2">
      <c r="A104" s="99">
        <f t="shared" si="4"/>
        <v>88</v>
      </c>
      <c r="B104" s="1252"/>
      <c r="C104" s="1254"/>
      <c r="D104" s="561" t="s">
        <v>1008</v>
      </c>
      <c r="E104" s="105" t="s">
        <v>663</v>
      </c>
      <c r="F104" s="561" t="s">
        <v>664</v>
      </c>
      <c r="G104" s="101">
        <f>'POAI SEP 2019'!AI512</f>
        <v>290000000</v>
      </c>
    </row>
    <row r="105" spans="1:7" s="94" customFormat="1" ht="39" customHeight="1" x14ac:dyDescent="0.25">
      <c r="A105" s="99">
        <f t="shared" si="4"/>
        <v>89</v>
      </c>
      <c r="B105" s="1252"/>
      <c r="C105" s="563" t="s">
        <v>1009</v>
      </c>
      <c r="D105" s="561" t="s">
        <v>1010</v>
      </c>
      <c r="E105" s="105" t="s">
        <v>671</v>
      </c>
      <c r="F105" s="561" t="s">
        <v>672</v>
      </c>
      <c r="G105" s="101">
        <f>SUM('POAI SEP 2019'!AI518:AI521)</f>
        <v>3977405943</v>
      </c>
    </row>
    <row r="106" spans="1:7" s="94" customFormat="1" ht="25.5" customHeight="1" x14ac:dyDescent="0.25">
      <c r="A106" s="99"/>
      <c r="B106" s="102" t="s">
        <v>676</v>
      </c>
      <c r="C106" s="119"/>
      <c r="D106" s="119"/>
      <c r="E106" s="103"/>
      <c r="F106" s="102"/>
      <c r="G106" s="104">
        <f>+G107</f>
        <v>71548128</v>
      </c>
    </row>
    <row r="107" spans="1:7" s="120" customFormat="1" ht="33.75" x14ac:dyDescent="0.2">
      <c r="A107" s="99">
        <v>90</v>
      </c>
      <c r="B107" s="114" t="s">
        <v>974</v>
      </c>
      <c r="C107" s="561" t="s">
        <v>1011</v>
      </c>
      <c r="D107" s="561" t="s">
        <v>920</v>
      </c>
      <c r="E107" s="105" t="s">
        <v>679</v>
      </c>
      <c r="F107" s="561" t="s">
        <v>680</v>
      </c>
      <c r="G107" s="101">
        <f>'POAI SEP 2019'!AI531</f>
        <v>71548128</v>
      </c>
    </row>
    <row r="108" spans="1:7" ht="30" customHeight="1" x14ac:dyDescent="0.2">
      <c r="A108" s="99"/>
      <c r="B108" s="102" t="s">
        <v>681</v>
      </c>
      <c r="C108" s="119"/>
      <c r="D108" s="119"/>
      <c r="E108" s="103"/>
      <c r="F108" s="102"/>
      <c r="G108" s="104">
        <f>SUM(G109:G133)</f>
        <v>46222727020</v>
      </c>
    </row>
    <row r="109" spans="1:7" ht="33.75" x14ac:dyDescent="0.2">
      <c r="A109" s="99">
        <v>91</v>
      </c>
      <c r="B109" s="1252" t="s">
        <v>1012</v>
      </c>
      <c r="C109" s="561" t="s">
        <v>972</v>
      </c>
      <c r="D109" s="561" t="s">
        <v>1013</v>
      </c>
      <c r="E109" s="105" t="s">
        <v>685</v>
      </c>
      <c r="F109" s="561" t="s">
        <v>686</v>
      </c>
      <c r="G109" s="101">
        <f>SUM('POAI SEP 2019'!AI541:AI543)</f>
        <v>196000000</v>
      </c>
    </row>
    <row r="110" spans="1:7" ht="20.25" customHeight="1" x14ac:dyDescent="0.2">
      <c r="A110" s="99">
        <f t="shared" si="4"/>
        <v>92</v>
      </c>
      <c r="B110" s="1252"/>
      <c r="C110" s="1249" t="s">
        <v>1014</v>
      </c>
      <c r="D110" s="561" t="s">
        <v>1015</v>
      </c>
      <c r="E110" s="105" t="s">
        <v>694</v>
      </c>
      <c r="F110" s="561" t="s">
        <v>695</v>
      </c>
      <c r="G110" s="101">
        <f>SUM('POAI SEP 2019'!AI549:AI550)</f>
        <v>232000000</v>
      </c>
    </row>
    <row r="111" spans="1:7" ht="33.75" x14ac:dyDescent="0.2">
      <c r="A111" s="99">
        <f t="shared" si="4"/>
        <v>93</v>
      </c>
      <c r="B111" s="1252"/>
      <c r="C111" s="1249"/>
      <c r="D111" s="561" t="s">
        <v>1016</v>
      </c>
      <c r="E111" s="105" t="s">
        <v>701</v>
      </c>
      <c r="F111" s="561" t="s">
        <v>702</v>
      </c>
      <c r="G111" s="101">
        <f>SUM('POAI SEP 2019'!AI554:AI557)</f>
        <v>168000000</v>
      </c>
    </row>
    <row r="112" spans="1:7" ht="33.75" x14ac:dyDescent="0.2">
      <c r="A112" s="99">
        <f t="shared" si="4"/>
        <v>94</v>
      </c>
      <c r="B112" s="1252"/>
      <c r="C112" s="1249"/>
      <c r="D112" s="561" t="s">
        <v>1017</v>
      </c>
      <c r="E112" s="105" t="s">
        <v>709</v>
      </c>
      <c r="F112" s="561" t="s">
        <v>710</v>
      </c>
      <c r="G112" s="101">
        <f>SUM('POAI SEP 2019'!AI561:AI563)</f>
        <v>138000000</v>
      </c>
    </row>
    <row r="113" spans="1:9" ht="33.75" x14ac:dyDescent="0.2">
      <c r="A113" s="99">
        <f t="shared" si="4"/>
        <v>95</v>
      </c>
      <c r="B113" s="1252"/>
      <c r="C113" s="1249"/>
      <c r="D113" s="561" t="s">
        <v>1018</v>
      </c>
      <c r="E113" s="105" t="s">
        <v>716</v>
      </c>
      <c r="F113" s="561" t="s">
        <v>717</v>
      </c>
      <c r="G113" s="101">
        <f>SUM('POAI SEP 2019'!AI567:AI569)</f>
        <v>183000000</v>
      </c>
    </row>
    <row r="114" spans="1:9" ht="33.75" x14ac:dyDescent="0.2">
      <c r="A114" s="99">
        <f t="shared" si="4"/>
        <v>96</v>
      </c>
      <c r="B114" s="1252"/>
      <c r="C114" s="1249"/>
      <c r="D114" s="1249" t="s">
        <v>1019</v>
      </c>
      <c r="E114" s="105" t="s">
        <v>727</v>
      </c>
      <c r="F114" s="561" t="s">
        <v>728</v>
      </c>
      <c r="G114" s="101">
        <f>SUM('POAI SEP 2019'!AI573:AI574)</f>
        <v>151105914</v>
      </c>
    </row>
    <row r="115" spans="1:9" ht="33.75" x14ac:dyDescent="0.2">
      <c r="A115" s="99">
        <f t="shared" si="4"/>
        <v>97</v>
      </c>
      <c r="B115" s="1252"/>
      <c r="C115" s="1249"/>
      <c r="D115" s="1249"/>
      <c r="E115" s="105" t="s">
        <v>735</v>
      </c>
      <c r="F115" s="561" t="s">
        <v>736</v>
      </c>
      <c r="G115" s="101">
        <f>SUM('POAI SEP 2019'!AI575:AI576)</f>
        <v>571611313</v>
      </c>
    </row>
    <row r="116" spans="1:9" ht="46.5" customHeight="1" x14ac:dyDescent="0.2">
      <c r="A116" s="99">
        <f t="shared" si="4"/>
        <v>98</v>
      </c>
      <c r="B116" s="1252"/>
      <c r="C116" s="1249"/>
      <c r="D116" s="1249"/>
      <c r="E116" s="105" t="s">
        <v>742</v>
      </c>
      <c r="F116" s="561" t="s">
        <v>743</v>
      </c>
      <c r="G116" s="101">
        <f>'POAI SEP 2019'!AI577</f>
        <v>218028925</v>
      </c>
    </row>
    <row r="117" spans="1:9" ht="33" customHeight="1" x14ac:dyDescent="0.2">
      <c r="A117" s="99">
        <f t="shared" si="4"/>
        <v>99</v>
      </c>
      <c r="B117" s="1252"/>
      <c r="C117" s="1249"/>
      <c r="D117" s="561" t="s">
        <v>1020</v>
      </c>
      <c r="E117" s="105" t="s">
        <v>746</v>
      </c>
      <c r="F117" s="561" t="s">
        <v>747</v>
      </c>
      <c r="G117" s="101">
        <f>SUM('POAI SEP 2019'!AI581:AI582)</f>
        <v>29000000</v>
      </c>
    </row>
    <row r="118" spans="1:9" ht="22.5" x14ac:dyDescent="0.2">
      <c r="A118" s="99">
        <f t="shared" si="4"/>
        <v>100</v>
      </c>
      <c r="B118" s="1252"/>
      <c r="C118" s="1249"/>
      <c r="D118" s="561" t="s">
        <v>1021</v>
      </c>
      <c r="E118" s="105" t="s">
        <v>754</v>
      </c>
      <c r="F118" s="561" t="s">
        <v>755</v>
      </c>
      <c r="G118" s="101">
        <f>SUM('POAI SEP 2019'!AI586:AI587)</f>
        <v>76000000</v>
      </c>
    </row>
    <row r="119" spans="1:9" ht="22.5" x14ac:dyDescent="0.2">
      <c r="A119" s="99">
        <f t="shared" si="4"/>
        <v>101</v>
      </c>
      <c r="B119" s="1252"/>
      <c r="C119" s="1249"/>
      <c r="D119" s="561" t="s">
        <v>1022</v>
      </c>
      <c r="E119" s="560" t="s">
        <v>761</v>
      </c>
      <c r="F119" s="561" t="s">
        <v>762</v>
      </c>
      <c r="G119" s="101">
        <f>SUM('POAI SEP 2019'!AI591:AI593)</f>
        <v>1615475987</v>
      </c>
    </row>
    <row r="120" spans="1:9" ht="33.75" x14ac:dyDescent="0.2">
      <c r="A120" s="99">
        <f t="shared" si="4"/>
        <v>102</v>
      </c>
      <c r="B120" s="1252"/>
      <c r="C120" s="1249"/>
      <c r="D120" s="561" t="s">
        <v>1023</v>
      </c>
      <c r="E120" s="105" t="s">
        <v>768</v>
      </c>
      <c r="F120" s="561" t="s">
        <v>769</v>
      </c>
      <c r="G120" s="101">
        <f>SUM('POAI SEP 2019'!AI597:AI600)</f>
        <v>317416251</v>
      </c>
    </row>
    <row r="121" spans="1:9" ht="33.75" x14ac:dyDescent="0.2">
      <c r="A121" s="99">
        <f t="shared" si="4"/>
        <v>103</v>
      </c>
      <c r="B121" s="1252"/>
      <c r="C121" s="1249"/>
      <c r="D121" s="561" t="s">
        <v>1024</v>
      </c>
      <c r="E121" s="105" t="s">
        <v>783</v>
      </c>
      <c r="F121" s="561" t="s">
        <v>784</v>
      </c>
      <c r="G121" s="101">
        <f>SUM('POAI SEP 2019'!AI604:AI605)</f>
        <v>1538707111</v>
      </c>
    </row>
    <row r="122" spans="1:9" ht="37.5" customHeight="1" x14ac:dyDescent="0.2">
      <c r="A122" s="99">
        <f t="shared" si="4"/>
        <v>104</v>
      </c>
      <c r="B122" s="1252"/>
      <c r="C122" s="1249"/>
      <c r="D122" s="1249" t="s">
        <v>1025</v>
      </c>
      <c r="E122" s="105" t="s">
        <v>790</v>
      </c>
      <c r="F122" s="561" t="s">
        <v>791</v>
      </c>
      <c r="G122" s="101">
        <f>'POAI SEP 2019'!AI609</f>
        <v>1210233390</v>
      </c>
    </row>
    <row r="123" spans="1:9" ht="22.5" x14ac:dyDescent="0.2">
      <c r="A123" s="99">
        <f t="shared" si="4"/>
        <v>105</v>
      </c>
      <c r="B123" s="1252"/>
      <c r="C123" s="1249"/>
      <c r="D123" s="1249"/>
      <c r="E123" s="105" t="s">
        <v>797</v>
      </c>
      <c r="F123" s="561" t="s">
        <v>798</v>
      </c>
      <c r="G123" s="101">
        <f>SUM('POAI SEP 2019'!AI610:AI611)</f>
        <v>412466385</v>
      </c>
    </row>
    <row r="124" spans="1:9" ht="45" customHeight="1" x14ac:dyDescent="0.2">
      <c r="A124" s="99">
        <f t="shared" si="4"/>
        <v>106</v>
      </c>
      <c r="B124" s="1252"/>
      <c r="C124" s="1249" t="s">
        <v>1026</v>
      </c>
      <c r="D124" s="561" t="s">
        <v>1027</v>
      </c>
      <c r="E124" s="105" t="s">
        <v>804</v>
      </c>
      <c r="F124" s="561" t="s">
        <v>805</v>
      </c>
      <c r="G124" s="101">
        <f>'POAI SEP 2019'!AI617</f>
        <v>30800000</v>
      </c>
      <c r="I124" s="531">
        <f>G124+G125+G126</f>
        <v>21751884086</v>
      </c>
    </row>
    <row r="125" spans="1:9" ht="40.5" customHeight="1" x14ac:dyDescent="0.2">
      <c r="A125" s="99"/>
      <c r="B125" s="1252"/>
      <c r="C125" s="1249"/>
      <c r="D125" s="561" t="s">
        <v>1028</v>
      </c>
      <c r="E125" s="105" t="s">
        <v>804</v>
      </c>
      <c r="F125" s="561" t="s">
        <v>805</v>
      </c>
      <c r="G125" s="101">
        <f>'POAI SEP 2019'!AI621</f>
        <v>21648084086</v>
      </c>
    </row>
    <row r="126" spans="1:9" ht="43.5" customHeight="1" x14ac:dyDescent="0.2">
      <c r="A126" s="99"/>
      <c r="B126" s="1252"/>
      <c r="C126" s="1249"/>
      <c r="D126" s="561" t="s">
        <v>1029</v>
      </c>
      <c r="E126" s="105" t="s">
        <v>804</v>
      </c>
      <c r="F126" s="561" t="s">
        <v>805</v>
      </c>
      <c r="G126" s="101">
        <f>'POAI SEP 2019'!AI625</f>
        <v>73000000</v>
      </c>
    </row>
    <row r="127" spans="1:9" ht="39" customHeight="1" x14ac:dyDescent="0.2">
      <c r="A127" s="99">
        <f>+A124+1</f>
        <v>107</v>
      </c>
      <c r="B127" s="1252"/>
      <c r="C127" s="1249" t="s">
        <v>1030</v>
      </c>
      <c r="D127" s="561" t="s">
        <v>1031</v>
      </c>
      <c r="E127" s="105" t="s">
        <v>813</v>
      </c>
      <c r="F127" s="561" t="s">
        <v>814</v>
      </c>
      <c r="G127" s="101">
        <f>SUM('POAI SEP 2019'!AI631:AI633)</f>
        <v>16115096017</v>
      </c>
    </row>
    <row r="128" spans="1:9" ht="39.75" customHeight="1" x14ac:dyDescent="0.2">
      <c r="A128" s="99">
        <f t="shared" si="4"/>
        <v>108</v>
      </c>
      <c r="B128" s="1252"/>
      <c r="C128" s="1249"/>
      <c r="D128" s="561" t="s">
        <v>1032</v>
      </c>
      <c r="E128" s="105" t="s">
        <v>820</v>
      </c>
      <c r="F128" s="561" t="s">
        <v>821</v>
      </c>
      <c r="G128" s="101">
        <f>'POAI SEP 2019'!AI637</f>
        <v>58080000</v>
      </c>
    </row>
    <row r="129" spans="1:7" ht="23.25" customHeight="1" x14ac:dyDescent="0.2">
      <c r="A129" s="99">
        <f t="shared" si="4"/>
        <v>109</v>
      </c>
      <c r="B129" s="1252"/>
      <c r="C129" s="1249"/>
      <c r="D129" s="1249" t="s">
        <v>1033</v>
      </c>
      <c r="E129" s="105" t="s">
        <v>825</v>
      </c>
      <c r="F129" s="561" t="s">
        <v>826</v>
      </c>
      <c r="G129" s="101">
        <f>SUM('POAI SEP 2019'!AI641:AI642)</f>
        <v>20000000</v>
      </c>
    </row>
    <row r="130" spans="1:7" ht="22.5" x14ac:dyDescent="0.2">
      <c r="A130" s="99">
        <f t="shared" si="4"/>
        <v>110</v>
      </c>
      <c r="B130" s="1252"/>
      <c r="C130" s="1249"/>
      <c r="D130" s="1249"/>
      <c r="E130" s="105" t="s">
        <v>829</v>
      </c>
      <c r="F130" s="561" t="s">
        <v>830</v>
      </c>
      <c r="G130" s="101">
        <f>'POAI SEP 2019'!AI643</f>
        <v>674441641</v>
      </c>
    </row>
    <row r="131" spans="1:7" ht="45" x14ac:dyDescent="0.2">
      <c r="A131" s="99">
        <f t="shared" si="4"/>
        <v>111</v>
      </c>
      <c r="B131" s="1252"/>
      <c r="C131" s="1249"/>
      <c r="D131" s="561" t="s">
        <v>1034</v>
      </c>
      <c r="E131" s="105" t="s">
        <v>833</v>
      </c>
      <c r="F131" s="561" t="s">
        <v>834</v>
      </c>
      <c r="G131" s="101">
        <f>SUM('POAI SEP 2019'!AI647:AI648)</f>
        <v>56100000</v>
      </c>
    </row>
    <row r="132" spans="1:7" ht="36" customHeight="1" x14ac:dyDescent="0.2">
      <c r="A132" s="99">
        <f t="shared" si="4"/>
        <v>112</v>
      </c>
      <c r="B132" s="1252"/>
      <c r="C132" s="1249"/>
      <c r="D132" s="561" t="s">
        <v>1035</v>
      </c>
      <c r="E132" s="105" t="s">
        <v>838</v>
      </c>
      <c r="F132" s="561" t="s">
        <v>839</v>
      </c>
      <c r="G132" s="101">
        <f>SUM('POAI SEP 2019'!AI652:AI653)</f>
        <v>340080000</v>
      </c>
    </row>
    <row r="133" spans="1:7" ht="22.5" x14ac:dyDescent="0.2">
      <c r="A133" s="99">
        <f t="shared" si="4"/>
        <v>113</v>
      </c>
      <c r="B133" s="1252"/>
      <c r="C133" s="561" t="s">
        <v>1036</v>
      </c>
      <c r="D133" s="561" t="s">
        <v>1037</v>
      </c>
      <c r="E133" s="105" t="s">
        <v>845</v>
      </c>
      <c r="F133" s="561" t="s">
        <v>846</v>
      </c>
      <c r="G133" s="101">
        <f>SUM('POAI SEP 2019'!AI659:AI661)</f>
        <v>150000000</v>
      </c>
    </row>
    <row r="134" spans="1:7" ht="25.5" customHeight="1" x14ac:dyDescent="0.2">
      <c r="A134" s="99"/>
      <c r="B134" s="102" t="s">
        <v>851</v>
      </c>
      <c r="C134" s="119"/>
      <c r="D134" s="119"/>
      <c r="E134" s="103"/>
      <c r="F134" s="102"/>
      <c r="G134" s="104">
        <f>SUM(G135:G137)</f>
        <v>513891533</v>
      </c>
    </row>
    <row r="135" spans="1:7" ht="33.75" customHeight="1" x14ac:dyDescent="0.2">
      <c r="A135" s="99"/>
      <c r="B135" s="1255" t="s">
        <v>1038</v>
      </c>
      <c r="C135" s="1258" t="s">
        <v>1039</v>
      </c>
      <c r="D135" s="1258" t="s">
        <v>918</v>
      </c>
      <c r="E135" s="105" t="s">
        <v>38</v>
      </c>
      <c r="F135" s="561" t="s">
        <v>39</v>
      </c>
      <c r="G135" s="101">
        <f>'POAI SEP 2019'!AI671</f>
        <v>396200</v>
      </c>
    </row>
    <row r="136" spans="1:7" ht="22.5" x14ac:dyDescent="0.2">
      <c r="A136" s="99"/>
      <c r="B136" s="1256"/>
      <c r="C136" s="1259"/>
      <c r="D136" s="1259"/>
      <c r="E136" s="105" t="s">
        <v>853</v>
      </c>
      <c r="F136" s="561" t="s">
        <v>854</v>
      </c>
      <c r="G136" s="101">
        <f>'POAI SEP 2019'!AI672</f>
        <v>422500000</v>
      </c>
    </row>
    <row r="137" spans="1:7" ht="33.75" x14ac:dyDescent="0.2">
      <c r="A137" s="99"/>
      <c r="B137" s="1257"/>
      <c r="C137" s="1260"/>
      <c r="D137" s="1260"/>
      <c r="E137" s="105" t="s">
        <v>49</v>
      </c>
      <c r="F137" s="561" t="s">
        <v>50</v>
      </c>
      <c r="G137" s="101">
        <f>'POAI SEP 2019'!AI673</f>
        <v>90995333</v>
      </c>
    </row>
    <row r="138" spans="1:7" s="121" customFormat="1" ht="21" customHeight="1" x14ac:dyDescent="0.2">
      <c r="A138" s="99"/>
      <c r="B138" s="1261" t="s">
        <v>1040</v>
      </c>
      <c r="C138" s="1262"/>
      <c r="D138" s="1262"/>
      <c r="E138" s="1263"/>
      <c r="F138" s="1076"/>
      <c r="G138" s="1077">
        <f>+G108+G106+G92+G76+G72+G60+G52+G45+G34+G25+G22+G12+G7+G134</f>
        <v>303603900636.15997</v>
      </c>
    </row>
    <row r="139" spans="1:7" s="1075" customFormat="1" ht="21" customHeight="1" x14ac:dyDescent="0.2">
      <c r="A139" s="1072"/>
      <c r="B139" s="1073"/>
      <c r="C139" s="1074"/>
      <c r="D139" s="1074"/>
      <c r="E139" s="1074"/>
      <c r="F139" s="1078"/>
      <c r="G139" s="1079"/>
    </row>
    <row r="140" spans="1:7" ht="22.5" customHeight="1" x14ac:dyDescent="0.2">
      <c r="A140" s="99"/>
      <c r="B140" s="1250" t="s">
        <v>1041</v>
      </c>
      <c r="C140" s="1250"/>
      <c r="D140" s="1250"/>
      <c r="E140" s="1250"/>
      <c r="F140" s="1250"/>
      <c r="G140" s="1250"/>
    </row>
    <row r="141" spans="1:7" ht="21.75" customHeight="1" x14ac:dyDescent="0.2">
      <c r="A141" s="99"/>
      <c r="B141" s="102" t="s">
        <v>856</v>
      </c>
      <c r="C141" s="102"/>
      <c r="D141" s="102"/>
      <c r="E141" s="103"/>
      <c r="F141" s="102"/>
      <c r="G141" s="104">
        <f>SUM(G142:G148)</f>
        <v>3603297525.0100007</v>
      </c>
    </row>
    <row r="142" spans="1:7" ht="36" customHeight="1" x14ac:dyDescent="0.2">
      <c r="A142" s="99">
        <v>114</v>
      </c>
      <c r="B142" s="1251" t="s">
        <v>948</v>
      </c>
      <c r="C142" s="1249" t="s">
        <v>1042</v>
      </c>
      <c r="D142" s="561" t="s">
        <v>1043</v>
      </c>
      <c r="E142" s="100" t="s">
        <v>862</v>
      </c>
      <c r="F142" s="122" t="s">
        <v>863</v>
      </c>
      <c r="G142" s="101">
        <f>SUM('POAI SEP 2019'!AI684:AI685)</f>
        <v>2180137888.8000002</v>
      </c>
    </row>
    <row r="143" spans="1:7" ht="22.5" x14ac:dyDescent="0.2">
      <c r="A143" s="99"/>
      <c r="B143" s="1251"/>
      <c r="C143" s="1249"/>
      <c r="D143" s="561" t="s">
        <v>1044</v>
      </c>
      <c r="E143" s="100" t="s">
        <v>862</v>
      </c>
      <c r="F143" s="122" t="s">
        <v>863</v>
      </c>
      <c r="G143" s="101">
        <f>'POAI SEP 2019'!AI689</f>
        <v>170200000</v>
      </c>
    </row>
    <row r="144" spans="1:7" ht="22.5" x14ac:dyDescent="0.2">
      <c r="A144" s="99">
        <f>+A142+1</f>
        <v>115</v>
      </c>
      <c r="B144" s="1251"/>
      <c r="C144" s="1249"/>
      <c r="D144" s="561" t="s">
        <v>1045</v>
      </c>
      <c r="E144" s="100" t="s">
        <v>869</v>
      </c>
      <c r="F144" s="123" t="s">
        <v>870</v>
      </c>
      <c r="G144" s="101">
        <f>'POAI SEP 2019'!AI693</f>
        <v>387947240.34000003</v>
      </c>
    </row>
    <row r="145" spans="1:9" ht="33.75" x14ac:dyDescent="0.2">
      <c r="A145" s="99">
        <f t="shared" si="4"/>
        <v>116</v>
      </c>
      <c r="B145" s="1251"/>
      <c r="C145" s="1249"/>
      <c r="D145" s="561" t="s">
        <v>1046</v>
      </c>
      <c r="E145" s="100" t="s">
        <v>873</v>
      </c>
      <c r="F145" s="117" t="s">
        <v>874</v>
      </c>
      <c r="G145" s="101">
        <f>SUM('POAI SEP 2019'!AI697:AI699)</f>
        <v>350000000</v>
      </c>
    </row>
    <row r="146" spans="1:9" ht="33" customHeight="1" x14ac:dyDescent="0.2">
      <c r="A146" s="99">
        <f t="shared" si="4"/>
        <v>117</v>
      </c>
      <c r="B146" s="1251"/>
      <c r="C146" s="1249" t="s">
        <v>1047</v>
      </c>
      <c r="D146" s="561" t="s">
        <v>1048</v>
      </c>
      <c r="E146" s="100" t="s">
        <v>880</v>
      </c>
      <c r="F146" s="117" t="s">
        <v>881</v>
      </c>
      <c r="G146" s="101">
        <f>SUM('POAI SEP 2019'!AI705:AI707)</f>
        <v>294330659.22000003</v>
      </c>
    </row>
    <row r="147" spans="1:9" ht="22.5" x14ac:dyDescent="0.2">
      <c r="A147" s="99">
        <f t="shared" si="4"/>
        <v>118</v>
      </c>
      <c r="B147" s="1251"/>
      <c r="C147" s="1249"/>
      <c r="D147" s="561" t="s">
        <v>1049</v>
      </c>
      <c r="E147" s="100" t="s">
        <v>886</v>
      </c>
      <c r="F147" s="123" t="s">
        <v>887</v>
      </c>
      <c r="G147" s="101">
        <f>'POAI SEP 2019'!AI711</f>
        <v>168999321.65000001</v>
      </c>
    </row>
    <row r="148" spans="1:9" ht="56.25" x14ac:dyDescent="0.2">
      <c r="A148" s="99">
        <f>+A147+1</f>
        <v>119</v>
      </c>
      <c r="B148" s="1251"/>
      <c r="C148" s="561" t="s">
        <v>1050</v>
      </c>
      <c r="D148" s="561" t="s">
        <v>1051</v>
      </c>
      <c r="E148" s="100" t="s">
        <v>891</v>
      </c>
      <c r="F148" s="117" t="s">
        <v>892</v>
      </c>
      <c r="G148" s="101">
        <f>'POAI SEP 2019'!AI717</f>
        <v>51682415</v>
      </c>
    </row>
    <row r="149" spans="1:9" ht="20.25" customHeight="1" x14ac:dyDescent="0.2">
      <c r="A149" s="99"/>
      <c r="B149" s="102" t="s">
        <v>893</v>
      </c>
      <c r="C149" s="108"/>
      <c r="D149" s="108"/>
      <c r="E149" s="103"/>
      <c r="F149" s="102"/>
      <c r="G149" s="104">
        <f>+G150+G151</f>
        <v>2637780070</v>
      </c>
    </row>
    <row r="150" spans="1:9" ht="33.75" x14ac:dyDescent="0.2">
      <c r="A150" s="99">
        <v>120</v>
      </c>
      <c r="B150" s="1251" t="s">
        <v>967</v>
      </c>
      <c r="C150" s="1249" t="s">
        <v>1052</v>
      </c>
      <c r="D150" s="561" t="s">
        <v>1053</v>
      </c>
      <c r="E150" s="100" t="s">
        <v>896</v>
      </c>
      <c r="F150" s="124" t="s">
        <v>897</v>
      </c>
      <c r="G150" s="101">
        <f>'POAI SEP 2019'!AI727</f>
        <v>313916293</v>
      </c>
    </row>
    <row r="151" spans="1:9" ht="33.75" x14ac:dyDescent="0.2">
      <c r="A151" s="99"/>
      <c r="B151" s="1251"/>
      <c r="C151" s="1249"/>
      <c r="D151" s="561" t="s">
        <v>1054</v>
      </c>
      <c r="E151" s="100" t="s">
        <v>896</v>
      </c>
      <c r="F151" s="124" t="s">
        <v>897</v>
      </c>
      <c r="G151" s="101">
        <f>SUM('POAI SEP 2019'!AI731:AI734)</f>
        <v>2323863777</v>
      </c>
    </row>
    <row r="152" spans="1:9" ht="23.25" customHeight="1" x14ac:dyDescent="0.2">
      <c r="A152" s="99"/>
      <c r="B152" s="102" t="s">
        <v>899</v>
      </c>
      <c r="C152" s="108"/>
      <c r="D152" s="108"/>
      <c r="E152" s="103"/>
      <c r="F152" s="102"/>
      <c r="G152" s="104">
        <f>+G153</f>
        <v>607000000</v>
      </c>
    </row>
    <row r="153" spans="1:9" ht="81" customHeight="1" x14ac:dyDescent="0.2">
      <c r="A153" s="99">
        <v>121</v>
      </c>
      <c r="B153" s="114" t="s">
        <v>935</v>
      </c>
      <c r="C153" s="561" t="s">
        <v>1055</v>
      </c>
      <c r="D153" s="561" t="s">
        <v>1056</v>
      </c>
      <c r="E153" s="100" t="s">
        <v>906</v>
      </c>
      <c r="F153" s="561" t="s">
        <v>907</v>
      </c>
      <c r="G153" s="101">
        <f>SUM('POAI SEP 2019'!AI745:AI747)</f>
        <v>607000000</v>
      </c>
    </row>
    <row r="154" spans="1:9" s="94" customFormat="1" ht="18.75" customHeight="1" x14ac:dyDescent="0.25">
      <c r="B154" s="1253" t="s">
        <v>1057</v>
      </c>
      <c r="C154" s="1253"/>
      <c r="D154" s="1253"/>
      <c r="E154" s="1253"/>
      <c r="F154" s="1253"/>
      <c r="G154" s="1071">
        <f>+G141+G149+G152</f>
        <v>6848077595.0100002</v>
      </c>
    </row>
    <row r="155" spans="1:9" s="125" customFormat="1" ht="18" customHeight="1" x14ac:dyDescent="0.2">
      <c r="B155" s="1246" t="s">
        <v>1058</v>
      </c>
      <c r="C155" s="1246"/>
      <c r="D155" s="1246"/>
      <c r="E155" s="126"/>
      <c r="F155" s="127"/>
      <c r="G155" s="555">
        <f>+G154+G138</f>
        <v>310451978231.16998</v>
      </c>
    </row>
    <row r="156" spans="1:9" s="121" customFormat="1" x14ac:dyDescent="0.2">
      <c r="E156" s="128"/>
      <c r="G156" s="129"/>
    </row>
    <row r="157" spans="1:9" s="121" customFormat="1" x14ac:dyDescent="0.2">
      <c r="E157" s="128"/>
      <c r="G157" s="130"/>
    </row>
    <row r="158" spans="1:9" s="121" customFormat="1" x14ac:dyDescent="0.2">
      <c r="E158" s="128"/>
      <c r="G158" s="131"/>
    </row>
    <row r="159" spans="1:9" s="121" customFormat="1" x14ac:dyDescent="0.2">
      <c r="E159" s="128"/>
      <c r="G159" s="131"/>
      <c r="I159" s="135"/>
    </row>
    <row r="160" spans="1:9" s="121" customFormat="1" x14ac:dyDescent="0.2">
      <c r="E160" s="128"/>
      <c r="G160" s="131"/>
      <c r="I160" s="135"/>
    </row>
    <row r="161" spans="2:8" s="121" customFormat="1" ht="15.75" customHeight="1" x14ac:dyDescent="0.2">
      <c r="B161" s="1247" t="s">
        <v>1059</v>
      </c>
      <c r="C161" s="1247"/>
      <c r="D161" s="1247"/>
      <c r="E161" s="1247"/>
      <c r="F161" s="1247"/>
      <c r="G161" s="1247"/>
    </row>
    <row r="162" spans="2:8" s="121" customFormat="1" ht="15.75" customHeight="1" x14ac:dyDescent="0.2">
      <c r="B162" s="1248" t="s">
        <v>1060</v>
      </c>
      <c r="C162" s="1248"/>
      <c r="D162" s="1248"/>
      <c r="E162" s="1248"/>
      <c r="F162" s="1248"/>
      <c r="G162" s="1248"/>
      <c r="H162" s="134"/>
    </row>
    <row r="163" spans="2:8" s="121" customFormat="1" x14ac:dyDescent="0.2">
      <c r="E163" s="128"/>
      <c r="G163" s="131"/>
    </row>
    <row r="164" spans="2:8" s="121" customFormat="1" x14ac:dyDescent="0.2">
      <c r="B164" s="132" t="s">
        <v>1061</v>
      </c>
      <c r="E164" s="128"/>
      <c r="G164" s="131"/>
    </row>
    <row r="165" spans="2:8" s="121" customFormat="1" x14ac:dyDescent="0.2">
      <c r="B165" s="132" t="s">
        <v>1062</v>
      </c>
      <c r="E165" s="128"/>
      <c r="G165" s="131"/>
    </row>
    <row r="166" spans="2:8" s="121" customFormat="1" x14ac:dyDescent="0.2">
      <c r="E166" s="128"/>
      <c r="G166" s="131"/>
    </row>
    <row r="167" spans="2:8" s="121" customFormat="1" x14ac:dyDescent="0.2">
      <c r="E167" s="128"/>
      <c r="G167" s="131"/>
    </row>
    <row r="168" spans="2:8" s="121" customFormat="1" x14ac:dyDescent="0.2">
      <c r="E168" s="128"/>
      <c r="G168" s="131"/>
    </row>
    <row r="169" spans="2:8" s="121" customFormat="1" x14ac:dyDescent="0.2">
      <c r="E169" s="128"/>
      <c r="G169" s="131"/>
      <c r="H169" s="136"/>
    </row>
    <row r="170" spans="2:8" s="121" customFormat="1" x14ac:dyDescent="0.2">
      <c r="E170" s="128"/>
      <c r="G170" s="131"/>
    </row>
    <row r="171" spans="2:8" s="121" customFormat="1" x14ac:dyDescent="0.2">
      <c r="E171" s="128"/>
      <c r="G171" s="131"/>
    </row>
    <row r="172" spans="2:8" s="121" customFormat="1" x14ac:dyDescent="0.2">
      <c r="E172" s="128"/>
      <c r="G172" s="131"/>
    </row>
    <row r="173" spans="2:8" s="121" customFormat="1" x14ac:dyDescent="0.2">
      <c r="E173" s="128"/>
      <c r="G173" s="131"/>
    </row>
    <row r="174" spans="2:8" s="121" customFormat="1" x14ac:dyDescent="0.2">
      <c r="E174" s="128"/>
      <c r="G174" s="131"/>
    </row>
    <row r="175" spans="2:8" s="121" customFormat="1" x14ac:dyDescent="0.2">
      <c r="E175" s="128"/>
      <c r="G175" s="131"/>
    </row>
    <row r="176" spans="2:8" s="121" customFormat="1" x14ac:dyDescent="0.2">
      <c r="E176" s="128"/>
      <c r="G176" s="131"/>
    </row>
    <row r="177" spans="5:7" s="121" customFormat="1" x14ac:dyDescent="0.2">
      <c r="E177" s="128"/>
      <c r="G177" s="131"/>
    </row>
    <row r="178" spans="5:7" s="121" customFormat="1" x14ac:dyDescent="0.2">
      <c r="E178" s="128"/>
      <c r="G178" s="131"/>
    </row>
    <row r="179" spans="5:7" s="121" customFormat="1" x14ac:dyDescent="0.2">
      <c r="E179" s="128"/>
      <c r="G179" s="131"/>
    </row>
    <row r="180" spans="5:7" s="121" customFormat="1" x14ac:dyDescent="0.2">
      <c r="E180" s="128"/>
      <c r="G180" s="131"/>
    </row>
    <row r="181" spans="5:7" s="121" customFormat="1" x14ac:dyDescent="0.2">
      <c r="E181" s="128"/>
      <c r="G181" s="131"/>
    </row>
    <row r="182" spans="5:7" s="121" customFormat="1" x14ac:dyDescent="0.2">
      <c r="E182" s="128"/>
      <c r="G182" s="131"/>
    </row>
    <row r="183" spans="5:7" s="121" customFormat="1" x14ac:dyDescent="0.2">
      <c r="E183" s="128"/>
      <c r="G183" s="131"/>
    </row>
    <row r="184" spans="5:7" s="121" customFormat="1" x14ac:dyDescent="0.2">
      <c r="E184" s="128"/>
      <c r="G184" s="131"/>
    </row>
    <row r="185" spans="5:7" s="121" customFormat="1" x14ac:dyDescent="0.2">
      <c r="E185" s="128"/>
      <c r="G185" s="131"/>
    </row>
    <row r="186" spans="5:7" s="121" customFormat="1" x14ac:dyDescent="0.2">
      <c r="E186" s="128"/>
      <c r="G186" s="131"/>
    </row>
    <row r="187" spans="5:7" s="121" customFormat="1" x14ac:dyDescent="0.2">
      <c r="E187" s="128"/>
      <c r="G187" s="131"/>
    </row>
    <row r="188" spans="5:7" s="121" customFormat="1" x14ac:dyDescent="0.2">
      <c r="E188" s="128"/>
      <c r="G188" s="131"/>
    </row>
    <row r="189" spans="5:7" s="121" customFormat="1" x14ac:dyDescent="0.2">
      <c r="E189" s="128"/>
      <c r="G189" s="131"/>
    </row>
    <row r="190" spans="5:7" s="121" customFormat="1" x14ac:dyDescent="0.2">
      <c r="E190" s="128"/>
      <c r="G190" s="131"/>
    </row>
    <row r="191" spans="5:7" s="121" customFormat="1" x14ac:dyDescent="0.2">
      <c r="E191" s="128"/>
      <c r="G191" s="131"/>
    </row>
    <row r="192" spans="5:7" s="121" customFormat="1" x14ac:dyDescent="0.2">
      <c r="E192" s="128"/>
      <c r="G192" s="131"/>
    </row>
    <row r="193" spans="5:7" s="121" customFormat="1" x14ac:dyDescent="0.2">
      <c r="E193" s="128"/>
      <c r="G193" s="131"/>
    </row>
    <row r="194" spans="5:7" s="121" customFormat="1" x14ac:dyDescent="0.2">
      <c r="E194" s="128"/>
      <c r="G194" s="131"/>
    </row>
    <row r="195" spans="5:7" s="121" customFormat="1" x14ac:dyDescent="0.2">
      <c r="E195" s="128"/>
      <c r="G195" s="131"/>
    </row>
    <row r="196" spans="5:7" s="121" customFormat="1" x14ac:dyDescent="0.2">
      <c r="E196" s="128"/>
      <c r="G196" s="131"/>
    </row>
    <row r="197" spans="5:7" s="121" customFormat="1" x14ac:dyDescent="0.2">
      <c r="E197" s="128"/>
      <c r="G197" s="131"/>
    </row>
    <row r="198" spans="5:7" s="121" customFormat="1" x14ac:dyDescent="0.2">
      <c r="E198" s="128"/>
      <c r="G198" s="131"/>
    </row>
    <row r="199" spans="5:7" s="121" customFormat="1" x14ac:dyDescent="0.2">
      <c r="E199" s="128"/>
      <c r="G199" s="131"/>
    </row>
    <row r="200" spans="5:7" s="121" customFormat="1" x14ac:dyDescent="0.2">
      <c r="E200" s="128"/>
      <c r="G200" s="131"/>
    </row>
    <row r="201" spans="5:7" s="121" customFormat="1" x14ac:dyDescent="0.2">
      <c r="E201" s="128"/>
      <c r="G201" s="131"/>
    </row>
    <row r="202" spans="5:7" s="121" customFormat="1" x14ac:dyDescent="0.2">
      <c r="E202" s="128"/>
      <c r="G202" s="131"/>
    </row>
    <row r="203" spans="5:7" s="121" customFormat="1" x14ac:dyDescent="0.2">
      <c r="E203" s="128"/>
      <c r="G203" s="131"/>
    </row>
    <row r="204" spans="5:7" s="121" customFormat="1" x14ac:dyDescent="0.2">
      <c r="E204" s="128"/>
      <c r="G204" s="131"/>
    </row>
    <row r="205" spans="5:7" s="121" customFormat="1" x14ac:dyDescent="0.2">
      <c r="E205" s="128"/>
      <c r="G205" s="131"/>
    </row>
    <row r="206" spans="5:7" s="121" customFormat="1" x14ac:dyDescent="0.2">
      <c r="E206" s="128"/>
      <c r="G206" s="131"/>
    </row>
    <row r="207" spans="5:7" s="121" customFormat="1" x14ac:dyDescent="0.2">
      <c r="E207" s="128"/>
      <c r="G207" s="131"/>
    </row>
    <row r="208" spans="5:7" s="121" customFormat="1" x14ac:dyDescent="0.2">
      <c r="E208" s="128"/>
      <c r="G208" s="131"/>
    </row>
    <row r="209" spans="5:7" s="121" customFormat="1" x14ac:dyDescent="0.2">
      <c r="E209" s="128"/>
      <c r="G209" s="131"/>
    </row>
    <row r="210" spans="5:7" s="121" customFormat="1" x14ac:dyDescent="0.2">
      <c r="E210" s="128"/>
      <c r="G210" s="131"/>
    </row>
    <row r="211" spans="5:7" s="121" customFormat="1" x14ac:dyDescent="0.2">
      <c r="E211" s="128"/>
      <c r="G211" s="131"/>
    </row>
    <row r="212" spans="5:7" s="121" customFormat="1" x14ac:dyDescent="0.2">
      <c r="E212" s="128"/>
      <c r="G212" s="131"/>
    </row>
    <row r="213" spans="5:7" s="121" customFormat="1" x14ac:dyDescent="0.2">
      <c r="E213" s="128"/>
      <c r="G213" s="131"/>
    </row>
    <row r="214" spans="5:7" s="121" customFormat="1" x14ac:dyDescent="0.2">
      <c r="E214" s="128"/>
      <c r="G214" s="131"/>
    </row>
    <row r="215" spans="5:7" s="121" customFormat="1" x14ac:dyDescent="0.2">
      <c r="E215" s="128"/>
      <c r="G215" s="131"/>
    </row>
    <row r="216" spans="5:7" s="121" customFormat="1" x14ac:dyDescent="0.2">
      <c r="E216" s="128"/>
      <c r="G216" s="131"/>
    </row>
    <row r="217" spans="5:7" s="121" customFormat="1" x14ac:dyDescent="0.2">
      <c r="E217" s="128"/>
      <c r="G217" s="131"/>
    </row>
    <row r="218" spans="5:7" s="121" customFormat="1" x14ac:dyDescent="0.2">
      <c r="E218" s="128"/>
      <c r="G218" s="131"/>
    </row>
    <row r="219" spans="5:7" s="121" customFormat="1" x14ac:dyDescent="0.2">
      <c r="E219" s="128"/>
      <c r="G219" s="131"/>
    </row>
    <row r="220" spans="5:7" s="121" customFormat="1" x14ac:dyDescent="0.2">
      <c r="E220" s="128"/>
      <c r="G220" s="131"/>
    </row>
    <row r="221" spans="5:7" s="121" customFormat="1" x14ac:dyDescent="0.2">
      <c r="E221" s="128"/>
      <c r="G221" s="131"/>
    </row>
    <row r="222" spans="5:7" s="121" customFormat="1" x14ac:dyDescent="0.2">
      <c r="E222" s="128"/>
      <c r="G222" s="131"/>
    </row>
    <row r="223" spans="5:7" s="121" customFormat="1" x14ac:dyDescent="0.2">
      <c r="E223" s="128"/>
      <c r="G223" s="131"/>
    </row>
    <row r="224" spans="5:7" s="121" customFormat="1" x14ac:dyDescent="0.2">
      <c r="E224" s="128"/>
      <c r="G224" s="131"/>
    </row>
    <row r="225" spans="5:7" s="121" customFormat="1" x14ac:dyDescent="0.2">
      <c r="E225" s="128"/>
      <c r="G225" s="131"/>
    </row>
    <row r="226" spans="5:7" s="121" customFormat="1" x14ac:dyDescent="0.2">
      <c r="E226" s="128"/>
      <c r="G226" s="131"/>
    </row>
    <row r="227" spans="5:7" s="121" customFormat="1" x14ac:dyDescent="0.2">
      <c r="E227" s="128"/>
      <c r="G227" s="131"/>
    </row>
    <row r="228" spans="5:7" s="121" customFormat="1" x14ac:dyDescent="0.2">
      <c r="E228" s="128"/>
      <c r="G228" s="131"/>
    </row>
    <row r="229" spans="5:7" s="121" customFormat="1" x14ac:dyDescent="0.2">
      <c r="E229" s="128"/>
      <c r="G229" s="131"/>
    </row>
    <row r="230" spans="5:7" s="121" customFormat="1" x14ac:dyDescent="0.2">
      <c r="E230" s="128"/>
      <c r="G230" s="131"/>
    </row>
    <row r="231" spans="5:7" s="121" customFormat="1" x14ac:dyDescent="0.2">
      <c r="E231" s="128"/>
      <c r="G231" s="131"/>
    </row>
    <row r="232" spans="5:7" s="121" customFormat="1" x14ac:dyDescent="0.2">
      <c r="E232" s="128"/>
      <c r="G232" s="131"/>
    </row>
    <row r="233" spans="5:7" s="121" customFormat="1" x14ac:dyDescent="0.2">
      <c r="E233" s="128"/>
      <c r="G233" s="131"/>
    </row>
    <row r="234" spans="5:7" s="121" customFormat="1" x14ac:dyDescent="0.2">
      <c r="E234" s="128"/>
      <c r="G234" s="131"/>
    </row>
    <row r="235" spans="5:7" s="121" customFormat="1" x14ac:dyDescent="0.2">
      <c r="E235" s="128"/>
      <c r="G235" s="131"/>
    </row>
    <row r="236" spans="5:7" s="121" customFormat="1" x14ac:dyDescent="0.2">
      <c r="E236" s="128"/>
      <c r="G236" s="131"/>
    </row>
    <row r="237" spans="5:7" s="121" customFormat="1" x14ac:dyDescent="0.2">
      <c r="E237" s="128"/>
      <c r="G237" s="131"/>
    </row>
    <row r="238" spans="5:7" s="121" customFormat="1" x14ac:dyDescent="0.2">
      <c r="E238" s="128"/>
      <c r="G238" s="131"/>
    </row>
    <row r="239" spans="5:7" s="121" customFormat="1" x14ac:dyDescent="0.2">
      <c r="E239" s="128"/>
      <c r="G239" s="131"/>
    </row>
    <row r="240" spans="5:7" s="121" customFormat="1" x14ac:dyDescent="0.2">
      <c r="E240" s="128"/>
      <c r="G240" s="131"/>
    </row>
    <row r="241" spans="5:7" s="121" customFormat="1" x14ac:dyDescent="0.2">
      <c r="E241" s="128"/>
      <c r="G241" s="131"/>
    </row>
    <row r="242" spans="5:7" s="121" customFormat="1" x14ac:dyDescent="0.2">
      <c r="E242" s="128"/>
      <c r="G242" s="131"/>
    </row>
    <row r="243" spans="5:7" s="121" customFormat="1" x14ac:dyDescent="0.2">
      <c r="E243" s="128"/>
      <c r="G243" s="131"/>
    </row>
    <row r="244" spans="5:7" s="121" customFormat="1" x14ac:dyDescent="0.2">
      <c r="E244" s="128"/>
      <c r="G244" s="131"/>
    </row>
    <row r="245" spans="5:7" s="121" customFormat="1" x14ac:dyDescent="0.2">
      <c r="E245" s="128"/>
      <c r="G245" s="131"/>
    </row>
    <row r="246" spans="5:7" s="121" customFormat="1" x14ac:dyDescent="0.2">
      <c r="E246" s="128"/>
      <c r="G246" s="131"/>
    </row>
    <row r="247" spans="5:7" s="121" customFormat="1" x14ac:dyDescent="0.2">
      <c r="E247" s="128"/>
      <c r="G247" s="131"/>
    </row>
    <row r="248" spans="5:7" s="121" customFormat="1" x14ac:dyDescent="0.2">
      <c r="E248" s="128"/>
      <c r="G248" s="131"/>
    </row>
    <row r="249" spans="5:7" s="121" customFormat="1" x14ac:dyDescent="0.2">
      <c r="E249" s="128"/>
      <c r="G249" s="131"/>
    </row>
    <row r="250" spans="5:7" s="121" customFormat="1" x14ac:dyDescent="0.2">
      <c r="E250" s="128"/>
      <c r="G250" s="131"/>
    </row>
    <row r="251" spans="5:7" s="121" customFormat="1" x14ac:dyDescent="0.2">
      <c r="E251" s="128"/>
      <c r="G251" s="131"/>
    </row>
    <row r="252" spans="5:7" s="121" customFormat="1" x14ac:dyDescent="0.2">
      <c r="E252" s="128"/>
      <c r="G252" s="131"/>
    </row>
    <row r="253" spans="5:7" s="121" customFormat="1" x14ac:dyDescent="0.2">
      <c r="E253" s="128"/>
      <c r="G253" s="131"/>
    </row>
    <row r="254" spans="5:7" s="121" customFormat="1" x14ac:dyDescent="0.2">
      <c r="E254" s="128"/>
      <c r="G254" s="131"/>
    </row>
    <row r="255" spans="5:7" s="121" customFormat="1" x14ac:dyDescent="0.2">
      <c r="E255" s="128"/>
      <c r="G255" s="131"/>
    </row>
    <row r="256" spans="5:7" s="121" customFormat="1" x14ac:dyDescent="0.2">
      <c r="E256" s="128"/>
      <c r="G256" s="131"/>
    </row>
    <row r="257" spans="5:7" s="121" customFormat="1" x14ac:dyDescent="0.2">
      <c r="E257" s="128"/>
      <c r="G257" s="131"/>
    </row>
    <row r="258" spans="5:7" s="121" customFormat="1" x14ac:dyDescent="0.2">
      <c r="E258" s="128"/>
      <c r="G258" s="131"/>
    </row>
    <row r="259" spans="5:7" s="121" customFormat="1" x14ac:dyDescent="0.2">
      <c r="E259" s="128"/>
      <c r="G259" s="131"/>
    </row>
    <row r="260" spans="5:7" s="121" customFormat="1" x14ac:dyDescent="0.2">
      <c r="E260" s="128"/>
      <c r="G260" s="131"/>
    </row>
    <row r="261" spans="5:7" s="121" customFormat="1" x14ac:dyDescent="0.2">
      <c r="E261" s="128"/>
      <c r="G261" s="131"/>
    </row>
    <row r="262" spans="5:7" s="121" customFormat="1" x14ac:dyDescent="0.2">
      <c r="E262" s="128"/>
      <c r="G262" s="131"/>
    </row>
    <row r="263" spans="5:7" s="121" customFormat="1" x14ac:dyDescent="0.2">
      <c r="E263" s="128"/>
      <c r="G263" s="131"/>
    </row>
    <row r="264" spans="5:7" s="121" customFormat="1" x14ac:dyDescent="0.2">
      <c r="E264" s="128"/>
      <c r="G264" s="131"/>
    </row>
    <row r="265" spans="5:7" s="121" customFormat="1" x14ac:dyDescent="0.2">
      <c r="E265" s="128"/>
      <c r="G265" s="131"/>
    </row>
    <row r="266" spans="5:7" s="121" customFormat="1" x14ac:dyDescent="0.2">
      <c r="E266" s="128"/>
      <c r="G266" s="131"/>
    </row>
    <row r="267" spans="5:7" s="121" customFormat="1" x14ac:dyDescent="0.2">
      <c r="E267" s="128"/>
      <c r="G267" s="131"/>
    </row>
    <row r="268" spans="5:7" s="121" customFormat="1" x14ac:dyDescent="0.2">
      <c r="E268" s="128"/>
      <c r="G268" s="131"/>
    </row>
    <row r="269" spans="5:7" s="121" customFormat="1" x14ac:dyDescent="0.2">
      <c r="E269" s="128"/>
      <c r="G269" s="131"/>
    </row>
    <row r="270" spans="5:7" s="121" customFormat="1" x14ac:dyDescent="0.2">
      <c r="E270" s="128"/>
      <c r="G270" s="131"/>
    </row>
    <row r="271" spans="5:7" s="121" customFormat="1" x14ac:dyDescent="0.2">
      <c r="E271" s="128"/>
      <c r="G271" s="131"/>
    </row>
    <row r="272" spans="5:7" s="121" customFormat="1" x14ac:dyDescent="0.2">
      <c r="E272" s="128"/>
      <c r="G272" s="131"/>
    </row>
    <row r="273" spans="5:7" s="121" customFormat="1" x14ac:dyDescent="0.2">
      <c r="E273" s="128"/>
      <c r="G273" s="131"/>
    </row>
    <row r="274" spans="5:7" s="121" customFormat="1" x14ac:dyDescent="0.2">
      <c r="E274" s="128"/>
      <c r="G274" s="131"/>
    </row>
    <row r="275" spans="5:7" s="121" customFormat="1" x14ac:dyDescent="0.2">
      <c r="E275" s="128"/>
      <c r="G275" s="131"/>
    </row>
    <row r="276" spans="5:7" s="121" customFormat="1" x14ac:dyDescent="0.2">
      <c r="E276" s="128"/>
      <c r="G276" s="131"/>
    </row>
    <row r="277" spans="5:7" s="121" customFormat="1" x14ac:dyDescent="0.2">
      <c r="E277" s="128"/>
      <c r="G277" s="131"/>
    </row>
    <row r="278" spans="5:7" s="121" customFormat="1" x14ac:dyDescent="0.2">
      <c r="E278" s="128"/>
      <c r="G278" s="131"/>
    </row>
    <row r="279" spans="5:7" s="121" customFormat="1" x14ac:dyDescent="0.2">
      <c r="E279" s="128"/>
      <c r="G279" s="131"/>
    </row>
    <row r="280" spans="5:7" s="121" customFormat="1" x14ac:dyDescent="0.2">
      <c r="E280" s="128"/>
      <c r="G280" s="131"/>
    </row>
    <row r="281" spans="5:7" s="121" customFormat="1" x14ac:dyDescent="0.2">
      <c r="E281" s="128"/>
      <c r="G281" s="131"/>
    </row>
    <row r="282" spans="5:7" s="121" customFormat="1" x14ac:dyDescent="0.2">
      <c r="E282" s="128"/>
      <c r="G282" s="131"/>
    </row>
    <row r="283" spans="5:7" s="121" customFormat="1" x14ac:dyDescent="0.2">
      <c r="E283" s="128"/>
      <c r="G283" s="131"/>
    </row>
    <row r="284" spans="5:7" s="121" customFormat="1" x14ac:dyDescent="0.2">
      <c r="E284" s="128"/>
      <c r="G284" s="131"/>
    </row>
    <row r="285" spans="5:7" s="121" customFormat="1" x14ac:dyDescent="0.2">
      <c r="E285" s="128"/>
      <c r="G285" s="131"/>
    </row>
    <row r="286" spans="5:7" s="121" customFormat="1" x14ac:dyDescent="0.2">
      <c r="E286" s="128"/>
      <c r="G286" s="131"/>
    </row>
    <row r="287" spans="5:7" s="121" customFormat="1" x14ac:dyDescent="0.2">
      <c r="E287" s="128"/>
      <c r="G287" s="131"/>
    </row>
    <row r="288" spans="5:7" s="121" customFormat="1" x14ac:dyDescent="0.2">
      <c r="E288" s="128"/>
      <c r="G288" s="131"/>
    </row>
    <row r="289" spans="5:7" s="121" customFormat="1" x14ac:dyDescent="0.2">
      <c r="E289" s="128"/>
      <c r="G289" s="131"/>
    </row>
    <row r="290" spans="5:7" s="121" customFormat="1" x14ac:dyDescent="0.2">
      <c r="E290" s="128"/>
      <c r="G290" s="131"/>
    </row>
    <row r="291" spans="5:7" s="121" customFormat="1" x14ac:dyDescent="0.2">
      <c r="E291" s="128"/>
      <c r="G291" s="131"/>
    </row>
    <row r="292" spans="5:7" s="121" customFormat="1" x14ac:dyDescent="0.2">
      <c r="E292" s="128"/>
      <c r="G292" s="131"/>
    </row>
    <row r="293" spans="5:7" s="121" customFormat="1" x14ac:dyDescent="0.2">
      <c r="E293" s="128"/>
      <c r="G293" s="131"/>
    </row>
    <row r="294" spans="5:7" s="121" customFormat="1" x14ac:dyDescent="0.2">
      <c r="E294" s="128"/>
      <c r="G294" s="131"/>
    </row>
    <row r="295" spans="5:7" s="121" customFormat="1" x14ac:dyDescent="0.2">
      <c r="E295" s="128"/>
      <c r="G295" s="131"/>
    </row>
    <row r="296" spans="5:7" s="121" customFormat="1" x14ac:dyDescent="0.2">
      <c r="E296" s="128"/>
      <c r="G296" s="131"/>
    </row>
    <row r="297" spans="5:7" s="121" customFormat="1" x14ac:dyDescent="0.2">
      <c r="E297" s="128"/>
      <c r="G297" s="131"/>
    </row>
    <row r="298" spans="5:7" s="121" customFormat="1" x14ac:dyDescent="0.2">
      <c r="E298" s="128"/>
      <c r="G298" s="131"/>
    </row>
    <row r="299" spans="5:7" s="121" customFormat="1" x14ac:dyDescent="0.2">
      <c r="E299" s="128"/>
      <c r="G299" s="131"/>
    </row>
    <row r="300" spans="5:7" s="121" customFormat="1" x14ac:dyDescent="0.2">
      <c r="E300" s="128"/>
      <c r="G300" s="131"/>
    </row>
    <row r="301" spans="5:7" s="121" customFormat="1" x14ac:dyDescent="0.2">
      <c r="E301" s="128"/>
      <c r="G301" s="131"/>
    </row>
    <row r="302" spans="5:7" s="121" customFormat="1" x14ac:dyDescent="0.2">
      <c r="E302" s="128"/>
      <c r="G302" s="131"/>
    </row>
    <row r="303" spans="5:7" s="121" customFormat="1" x14ac:dyDescent="0.2">
      <c r="E303" s="128"/>
      <c r="G303" s="131"/>
    </row>
    <row r="304" spans="5:7" s="121" customFormat="1" x14ac:dyDescent="0.2">
      <c r="E304" s="128"/>
      <c r="G304" s="131"/>
    </row>
    <row r="305" spans="5:7" s="121" customFormat="1" x14ac:dyDescent="0.2">
      <c r="E305" s="128"/>
      <c r="G305" s="131"/>
    </row>
    <row r="306" spans="5:7" s="121" customFormat="1" x14ac:dyDescent="0.2">
      <c r="E306" s="128"/>
      <c r="G306" s="131"/>
    </row>
    <row r="307" spans="5:7" s="121" customFormat="1" x14ac:dyDescent="0.2">
      <c r="E307" s="128"/>
      <c r="G307" s="131"/>
    </row>
    <row r="308" spans="5:7" s="121" customFormat="1" x14ac:dyDescent="0.2">
      <c r="E308" s="128"/>
      <c r="G308" s="131"/>
    </row>
    <row r="309" spans="5:7" s="121" customFormat="1" x14ac:dyDescent="0.2">
      <c r="E309" s="128"/>
      <c r="G309" s="131"/>
    </row>
    <row r="310" spans="5:7" s="121" customFormat="1" x14ac:dyDescent="0.2">
      <c r="E310" s="128"/>
      <c r="G310" s="131"/>
    </row>
    <row r="311" spans="5:7" s="121" customFormat="1" x14ac:dyDescent="0.2">
      <c r="E311" s="128"/>
      <c r="G311" s="131"/>
    </row>
    <row r="312" spans="5:7" s="121" customFormat="1" x14ac:dyDescent="0.2">
      <c r="E312" s="128"/>
      <c r="G312" s="131"/>
    </row>
    <row r="313" spans="5:7" s="121" customFormat="1" x14ac:dyDescent="0.2">
      <c r="E313" s="128"/>
      <c r="G313" s="131"/>
    </row>
    <row r="314" spans="5:7" s="121" customFormat="1" x14ac:dyDescent="0.2">
      <c r="E314" s="128"/>
      <c r="G314" s="131"/>
    </row>
    <row r="315" spans="5:7" s="121" customFormat="1" x14ac:dyDescent="0.2">
      <c r="E315" s="128"/>
      <c r="G315" s="131"/>
    </row>
    <row r="316" spans="5:7" s="121" customFormat="1" x14ac:dyDescent="0.2">
      <c r="E316" s="128"/>
      <c r="G316" s="131"/>
    </row>
    <row r="317" spans="5:7" s="121" customFormat="1" x14ac:dyDescent="0.2">
      <c r="E317" s="128"/>
      <c r="G317" s="131"/>
    </row>
    <row r="318" spans="5:7" s="121" customFormat="1" x14ac:dyDescent="0.2">
      <c r="E318" s="128"/>
      <c r="G318" s="131"/>
    </row>
    <row r="319" spans="5:7" s="121" customFormat="1" x14ac:dyDescent="0.2">
      <c r="E319" s="128"/>
      <c r="G319" s="131"/>
    </row>
    <row r="320" spans="5:7" s="121" customFormat="1" x14ac:dyDescent="0.2">
      <c r="E320" s="128"/>
      <c r="G320" s="131"/>
    </row>
    <row r="321" spans="5:7" s="121" customFormat="1" x14ac:dyDescent="0.2">
      <c r="E321" s="128"/>
      <c r="G321" s="131"/>
    </row>
    <row r="322" spans="5:7" s="121" customFormat="1" x14ac:dyDescent="0.2">
      <c r="E322" s="128"/>
      <c r="G322" s="131"/>
    </row>
    <row r="323" spans="5:7" s="121" customFormat="1" x14ac:dyDescent="0.2">
      <c r="E323" s="128"/>
      <c r="G323" s="131"/>
    </row>
    <row r="324" spans="5:7" s="121" customFormat="1" x14ac:dyDescent="0.2">
      <c r="E324" s="128"/>
      <c r="G324" s="131"/>
    </row>
    <row r="325" spans="5:7" s="121" customFormat="1" x14ac:dyDescent="0.2">
      <c r="E325" s="128"/>
      <c r="G325" s="131"/>
    </row>
    <row r="326" spans="5:7" s="121" customFormat="1" x14ac:dyDescent="0.2">
      <c r="E326" s="128"/>
      <c r="G326" s="131"/>
    </row>
    <row r="327" spans="5:7" s="121" customFormat="1" x14ac:dyDescent="0.2">
      <c r="E327" s="128"/>
      <c r="G327" s="131"/>
    </row>
    <row r="328" spans="5:7" s="121" customFormat="1" x14ac:dyDescent="0.2">
      <c r="E328" s="128"/>
      <c r="G328" s="131"/>
    </row>
    <row r="329" spans="5:7" s="121" customFormat="1" x14ac:dyDescent="0.2">
      <c r="E329" s="128"/>
      <c r="G329" s="131"/>
    </row>
    <row r="330" spans="5:7" s="121" customFormat="1" x14ac:dyDescent="0.2">
      <c r="E330" s="128"/>
      <c r="G330" s="131"/>
    </row>
    <row r="331" spans="5:7" s="121" customFormat="1" x14ac:dyDescent="0.2">
      <c r="E331" s="128"/>
      <c r="G331" s="131"/>
    </row>
    <row r="332" spans="5:7" s="121" customFormat="1" x14ac:dyDescent="0.2">
      <c r="E332" s="128"/>
      <c r="G332" s="131"/>
    </row>
    <row r="333" spans="5:7" s="121" customFormat="1" x14ac:dyDescent="0.2">
      <c r="E333" s="128"/>
      <c r="G333" s="131"/>
    </row>
    <row r="334" spans="5:7" s="121" customFormat="1" x14ac:dyDescent="0.2">
      <c r="E334" s="128"/>
      <c r="G334" s="131"/>
    </row>
    <row r="335" spans="5:7" s="121" customFormat="1" x14ac:dyDescent="0.2">
      <c r="E335" s="128"/>
      <c r="G335" s="131"/>
    </row>
    <row r="336" spans="5:7" s="121" customFormat="1" x14ac:dyDescent="0.2">
      <c r="E336" s="128"/>
      <c r="G336" s="131"/>
    </row>
    <row r="337" spans="5:7" s="121" customFormat="1" x14ac:dyDescent="0.2">
      <c r="E337" s="128"/>
      <c r="G337" s="131"/>
    </row>
    <row r="338" spans="5:7" s="121" customFormat="1" x14ac:dyDescent="0.2">
      <c r="E338" s="128"/>
      <c r="G338" s="131"/>
    </row>
    <row r="339" spans="5:7" s="121" customFormat="1" x14ac:dyDescent="0.2">
      <c r="E339" s="128"/>
      <c r="G339" s="131"/>
    </row>
    <row r="340" spans="5:7" s="121" customFormat="1" x14ac:dyDescent="0.2">
      <c r="E340" s="128"/>
      <c r="G340" s="131"/>
    </row>
    <row r="341" spans="5:7" s="121" customFormat="1" x14ac:dyDescent="0.2">
      <c r="E341" s="128"/>
      <c r="G341" s="131"/>
    </row>
    <row r="342" spans="5:7" s="121" customFormat="1" x14ac:dyDescent="0.2">
      <c r="E342" s="128"/>
      <c r="G342" s="131"/>
    </row>
    <row r="343" spans="5:7" s="121" customFormat="1" x14ac:dyDescent="0.2">
      <c r="E343" s="128"/>
      <c r="G343" s="131"/>
    </row>
    <row r="344" spans="5:7" s="121" customFormat="1" x14ac:dyDescent="0.2">
      <c r="E344" s="128"/>
      <c r="G344" s="131"/>
    </row>
    <row r="345" spans="5:7" s="121" customFormat="1" x14ac:dyDescent="0.2">
      <c r="E345" s="128"/>
      <c r="G345" s="131"/>
    </row>
    <row r="346" spans="5:7" s="121" customFormat="1" x14ac:dyDescent="0.2">
      <c r="E346" s="128"/>
      <c r="G346" s="131"/>
    </row>
    <row r="347" spans="5:7" s="121" customFormat="1" x14ac:dyDescent="0.2">
      <c r="E347" s="128"/>
      <c r="G347" s="131"/>
    </row>
    <row r="348" spans="5:7" s="121" customFormat="1" x14ac:dyDescent="0.2">
      <c r="E348" s="128"/>
      <c r="G348" s="131"/>
    </row>
    <row r="349" spans="5:7" s="121" customFormat="1" x14ac:dyDescent="0.2">
      <c r="E349" s="128"/>
      <c r="G349" s="131"/>
    </row>
    <row r="350" spans="5:7" s="121" customFormat="1" x14ac:dyDescent="0.2">
      <c r="E350" s="128"/>
      <c r="G350" s="131"/>
    </row>
    <row r="351" spans="5:7" s="121" customFormat="1" x14ac:dyDescent="0.2">
      <c r="E351" s="128"/>
      <c r="G351" s="131"/>
    </row>
    <row r="352" spans="5:7" s="121" customFormat="1" x14ac:dyDescent="0.2">
      <c r="E352" s="128"/>
      <c r="G352" s="131"/>
    </row>
    <row r="353" spans="5:7" s="121" customFormat="1" x14ac:dyDescent="0.2">
      <c r="E353" s="128"/>
      <c r="G353" s="131"/>
    </row>
    <row r="354" spans="5:7" s="121" customFormat="1" x14ac:dyDescent="0.2">
      <c r="E354" s="128"/>
      <c r="G354" s="131"/>
    </row>
    <row r="355" spans="5:7" s="121" customFormat="1" x14ac:dyDescent="0.2">
      <c r="E355" s="128"/>
      <c r="G355" s="131"/>
    </row>
    <row r="356" spans="5:7" s="121" customFormat="1" x14ac:dyDescent="0.2">
      <c r="E356" s="128"/>
      <c r="G356" s="131"/>
    </row>
    <row r="357" spans="5:7" s="121" customFormat="1" x14ac:dyDescent="0.2">
      <c r="E357" s="128"/>
      <c r="G357" s="131"/>
    </row>
    <row r="358" spans="5:7" s="121" customFormat="1" x14ac:dyDescent="0.2">
      <c r="E358" s="128"/>
      <c r="G358" s="131"/>
    </row>
    <row r="359" spans="5:7" s="121" customFormat="1" x14ac:dyDescent="0.2">
      <c r="E359" s="128"/>
      <c r="G359" s="131"/>
    </row>
    <row r="360" spans="5:7" s="121" customFormat="1" x14ac:dyDescent="0.2">
      <c r="E360" s="128"/>
      <c r="G360" s="131"/>
    </row>
    <row r="361" spans="5:7" s="121" customFormat="1" x14ac:dyDescent="0.2">
      <c r="E361" s="128"/>
      <c r="G361" s="131"/>
    </row>
    <row r="362" spans="5:7" s="121" customFormat="1" x14ac:dyDescent="0.2">
      <c r="E362" s="128"/>
      <c r="G362" s="131"/>
    </row>
    <row r="363" spans="5:7" s="121" customFormat="1" x14ac:dyDescent="0.2">
      <c r="E363" s="128"/>
      <c r="G363" s="131"/>
    </row>
    <row r="364" spans="5:7" s="121" customFormat="1" x14ac:dyDescent="0.2">
      <c r="E364" s="128"/>
      <c r="G364" s="131"/>
    </row>
    <row r="365" spans="5:7" s="121" customFormat="1" x14ac:dyDescent="0.2">
      <c r="E365" s="128"/>
      <c r="G365" s="131"/>
    </row>
    <row r="366" spans="5:7" s="121" customFormat="1" x14ac:dyDescent="0.2">
      <c r="E366" s="128"/>
      <c r="G366" s="131"/>
    </row>
    <row r="367" spans="5:7" s="121" customFormat="1" x14ac:dyDescent="0.2">
      <c r="E367" s="128"/>
      <c r="G367" s="131"/>
    </row>
    <row r="368" spans="5:7" s="121" customFormat="1" x14ac:dyDescent="0.2">
      <c r="E368" s="128"/>
      <c r="G368" s="131"/>
    </row>
    <row r="369" spans="5:7" s="121" customFormat="1" x14ac:dyDescent="0.2">
      <c r="E369" s="128"/>
      <c r="G369" s="131"/>
    </row>
    <row r="370" spans="5:7" s="121" customFormat="1" x14ac:dyDescent="0.2">
      <c r="E370" s="128"/>
      <c r="G370" s="131"/>
    </row>
    <row r="371" spans="5:7" s="121" customFormat="1" x14ac:dyDescent="0.2">
      <c r="E371" s="128"/>
      <c r="G371" s="131"/>
    </row>
    <row r="372" spans="5:7" s="121" customFormat="1" x14ac:dyDescent="0.2">
      <c r="E372" s="128"/>
      <c r="G372" s="131"/>
    </row>
    <row r="373" spans="5:7" s="121" customFormat="1" x14ac:dyDescent="0.2">
      <c r="E373" s="128"/>
      <c r="G373" s="131"/>
    </row>
    <row r="374" spans="5:7" s="121" customFormat="1" x14ac:dyDescent="0.2">
      <c r="E374" s="128"/>
      <c r="G374" s="131"/>
    </row>
    <row r="375" spans="5:7" s="121" customFormat="1" x14ac:dyDescent="0.2">
      <c r="E375" s="128"/>
      <c r="G375" s="131"/>
    </row>
    <row r="376" spans="5:7" s="121" customFormat="1" x14ac:dyDescent="0.2">
      <c r="E376" s="128"/>
      <c r="G376" s="131"/>
    </row>
    <row r="377" spans="5:7" s="121" customFormat="1" x14ac:dyDescent="0.2">
      <c r="E377" s="128"/>
      <c r="G377" s="131"/>
    </row>
    <row r="378" spans="5:7" s="121" customFormat="1" x14ac:dyDescent="0.2">
      <c r="E378" s="128"/>
      <c r="G378" s="131"/>
    </row>
    <row r="379" spans="5:7" s="121" customFormat="1" x14ac:dyDescent="0.2">
      <c r="E379" s="128"/>
      <c r="G379" s="131"/>
    </row>
    <row r="380" spans="5:7" s="121" customFormat="1" x14ac:dyDescent="0.2">
      <c r="E380" s="128"/>
      <c r="G380" s="131"/>
    </row>
    <row r="381" spans="5:7" s="121" customFormat="1" x14ac:dyDescent="0.2">
      <c r="E381" s="128"/>
      <c r="G381" s="131"/>
    </row>
    <row r="382" spans="5:7" s="121" customFormat="1" x14ac:dyDescent="0.2">
      <c r="E382" s="128"/>
      <c r="G382" s="131"/>
    </row>
    <row r="383" spans="5:7" s="121" customFormat="1" x14ac:dyDescent="0.2">
      <c r="E383" s="128"/>
      <c r="G383" s="131"/>
    </row>
    <row r="384" spans="5:7" s="121" customFormat="1" x14ac:dyDescent="0.2">
      <c r="E384" s="128"/>
      <c r="G384" s="131"/>
    </row>
    <row r="385" spans="5:7" s="121" customFormat="1" x14ac:dyDescent="0.2">
      <c r="E385" s="128"/>
      <c r="G385" s="131"/>
    </row>
    <row r="386" spans="5:7" s="121" customFormat="1" x14ac:dyDescent="0.2">
      <c r="E386" s="128"/>
      <c r="G386" s="131"/>
    </row>
    <row r="387" spans="5:7" s="121" customFormat="1" x14ac:dyDescent="0.2">
      <c r="E387" s="128"/>
      <c r="G387" s="131"/>
    </row>
    <row r="388" spans="5:7" s="121" customFormat="1" x14ac:dyDescent="0.2">
      <c r="E388" s="128"/>
      <c r="G388" s="131"/>
    </row>
    <row r="389" spans="5:7" s="121" customFormat="1" x14ac:dyDescent="0.2">
      <c r="E389" s="128"/>
      <c r="G389" s="131"/>
    </row>
    <row r="390" spans="5:7" s="121" customFormat="1" x14ac:dyDescent="0.2">
      <c r="E390" s="128"/>
      <c r="G390" s="131"/>
    </row>
    <row r="391" spans="5:7" s="121" customFormat="1" x14ac:dyDescent="0.2">
      <c r="E391" s="128"/>
      <c r="G391" s="131"/>
    </row>
    <row r="392" spans="5:7" s="121" customFormat="1" x14ac:dyDescent="0.2">
      <c r="E392" s="128"/>
      <c r="G392" s="131"/>
    </row>
    <row r="393" spans="5:7" s="121" customFormat="1" x14ac:dyDescent="0.2">
      <c r="E393" s="128"/>
      <c r="G393" s="131"/>
    </row>
    <row r="394" spans="5:7" s="121" customFormat="1" x14ac:dyDescent="0.2">
      <c r="E394" s="128"/>
      <c r="G394" s="131"/>
    </row>
    <row r="395" spans="5:7" s="121" customFormat="1" x14ac:dyDescent="0.2">
      <c r="E395" s="128"/>
      <c r="G395" s="131"/>
    </row>
    <row r="396" spans="5:7" s="121" customFormat="1" x14ac:dyDescent="0.2">
      <c r="E396" s="128"/>
      <c r="G396" s="131"/>
    </row>
    <row r="397" spans="5:7" s="121" customFormat="1" x14ac:dyDescent="0.2">
      <c r="E397" s="128"/>
      <c r="G397" s="131"/>
    </row>
    <row r="398" spans="5:7" s="121" customFormat="1" x14ac:dyDescent="0.2">
      <c r="E398" s="128"/>
      <c r="G398" s="131"/>
    </row>
    <row r="399" spans="5:7" s="121" customFormat="1" x14ac:dyDescent="0.2">
      <c r="E399" s="128"/>
      <c r="G399" s="131"/>
    </row>
    <row r="400" spans="5:7" s="121" customFormat="1" x14ac:dyDescent="0.2">
      <c r="E400" s="128"/>
      <c r="G400" s="131"/>
    </row>
    <row r="401" spans="5:7" s="121" customFormat="1" x14ac:dyDescent="0.2">
      <c r="E401" s="128"/>
      <c r="G401" s="131"/>
    </row>
    <row r="402" spans="5:7" s="121" customFormat="1" x14ac:dyDescent="0.2">
      <c r="E402" s="128"/>
      <c r="G402" s="131"/>
    </row>
    <row r="403" spans="5:7" s="121" customFormat="1" x14ac:dyDescent="0.2">
      <c r="E403" s="128"/>
      <c r="G403" s="131"/>
    </row>
    <row r="404" spans="5:7" s="121" customFormat="1" x14ac:dyDescent="0.2">
      <c r="E404" s="128"/>
      <c r="G404" s="131"/>
    </row>
    <row r="405" spans="5:7" s="121" customFormat="1" x14ac:dyDescent="0.2">
      <c r="E405" s="128"/>
      <c r="G405" s="131"/>
    </row>
    <row r="406" spans="5:7" s="121" customFormat="1" x14ac:dyDescent="0.2">
      <c r="E406" s="128"/>
      <c r="G406" s="131"/>
    </row>
    <row r="407" spans="5:7" s="121" customFormat="1" x14ac:dyDescent="0.2">
      <c r="E407" s="128"/>
      <c r="G407" s="131"/>
    </row>
    <row r="408" spans="5:7" s="121" customFormat="1" x14ac:dyDescent="0.2">
      <c r="E408" s="128"/>
      <c r="G408" s="131"/>
    </row>
    <row r="409" spans="5:7" s="121" customFormat="1" x14ac:dyDescent="0.2">
      <c r="E409" s="128"/>
      <c r="G409" s="131"/>
    </row>
    <row r="410" spans="5:7" s="121" customFormat="1" x14ac:dyDescent="0.2">
      <c r="E410" s="128"/>
      <c r="G410" s="131"/>
    </row>
    <row r="411" spans="5:7" s="121" customFormat="1" x14ac:dyDescent="0.2">
      <c r="E411" s="128"/>
      <c r="G411" s="131"/>
    </row>
    <row r="412" spans="5:7" s="121" customFormat="1" x14ac:dyDescent="0.2">
      <c r="E412" s="128"/>
      <c r="G412" s="131"/>
    </row>
    <row r="413" spans="5:7" s="121" customFormat="1" x14ac:dyDescent="0.2">
      <c r="E413" s="128"/>
      <c r="G413" s="131"/>
    </row>
    <row r="414" spans="5:7" s="121" customFormat="1" x14ac:dyDescent="0.2">
      <c r="E414" s="128"/>
      <c r="G414" s="131"/>
    </row>
    <row r="415" spans="5:7" s="121" customFormat="1" x14ac:dyDescent="0.2">
      <c r="E415" s="128"/>
      <c r="G415" s="131"/>
    </row>
    <row r="416" spans="5:7" s="121" customFormat="1" x14ac:dyDescent="0.2">
      <c r="E416" s="128"/>
      <c r="G416" s="131"/>
    </row>
    <row r="417" spans="5:7" s="121" customFormat="1" x14ac:dyDescent="0.2">
      <c r="E417" s="128"/>
      <c r="G417" s="131"/>
    </row>
    <row r="418" spans="5:7" s="121" customFormat="1" x14ac:dyDescent="0.2">
      <c r="E418" s="128"/>
      <c r="G418" s="131"/>
    </row>
    <row r="419" spans="5:7" s="121" customFormat="1" x14ac:dyDescent="0.2">
      <c r="E419" s="128"/>
      <c r="G419" s="131"/>
    </row>
    <row r="420" spans="5:7" s="121" customFormat="1" x14ac:dyDescent="0.2">
      <c r="E420" s="128"/>
      <c r="G420" s="131"/>
    </row>
    <row r="421" spans="5:7" s="121" customFormat="1" x14ac:dyDescent="0.2">
      <c r="E421" s="128"/>
      <c r="G421" s="131"/>
    </row>
    <row r="422" spans="5:7" s="121" customFormat="1" x14ac:dyDescent="0.2">
      <c r="E422" s="128"/>
      <c r="G422" s="131"/>
    </row>
    <row r="423" spans="5:7" s="121" customFormat="1" x14ac:dyDescent="0.2">
      <c r="E423" s="128"/>
      <c r="G423" s="131"/>
    </row>
    <row r="424" spans="5:7" s="121" customFormat="1" x14ac:dyDescent="0.2">
      <c r="E424" s="128"/>
      <c r="G424" s="131"/>
    </row>
    <row r="425" spans="5:7" s="121" customFormat="1" x14ac:dyDescent="0.2">
      <c r="E425" s="128"/>
      <c r="G425" s="131"/>
    </row>
    <row r="426" spans="5:7" s="121" customFormat="1" x14ac:dyDescent="0.2">
      <c r="E426" s="128"/>
      <c r="G426" s="131"/>
    </row>
    <row r="427" spans="5:7" s="121" customFormat="1" x14ac:dyDescent="0.2">
      <c r="E427" s="128"/>
      <c r="G427" s="131"/>
    </row>
    <row r="428" spans="5:7" s="121" customFormat="1" x14ac:dyDescent="0.2">
      <c r="E428" s="128"/>
      <c r="G428" s="131"/>
    </row>
    <row r="429" spans="5:7" s="121" customFormat="1" x14ac:dyDescent="0.2">
      <c r="E429" s="128"/>
      <c r="G429" s="131"/>
    </row>
    <row r="430" spans="5:7" s="121" customFormat="1" x14ac:dyDescent="0.2">
      <c r="E430" s="128"/>
      <c r="G430" s="131"/>
    </row>
    <row r="431" spans="5:7" s="121" customFormat="1" x14ac:dyDescent="0.2">
      <c r="E431" s="128"/>
      <c r="G431" s="131"/>
    </row>
    <row r="432" spans="5:7" s="121" customFormat="1" x14ac:dyDescent="0.2">
      <c r="E432" s="128"/>
      <c r="G432" s="131"/>
    </row>
    <row r="433" spans="5:7" s="121" customFormat="1" x14ac:dyDescent="0.2">
      <c r="E433" s="128"/>
      <c r="G433" s="131"/>
    </row>
    <row r="434" spans="5:7" s="121" customFormat="1" x14ac:dyDescent="0.2">
      <c r="E434" s="128"/>
      <c r="G434" s="131"/>
    </row>
    <row r="435" spans="5:7" s="121" customFormat="1" x14ac:dyDescent="0.2">
      <c r="E435" s="128"/>
      <c r="G435" s="131"/>
    </row>
    <row r="436" spans="5:7" s="121" customFormat="1" x14ac:dyDescent="0.2">
      <c r="E436" s="128"/>
      <c r="G436" s="131"/>
    </row>
    <row r="437" spans="5:7" s="121" customFormat="1" x14ac:dyDescent="0.2">
      <c r="E437" s="128"/>
      <c r="G437" s="131"/>
    </row>
    <row r="438" spans="5:7" s="121" customFormat="1" x14ac:dyDescent="0.2">
      <c r="E438" s="128"/>
      <c r="G438" s="131"/>
    </row>
    <row r="439" spans="5:7" s="121" customFormat="1" x14ac:dyDescent="0.2">
      <c r="E439" s="128"/>
      <c r="G439" s="131"/>
    </row>
    <row r="440" spans="5:7" s="121" customFormat="1" x14ac:dyDescent="0.2">
      <c r="E440" s="128"/>
      <c r="G440" s="131"/>
    </row>
    <row r="441" spans="5:7" s="121" customFormat="1" x14ac:dyDescent="0.2">
      <c r="E441" s="128"/>
      <c r="G441" s="131"/>
    </row>
    <row r="442" spans="5:7" s="121" customFormat="1" x14ac:dyDescent="0.2">
      <c r="E442" s="128"/>
      <c r="G442" s="131"/>
    </row>
    <row r="443" spans="5:7" s="121" customFormat="1" x14ac:dyDescent="0.2">
      <c r="E443" s="128"/>
      <c r="G443" s="131"/>
    </row>
    <row r="444" spans="5:7" s="121" customFormat="1" x14ac:dyDescent="0.2">
      <c r="E444" s="128"/>
      <c r="G444" s="131"/>
    </row>
    <row r="445" spans="5:7" s="121" customFormat="1" x14ac:dyDescent="0.2">
      <c r="E445" s="128"/>
      <c r="G445" s="131"/>
    </row>
    <row r="446" spans="5:7" s="121" customFormat="1" x14ac:dyDescent="0.2">
      <c r="E446" s="128"/>
      <c r="G446" s="131"/>
    </row>
    <row r="447" spans="5:7" s="121" customFormat="1" x14ac:dyDescent="0.2">
      <c r="E447" s="128"/>
      <c r="G447" s="131"/>
    </row>
    <row r="448" spans="5:7" s="121" customFormat="1" x14ac:dyDescent="0.2">
      <c r="E448" s="128"/>
      <c r="G448" s="131"/>
    </row>
    <row r="449" spans="5:7" s="121" customFormat="1" x14ac:dyDescent="0.2">
      <c r="E449" s="128"/>
      <c r="G449" s="131"/>
    </row>
    <row r="450" spans="5:7" s="121" customFormat="1" x14ac:dyDescent="0.2">
      <c r="E450" s="128"/>
      <c r="G450" s="131"/>
    </row>
    <row r="451" spans="5:7" s="121" customFormat="1" x14ac:dyDescent="0.2">
      <c r="E451" s="128"/>
      <c r="G451" s="131"/>
    </row>
    <row r="452" spans="5:7" s="121" customFormat="1" x14ac:dyDescent="0.2">
      <c r="E452" s="128"/>
      <c r="G452" s="131"/>
    </row>
    <row r="453" spans="5:7" s="121" customFormat="1" x14ac:dyDescent="0.2">
      <c r="E453" s="128"/>
      <c r="G453" s="131"/>
    </row>
    <row r="454" spans="5:7" s="121" customFormat="1" x14ac:dyDescent="0.2">
      <c r="E454" s="128"/>
      <c r="G454" s="131"/>
    </row>
    <row r="455" spans="5:7" s="121" customFormat="1" x14ac:dyDescent="0.2">
      <c r="E455" s="128"/>
      <c r="G455" s="131"/>
    </row>
    <row r="456" spans="5:7" s="121" customFormat="1" x14ac:dyDescent="0.2">
      <c r="E456" s="128"/>
      <c r="G456" s="131"/>
    </row>
    <row r="457" spans="5:7" s="121" customFormat="1" x14ac:dyDescent="0.2">
      <c r="E457" s="128"/>
      <c r="G457" s="131"/>
    </row>
    <row r="458" spans="5:7" s="121" customFormat="1" x14ac:dyDescent="0.2">
      <c r="E458" s="128"/>
      <c r="G458" s="131"/>
    </row>
    <row r="459" spans="5:7" s="121" customFormat="1" x14ac:dyDescent="0.2">
      <c r="E459" s="128"/>
      <c r="G459" s="131"/>
    </row>
    <row r="460" spans="5:7" s="121" customFormat="1" x14ac:dyDescent="0.2">
      <c r="E460" s="128"/>
      <c r="G460" s="131"/>
    </row>
    <row r="461" spans="5:7" s="121" customFormat="1" x14ac:dyDescent="0.2">
      <c r="E461" s="128"/>
      <c r="G461" s="131"/>
    </row>
    <row r="462" spans="5:7" s="121" customFormat="1" x14ac:dyDescent="0.2">
      <c r="E462" s="128"/>
      <c r="G462" s="131"/>
    </row>
    <row r="463" spans="5:7" s="121" customFormat="1" x14ac:dyDescent="0.2">
      <c r="E463" s="128"/>
      <c r="G463" s="131"/>
    </row>
    <row r="464" spans="5:7" s="121" customFormat="1" x14ac:dyDescent="0.2">
      <c r="E464" s="128"/>
      <c r="G464" s="131"/>
    </row>
    <row r="465" spans="5:7" s="121" customFormat="1" x14ac:dyDescent="0.2">
      <c r="E465" s="128"/>
      <c r="G465" s="131"/>
    </row>
    <row r="466" spans="5:7" s="121" customFormat="1" x14ac:dyDescent="0.2">
      <c r="E466" s="128"/>
      <c r="G466" s="131"/>
    </row>
    <row r="467" spans="5:7" s="121" customFormat="1" x14ac:dyDescent="0.2">
      <c r="E467" s="128"/>
      <c r="G467" s="131"/>
    </row>
    <row r="468" spans="5:7" s="121" customFormat="1" x14ac:dyDescent="0.2">
      <c r="E468" s="128"/>
      <c r="G468" s="131"/>
    </row>
    <row r="469" spans="5:7" s="121" customFormat="1" x14ac:dyDescent="0.2">
      <c r="E469" s="128"/>
      <c r="G469" s="131"/>
    </row>
    <row r="470" spans="5:7" s="121" customFormat="1" x14ac:dyDescent="0.2">
      <c r="E470" s="128"/>
      <c r="G470" s="131"/>
    </row>
    <row r="471" spans="5:7" s="121" customFormat="1" x14ac:dyDescent="0.2">
      <c r="E471" s="128"/>
      <c r="G471" s="131"/>
    </row>
    <row r="472" spans="5:7" s="121" customFormat="1" x14ac:dyDescent="0.2">
      <c r="E472" s="128"/>
      <c r="G472" s="131"/>
    </row>
    <row r="473" spans="5:7" s="121" customFormat="1" x14ac:dyDescent="0.2">
      <c r="E473" s="128"/>
      <c r="G473" s="131"/>
    </row>
    <row r="474" spans="5:7" s="121" customFormat="1" x14ac:dyDescent="0.2">
      <c r="E474" s="128"/>
      <c r="G474" s="131"/>
    </row>
    <row r="475" spans="5:7" s="121" customFormat="1" x14ac:dyDescent="0.2">
      <c r="E475" s="128"/>
      <c r="G475" s="131"/>
    </row>
    <row r="476" spans="5:7" s="121" customFormat="1" x14ac:dyDescent="0.2">
      <c r="E476" s="128"/>
      <c r="G476" s="131"/>
    </row>
    <row r="477" spans="5:7" s="121" customFormat="1" x14ac:dyDescent="0.2">
      <c r="E477" s="128"/>
      <c r="G477" s="131"/>
    </row>
    <row r="478" spans="5:7" s="121" customFormat="1" x14ac:dyDescent="0.2">
      <c r="E478" s="128"/>
      <c r="G478" s="131"/>
    </row>
    <row r="479" spans="5:7" s="121" customFormat="1" x14ac:dyDescent="0.2">
      <c r="E479" s="128"/>
      <c r="G479" s="131"/>
    </row>
    <row r="480" spans="5:7" s="121" customFormat="1" x14ac:dyDescent="0.2">
      <c r="E480" s="128"/>
      <c r="G480" s="131"/>
    </row>
    <row r="481" spans="5:7" s="121" customFormat="1" x14ac:dyDescent="0.2">
      <c r="E481" s="128"/>
      <c r="G481" s="131"/>
    </row>
    <row r="482" spans="5:7" s="121" customFormat="1" x14ac:dyDescent="0.2">
      <c r="E482" s="128"/>
      <c r="G482" s="131"/>
    </row>
    <row r="483" spans="5:7" s="121" customFormat="1" x14ac:dyDescent="0.2">
      <c r="E483" s="128"/>
      <c r="G483" s="131"/>
    </row>
    <row r="484" spans="5:7" s="121" customFormat="1" x14ac:dyDescent="0.2">
      <c r="E484" s="128"/>
      <c r="G484" s="131"/>
    </row>
    <row r="485" spans="5:7" s="121" customFormat="1" x14ac:dyDescent="0.2">
      <c r="E485" s="128"/>
      <c r="G485" s="131"/>
    </row>
    <row r="486" spans="5:7" s="121" customFormat="1" x14ac:dyDescent="0.2">
      <c r="E486" s="128"/>
      <c r="G486" s="131"/>
    </row>
    <row r="487" spans="5:7" s="121" customFormat="1" x14ac:dyDescent="0.2">
      <c r="E487" s="128"/>
      <c r="G487" s="131"/>
    </row>
    <row r="488" spans="5:7" s="121" customFormat="1" x14ac:dyDescent="0.2">
      <c r="E488" s="128"/>
      <c r="G488" s="131"/>
    </row>
    <row r="489" spans="5:7" s="121" customFormat="1" x14ac:dyDescent="0.2">
      <c r="E489" s="128"/>
      <c r="G489" s="131"/>
    </row>
    <row r="490" spans="5:7" s="121" customFormat="1" x14ac:dyDescent="0.2">
      <c r="E490" s="128"/>
      <c r="G490" s="131"/>
    </row>
    <row r="491" spans="5:7" s="121" customFormat="1" x14ac:dyDescent="0.2">
      <c r="E491" s="128"/>
      <c r="G491" s="131"/>
    </row>
    <row r="492" spans="5:7" s="121" customFormat="1" x14ac:dyDescent="0.2">
      <c r="E492" s="128"/>
      <c r="G492" s="131"/>
    </row>
    <row r="493" spans="5:7" s="121" customFormat="1" x14ac:dyDescent="0.2">
      <c r="E493" s="128"/>
      <c r="G493" s="131"/>
    </row>
    <row r="494" spans="5:7" s="121" customFormat="1" x14ac:dyDescent="0.2">
      <c r="E494" s="128"/>
      <c r="G494" s="131"/>
    </row>
    <row r="495" spans="5:7" s="121" customFormat="1" x14ac:dyDescent="0.2">
      <c r="E495" s="128"/>
      <c r="G495" s="131"/>
    </row>
    <row r="496" spans="5:7" s="121" customFormat="1" x14ac:dyDescent="0.2">
      <c r="E496" s="128"/>
      <c r="G496" s="131"/>
    </row>
    <row r="497" spans="5:7" s="121" customFormat="1" x14ac:dyDescent="0.2">
      <c r="E497" s="128"/>
      <c r="G497" s="131"/>
    </row>
    <row r="498" spans="5:7" s="121" customFormat="1" x14ac:dyDescent="0.2">
      <c r="E498" s="128"/>
      <c r="G498" s="131"/>
    </row>
    <row r="499" spans="5:7" s="121" customFormat="1" x14ac:dyDescent="0.2">
      <c r="E499" s="128"/>
      <c r="G499" s="131"/>
    </row>
    <row r="500" spans="5:7" s="121" customFormat="1" x14ac:dyDescent="0.2">
      <c r="E500" s="128"/>
      <c r="G500" s="131"/>
    </row>
    <row r="501" spans="5:7" s="121" customFormat="1" x14ac:dyDescent="0.2">
      <c r="E501" s="128"/>
      <c r="G501" s="131"/>
    </row>
    <row r="502" spans="5:7" s="121" customFormat="1" x14ac:dyDescent="0.2">
      <c r="E502" s="128"/>
      <c r="G502" s="131"/>
    </row>
    <row r="503" spans="5:7" s="121" customFormat="1" x14ac:dyDescent="0.2">
      <c r="E503" s="128"/>
      <c r="G503" s="131"/>
    </row>
    <row r="504" spans="5:7" s="121" customFormat="1" x14ac:dyDescent="0.2">
      <c r="E504" s="128"/>
      <c r="G504" s="131"/>
    </row>
    <row r="505" spans="5:7" s="121" customFormat="1" x14ac:dyDescent="0.2">
      <c r="E505" s="128"/>
      <c r="G505" s="131"/>
    </row>
    <row r="506" spans="5:7" s="121" customFormat="1" x14ac:dyDescent="0.2">
      <c r="E506" s="128"/>
      <c r="G506" s="131"/>
    </row>
    <row r="507" spans="5:7" s="121" customFormat="1" x14ac:dyDescent="0.2">
      <c r="E507" s="128"/>
      <c r="G507" s="131"/>
    </row>
    <row r="508" spans="5:7" s="121" customFormat="1" x14ac:dyDescent="0.2">
      <c r="E508" s="128"/>
      <c r="G508" s="131"/>
    </row>
    <row r="509" spans="5:7" s="121" customFormat="1" x14ac:dyDescent="0.2">
      <c r="E509" s="128"/>
      <c r="G509" s="131"/>
    </row>
    <row r="510" spans="5:7" s="121" customFormat="1" x14ac:dyDescent="0.2">
      <c r="E510" s="128"/>
      <c r="G510" s="131"/>
    </row>
    <row r="511" spans="5:7" s="121" customFormat="1" x14ac:dyDescent="0.2">
      <c r="E511" s="128"/>
      <c r="G511" s="131"/>
    </row>
    <row r="512" spans="5:7" s="121" customFormat="1" x14ac:dyDescent="0.2">
      <c r="E512" s="128"/>
      <c r="G512" s="131"/>
    </row>
    <row r="513" spans="5:7" s="121" customFormat="1" x14ac:dyDescent="0.2">
      <c r="E513" s="128"/>
      <c r="G513" s="131"/>
    </row>
    <row r="514" spans="5:7" s="121" customFormat="1" x14ac:dyDescent="0.2">
      <c r="E514" s="128"/>
      <c r="G514" s="131"/>
    </row>
    <row r="515" spans="5:7" s="121" customFormat="1" x14ac:dyDescent="0.2">
      <c r="E515" s="128"/>
      <c r="G515" s="131"/>
    </row>
    <row r="516" spans="5:7" s="121" customFormat="1" x14ac:dyDescent="0.2">
      <c r="E516" s="128"/>
      <c r="G516" s="131"/>
    </row>
    <row r="517" spans="5:7" s="121" customFormat="1" x14ac:dyDescent="0.2">
      <c r="E517" s="128"/>
      <c r="G517" s="131"/>
    </row>
    <row r="518" spans="5:7" s="121" customFormat="1" x14ac:dyDescent="0.2">
      <c r="E518" s="128"/>
      <c r="G518" s="131"/>
    </row>
    <row r="519" spans="5:7" s="121" customFormat="1" x14ac:dyDescent="0.2">
      <c r="E519" s="128"/>
      <c r="G519" s="131"/>
    </row>
    <row r="520" spans="5:7" s="121" customFormat="1" x14ac:dyDescent="0.2">
      <c r="E520" s="128"/>
      <c r="G520" s="131"/>
    </row>
    <row r="521" spans="5:7" s="121" customFormat="1" x14ac:dyDescent="0.2">
      <c r="E521" s="128"/>
      <c r="G521" s="131"/>
    </row>
    <row r="522" spans="5:7" s="121" customFormat="1" x14ac:dyDescent="0.2">
      <c r="E522" s="128"/>
      <c r="G522" s="131"/>
    </row>
    <row r="523" spans="5:7" s="121" customFormat="1" x14ac:dyDescent="0.2">
      <c r="E523" s="128"/>
      <c r="G523" s="131"/>
    </row>
    <row r="524" spans="5:7" s="121" customFormat="1" x14ac:dyDescent="0.2">
      <c r="E524" s="128"/>
      <c r="G524" s="131"/>
    </row>
    <row r="525" spans="5:7" s="121" customFormat="1" x14ac:dyDescent="0.2">
      <c r="E525" s="128"/>
      <c r="G525" s="131"/>
    </row>
    <row r="526" spans="5:7" s="121" customFormat="1" x14ac:dyDescent="0.2">
      <c r="E526" s="128"/>
      <c r="G526" s="131"/>
    </row>
    <row r="527" spans="5:7" s="121" customFormat="1" x14ac:dyDescent="0.2">
      <c r="E527" s="128"/>
      <c r="G527" s="131"/>
    </row>
    <row r="528" spans="5:7" s="121" customFormat="1" x14ac:dyDescent="0.2">
      <c r="E528" s="128"/>
      <c r="G528" s="131"/>
    </row>
    <row r="529" spans="5:7" s="121" customFormat="1" x14ac:dyDescent="0.2">
      <c r="E529" s="128"/>
      <c r="G529" s="131"/>
    </row>
    <row r="530" spans="5:7" s="121" customFormat="1" x14ac:dyDescent="0.2">
      <c r="E530" s="128"/>
      <c r="G530" s="131"/>
    </row>
    <row r="531" spans="5:7" s="121" customFormat="1" x14ac:dyDescent="0.2">
      <c r="E531" s="128"/>
      <c r="G531" s="131"/>
    </row>
    <row r="532" spans="5:7" s="121" customFormat="1" x14ac:dyDescent="0.2">
      <c r="E532" s="128"/>
      <c r="G532" s="131"/>
    </row>
    <row r="533" spans="5:7" s="121" customFormat="1" x14ac:dyDescent="0.2">
      <c r="E533" s="128"/>
      <c r="G533" s="131"/>
    </row>
    <row r="534" spans="5:7" s="121" customFormat="1" x14ac:dyDescent="0.2">
      <c r="E534" s="128"/>
      <c r="G534" s="131"/>
    </row>
    <row r="535" spans="5:7" s="121" customFormat="1" x14ac:dyDescent="0.2">
      <c r="E535" s="128"/>
      <c r="G535" s="131"/>
    </row>
    <row r="536" spans="5:7" s="121" customFormat="1" x14ac:dyDescent="0.2">
      <c r="E536" s="128"/>
      <c r="G536" s="131"/>
    </row>
    <row r="537" spans="5:7" s="121" customFormat="1" x14ac:dyDescent="0.2">
      <c r="E537" s="128"/>
      <c r="G537" s="131"/>
    </row>
    <row r="538" spans="5:7" s="121" customFormat="1" x14ac:dyDescent="0.2">
      <c r="E538" s="128"/>
      <c r="G538" s="131"/>
    </row>
    <row r="539" spans="5:7" s="121" customFormat="1" x14ac:dyDescent="0.2">
      <c r="E539" s="128"/>
      <c r="G539" s="131"/>
    </row>
    <row r="540" spans="5:7" s="121" customFormat="1" x14ac:dyDescent="0.2">
      <c r="E540" s="128"/>
      <c r="G540" s="131"/>
    </row>
    <row r="541" spans="5:7" s="121" customFormat="1" x14ac:dyDescent="0.2">
      <c r="E541" s="128"/>
      <c r="G541" s="131"/>
    </row>
    <row r="542" spans="5:7" s="121" customFormat="1" x14ac:dyDescent="0.2">
      <c r="E542" s="128"/>
      <c r="G542" s="131"/>
    </row>
    <row r="543" spans="5:7" s="121" customFormat="1" x14ac:dyDescent="0.2">
      <c r="E543" s="128"/>
      <c r="G543" s="131"/>
    </row>
    <row r="544" spans="5:7" s="121" customFormat="1" x14ac:dyDescent="0.2">
      <c r="E544" s="128"/>
      <c r="G544" s="131"/>
    </row>
    <row r="545" spans="5:7" s="121" customFormat="1" x14ac:dyDescent="0.2">
      <c r="E545" s="128"/>
      <c r="G545" s="131"/>
    </row>
    <row r="546" spans="5:7" s="121" customFormat="1" x14ac:dyDescent="0.2">
      <c r="E546" s="128"/>
      <c r="G546" s="131"/>
    </row>
    <row r="547" spans="5:7" s="121" customFormat="1" x14ac:dyDescent="0.2">
      <c r="E547" s="128"/>
      <c r="G547" s="131"/>
    </row>
    <row r="548" spans="5:7" s="121" customFormat="1" x14ac:dyDescent="0.2">
      <c r="E548" s="128"/>
      <c r="G548" s="131"/>
    </row>
    <row r="549" spans="5:7" s="121" customFormat="1" x14ac:dyDescent="0.2">
      <c r="E549" s="128"/>
      <c r="G549" s="131"/>
    </row>
    <row r="550" spans="5:7" s="121" customFormat="1" x14ac:dyDescent="0.2">
      <c r="E550" s="128"/>
      <c r="G550" s="131"/>
    </row>
    <row r="551" spans="5:7" s="121" customFormat="1" x14ac:dyDescent="0.2">
      <c r="E551" s="128"/>
      <c r="G551" s="131"/>
    </row>
    <row r="552" spans="5:7" s="121" customFormat="1" x14ac:dyDescent="0.2">
      <c r="E552" s="128"/>
      <c r="G552" s="131"/>
    </row>
    <row r="553" spans="5:7" s="121" customFormat="1" x14ac:dyDescent="0.2">
      <c r="E553" s="128"/>
      <c r="G553" s="131"/>
    </row>
    <row r="554" spans="5:7" s="121" customFormat="1" x14ac:dyDescent="0.2">
      <c r="E554" s="128"/>
      <c r="G554" s="131"/>
    </row>
    <row r="555" spans="5:7" s="121" customFormat="1" x14ac:dyDescent="0.2">
      <c r="E555" s="128"/>
      <c r="G555" s="131"/>
    </row>
    <row r="556" spans="5:7" s="121" customFormat="1" x14ac:dyDescent="0.2">
      <c r="E556" s="128"/>
      <c r="G556" s="131"/>
    </row>
    <row r="557" spans="5:7" s="121" customFormat="1" x14ac:dyDescent="0.2">
      <c r="E557" s="128"/>
      <c r="G557" s="131"/>
    </row>
    <row r="558" spans="5:7" s="121" customFormat="1" x14ac:dyDescent="0.2">
      <c r="E558" s="128"/>
      <c r="G558" s="131"/>
    </row>
    <row r="559" spans="5:7" s="121" customFormat="1" x14ac:dyDescent="0.2">
      <c r="E559" s="128"/>
      <c r="G559" s="131"/>
    </row>
    <row r="560" spans="5:7" s="121" customFormat="1" x14ac:dyDescent="0.2">
      <c r="E560" s="128"/>
      <c r="G560" s="131"/>
    </row>
    <row r="561" spans="5:7" s="121" customFormat="1" x14ac:dyDescent="0.2">
      <c r="E561" s="128"/>
      <c r="G561" s="131"/>
    </row>
    <row r="562" spans="5:7" s="121" customFormat="1" x14ac:dyDescent="0.2">
      <c r="E562" s="128"/>
      <c r="G562" s="131"/>
    </row>
    <row r="563" spans="5:7" s="121" customFormat="1" x14ac:dyDescent="0.2">
      <c r="E563" s="128"/>
      <c r="G563" s="131"/>
    </row>
    <row r="564" spans="5:7" s="121" customFormat="1" x14ac:dyDescent="0.2">
      <c r="E564" s="128"/>
      <c r="G564" s="131"/>
    </row>
    <row r="565" spans="5:7" s="121" customFormat="1" x14ac:dyDescent="0.2">
      <c r="E565" s="128"/>
      <c r="G565" s="131"/>
    </row>
    <row r="566" spans="5:7" s="121" customFormat="1" x14ac:dyDescent="0.2">
      <c r="E566" s="128"/>
      <c r="G566" s="131"/>
    </row>
    <row r="567" spans="5:7" s="121" customFormat="1" x14ac:dyDescent="0.2">
      <c r="E567" s="128"/>
      <c r="G567" s="131"/>
    </row>
    <row r="568" spans="5:7" s="121" customFormat="1" x14ac:dyDescent="0.2">
      <c r="E568" s="128"/>
      <c r="G568" s="131"/>
    </row>
    <row r="569" spans="5:7" s="121" customFormat="1" x14ac:dyDescent="0.2">
      <c r="E569" s="128"/>
      <c r="G569" s="131"/>
    </row>
    <row r="570" spans="5:7" s="121" customFormat="1" x14ac:dyDescent="0.2">
      <c r="E570" s="128"/>
      <c r="G570" s="131"/>
    </row>
    <row r="571" spans="5:7" s="121" customFormat="1" x14ac:dyDescent="0.2">
      <c r="E571" s="128"/>
      <c r="G571" s="131"/>
    </row>
    <row r="572" spans="5:7" s="121" customFormat="1" x14ac:dyDescent="0.2">
      <c r="E572" s="128"/>
      <c r="G572" s="131"/>
    </row>
    <row r="573" spans="5:7" s="121" customFormat="1" x14ac:dyDescent="0.2">
      <c r="E573" s="128"/>
      <c r="G573" s="131"/>
    </row>
    <row r="574" spans="5:7" s="121" customFormat="1" x14ac:dyDescent="0.2">
      <c r="E574" s="128"/>
      <c r="G574" s="131"/>
    </row>
    <row r="575" spans="5:7" s="121" customFormat="1" x14ac:dyDescent="0.2">
      <c r="E575" s="128"/>
      <c r="G575" s="131"/>
    </row>
    <row r="576" spans="5:7" s="121" customFormat="1" x14ac:dyDescent="0.2">
      <c r="E576" s="128"/>
      <c r="G576" s="131"/>
    </row>
    <row r="577" spans="5:7" s="121" customFormat="1" x14ac:dyDescent="0.2">
      <c r="E577" s="128"/>
      <c r="G577" s="131"/>
    </row>
    <row r="578" spans="5:7" s="121" customFormat="1" x14ac:dyDescent="0.2">
      <c r="E578" s="128"/>
      <c r="G578" s="131"/>
    </row>
    <row r="579" spans="5:7" s="121" customFormat="1" x14ac:dyDescent="0.2">
      <c r="E579" s="128"/>
      <c r="G579" s="131"/>
    </row>
    <row r="580" spans="5:7" s="121" customFormat="1" x14ac:dyDescent="0.2">
      <c r="E580" s="128"/>
      <c r="G580" s="131"/>
    </row>
    <row r="581" spans="5:7" s="121" customFormat="1" x14ac:dyDescent="0.2">
      <c r="E581" s="128"/>
      <c r="G581" s="131"/>
    </row>
    <row r="582" spans="5:7" s="121" customFormat="1" x14ac:dyDescent="0.2">
      <c r="E582" s="128"/>
      <c r="G582" s="131"/>
    </row>
    <row r="583" spans="5:7" s="121" customFormat="1" x14ac:dyDescent="0.2">
      <c r="E583" s="128"/>
      <c r="G583" s="131"/>
    </row>
    <row r="584" spans="5:7" s="121" customFormat="1" x14ac:dyDescent="0.2">
      <c r="E584" s="128"/>
      <c r="G584" s="131"/>
    </row>
    <row r="585" spans="5:7" s="121" customFormat="1" x14ac:dyDescent="0.2">
      <c r="E585" s="128"/>
      <c r="G585" s="131"/>
    </row>
    <row r="586" spans="5:7" s="121" customFormat="1" x14ac:dyDescent="0.2">
      <c r="E586" s="128"/>
      <c r="G586" s="131"/>
    </row>
    <row r="587" spans="5:7" s="121" customFormat="1" x14ac:dyDescent="0.2">
      <c r="E587" s="128"/>
      <c r="G587" s="131"/>
    </row>
    <row r="588" spans="5:7" s="121" customFormat="1" x14ac:dyDescent="0.2">
      <c r="E588" s="128"/>
      <c r="G588" s="131"/>
    </row>
    <row r="589" spans="5:7" s="121" customFormat="1" x14ac:dyDescent="0.2">
      <c r="E589" s="128"/>
      <c r="G589" s="131"/>
    </row>
    <row r="590" spans="5:7" s="121" customFormat="1" x14ac:dyDescent="0.2">
      <c r="E590" s="128"/>
      <c r="G590" s="131"/>
    </row>
    <row r="591" spans="5:7" s="121" customFormat="1" x14ac:dyDescent="0.2">
      <c r="E591" s="128"/>
      <c r="G591" s="131"/>
    </row>
    <row r="592" spans="5:7" s="121" customFormat="1" x14ac:dyDescent="0.2">
      <c r="E592" s="128"/>
      <c r="G592" s="131"/>
    </row>
    <row r="593" spans="5:7" s="121" customFormat="1" x14ac:dyDescent="0.2">
      <c r="E593" s="128"/>
      <c r="G593" s="131"/>
    </row>
    <row r="594" spans="5:7" s="121" customFormat="1" x14ac:dyDescent="0.2">
      <c r="E594" s="128"/>
      <c r="G594" s="131"/>
    </row>
    <row r="595" spans="5:7" s="121" customFormat="1" x14ac:dyDescent="0.2">
      <c r="E595" s="128"/>
      <c r="G595" s="131"/>
    </row>
    <row r="596" spans="5:7" s="121" customFormat="1" x14ac:dyDescent="0.2">
      <c r="E596" s="128"/>
      <c r="G596" s="131"/>
    </row>
    <row r="597" spans="5:7" s="121" customFormat="1" x14ac:dyDescent="0.2">
      <c r="E597" s="128"/>
      <c r="G597" s="131"/>
    </row>
    <row r="598" spans="5:7" s="121" customFormat="1" x14ac:dyDescent="0.2">
      <c r="E598" s="128"/>
      <c r="G598" s="131"/>
    </row>
    <row r="599" spans="5:7" s="121" customFormat="1" x14ac:dyDescent="0.2">
      <c r="E599" s="128"/>
      <c r="G599" s="131"/>
    </row>
    <row r="600" spans="5:7" s="121" customFormat="1" x14ac:dyDescent="0.2">
      <c r="E600" s="128"/>
      <c r="G600" s="131"/>
    </row>
    <row r="601" spans="5:7" s="121" customFormat="1" x14ac:dyDescent="0.2">
      <c r="E601" s="128"/>
      <c r="G601" s="131"/>
    </row>
    <row r="602" spans="5:7" s="121" customFormat="1" x14ac:dyDescent="0.2">
      <c r="E602" s="128"/>
      <c r="G602" s="131"/>
    </row>
    <row r="603" spans="5:7" s="121" customFormat="1" x14ac:dyDescent="0.2">
      <c r="E603" s="128"/>
      <c r="G603" s="131"/>
    </row>
    <row r="604" spans="5:7" s="121" customFormat="1" x14ac:dyDescent="0.2">
      <c r="E604" s="128"/>
      <c r="G604" s="131"/>
    </row>
    <row r="605" spans="5:7" s="121" customFormat="1" x14ac:dyDescent="0.2">
      <c r="E605" s="128"/>
      <c r="G605" s="131"/>
    </row>
    <row r="606" spans="5:7" s="121" customFormat="1" x14ac:dyDescent="0.2">
      <c r="E606" s="128"/>
      <c r="G606" s="131"/>
    </row>
    <row r="607" spans="5:7" s="121" customFormat="1" x14ac:dyDescent="0.2">
      <c r="E607" s="128"/>
      <c r="G607" s="131"/>
    </row>
    <row r="608" spans="5:7" s="121" customFormat="1" x14ac:dyDescent="0.2">
      <c r="E608" s="128"/>
      <c r="G608" s="131"/>
    </row>
    <row r="609" spans="5:7" s="121" customFormat="1" x14ac:dyDescent="0.2">
      <c r="E609" s="128"/>
      <c r="G609" s="131"/>
    </row>
    <row r="610" spans="5:7" s="121" customFormat="1" x14ac:dyDescent="0.2">
      <c r="E610" s="128"/>
      <c r="G610" s="131"/>
    </row>
    <row r="611" spans="5:7" s="121" customFormat="1" x14ac:dyDescent="0.2">
      <c r="E611" s="128"/>
      <c r="G611" s="131"/>
    </row>
    <row r="612" spans="5:7" s="121" customFormat="1" x14ac:dyDescent="0.2">
      <c r="E612" s="128"/>
      <c r="G612" s="131"/>
    </row>
    <row r="613" spans="5:7" s="121" customFormat="1" x14ac:dyDescent="0.2">
      <c r="E613" s="128"/>
      <c r="G613" s="131"/>
    </row>
    <row r="614" spans="5:7" s="121" customFormat="1" x14ac:dyDescent="0.2">
      <c r="E614" s="128"/>
      <c r="G614" s="131"/>
    </row>
    <row r="615" spans="5:7" s="121" customFormat="1" x14ac:dyDescent="0.2">
      <c r="E615" s="128"/>
      <c r="G615" s="131"/>
    </row>
    <row r="616" spans="5:7" s="121" customFormat="1" x14ac:dyDescent="0.2">
      <c r="E616" s="128"/>
      <c r="G616" s="131"/>
    </row>
    <row r="617" spans="5:7" s="121" customFormat="1" x14ac:dyDescent="0.2">
      <c r="E617" s="128"/>
      <c r="G617" s="131"/>
    </row>
    <row r="618" spans="5:7" s="121" customFormat="1" x14ac:dyDescent="0.2">
      <c r="E618" s="128"/>
      <c r="G618" s="131"/>
    </row>
    <row r="619" spans="5:7" s="121" customFormat="1" x14ac:dyDescent="0.2">
      <c r="E619" s="128"/>
      <c r="G619" s="131"/>
    </row>
    <row r="620" spans="5:7" s="121" customFormat="1" x14ac:dyDescent="0.2">
      <c r="E620" s="128"/>
      <c r="G620" s="131"/>
    </row>
    <row r="621" spans="5:7" s="121" customFormat="1" x14ac:dyDescent="0.2">
      <c r="E621" s="128"/>
      <c r="G621" s="131"/>
    </row>
    <row r="622" spans="5:7" s="121" customFormat="1" x14ac:dyDescent="0.2">
      <c r="E622" s="128"/>
      <c r="G622" s="131"/>
    </row>
    <row r="623" spans="5:7" s="121" customFormat="1" x14ac:dyDescent="0.2">
      <c r="E623" s="128"/>
      <c r="G623" s="131"/>
    </row>
    <row r="624" spans="5:7" s="121" customFormat="1" x14ac:dyDescent="0.2">
      <c r="E624" s="128"/>
      <c r="G624" s="131"/>
    </row>
    <row r="625" spans="5:7" s="121" customFormat="1" x14ac:dyDescent="0.2">
      <c r="E625" s="128"/>
      <c r="G625" s="131"/>
    </row>
    <row r="626" spans="5:7" s="121" customFormat="1" x14ac:dyDescent="0.2">
      <c r="E626" s="128"/>
      <c r="G626" s="131"/>
    </row>
    <row r="627" spans="5:7" s="121" customFormat="1" x14ac:dyDescent="0.2">
      <c r="E627" s="128"/>
      <c r="G627" s="131"/>
    </row>
    <row r="628" spans="5:7" s="121" customFormat="1" x14ac:dyDescent="0.2">
      <c r="E628" s="128"/>
      <c r="G628" s="131"/>
    </row>
    <row r="629" spans="5:7" s="121" customFormat="1" x14ac:dyDescent="0.2">
      <c r="E629" s="128"/>
      <c r="G629" s="131"/>
    </row>
    <row r="630" spans="5:7" s="121" customFormat="1" x14ac:dyDescent="0.2">
      <c r="E630" s="128"/>
      <c r="G630" s="131"/>
    </row>
    <row r="631" spans="5:7" s="121" customFormat="1" x14ac:dyDescent="0.2">
      <c r="E631" s="128"/>
      <c r="G631" s="131"/>
    </row>
    <row r="632" spans="5:7" s="121" customFormat="1" x14ac:dyDescent="0.2">
      <c r="E632" s="128"/>
      <c r="G632" s="131"/>
    </row>
    <row r="633" spans="5:7" s="121" customFormat="1" x14ac:dyDescent="0.2">
      <c r="E633" s="128"/>
      <c r="G633" s="131"/>
    </row>
    <row r="634" spans="5:7" s="121" customFormat="1" x14ac:dyDescent="0.2">
      <c r="E634" s="128"/>
      <c r="G634" s="131"/>
    </row>
    <row r="635" spans="5:7" s="121" customFormat="1" x14ac:dyDescent="0.2">
      <c r="E635" s="128"/>
      <c r="G635" s="131"/>
    </row>
    <row r="636" spans="5:7" s="121" customFormat="1" x14ac:dyDescent="0.2">
      <c r="E636" s="128"/>
      <c r="G636" s="131"/>
    </row>
    <row r="637" spans="5:7" s="121" customFormat="1" x14ac:dyDescent="0.2">
      <c r="E637" s="128"/>
      <c r="G637" s="131"/>
    </row>
    <row r="638" spans="5:7" s="121" customFormat="1" x14ac:dyDescent="0.2">
      <c r="E638" s="128"/>
      <c r="G638" s="131"/>
    </row>
    <row r="639" spans="5:7" s="121" customFormat="1" x14ac:dyDescent="0.2">
      <c r="E639" s="128"/>
      <c r="G639" s="131"/>
    </row>
    <row r="640" spans="5:7" s="121" customFormat="1" x14ac:dyDescent="0.2">
      <c r="E640" s="128"/>
      <c r="G640" s="131"/>
    </row>
    <row r="641" spans="5:7" s="121" customFormat="1" x14ac:dyDescent="0.2">
      <c r="E641" s="128"/>
      <c r="G641" s="131"/>
    </row>
    <row r="642" spans="5:7" s="121" customFormat="1" x14ac:dyDescent="0.2">
      <c r="E642" s="128"/>
      <c r="G642" s="131"/>
    </row>
    <row r="643" spans="5:7" s="121" customFormat="1" x14ac:dyDescent="0.2">
      <c r="E643" s="128"/>
      <c r="G643" s="131"/>
    </row>
    <row r="644" spans="5:7" s="121" customFormat="1" x14ac:dyDescent="0.2">
      <c r="E644" s="128"/>
      <c r="G644" s="131"/>
    </row>
    <row r="645" spans="5:7" s="121" customFormat="1" x14ac:dyDescent="0.2">
      <c r="E645" s="128"/>
      <c r="G645" s="131"/>
    </row>
    <row r="646" spans="5:7" s="121" customFormat="1" x14ac:dyDescent="0.2">
      <c r="E646" s="128"/>
      <c r="G646" s="131"/>
    </row>
    <row r="647" spans="5:7" s="121" customFormat="1" x14ac:dyDescent="0.2">
      <c r="E647" s="128"/>
      <c r="G647" s="131"/>
    </row>
    <row r="648" spans="5:7" s="121" customFormat="1" x14ac:dyDescent="0.2">
      <c r="E648" s="128"/>
      <c r="G648" s="131"/>
    </row>
    <row r="649" spans="5:7" s="121" customFormat="1" x14ac:dyDescent="0.2">
      <c r="E649" s="128"/>
      <c r="G649" s="131"/>
    </row>
    <row r="650" spans="5:7" s="121" customFormat="1" x14ac:dyDescent="0.2">
      <c r="E650" s="128"/>
      <c r="G650" s="131"/>
    </row>
    <row r="651" spans="5:7" s="121" customFormat="1" x14ac:dyDescent="0.2">
      <c r="E651" s="128"/>
      <c r="G651" s="131"/>
    </row>
    <row r="652" spans="5:7" s="121" customFormat="1" x14ac:dyDescent="0.2">
      <c r="E652" s="128"/>
      <c r="G652" s="131"/>
    </row>
    <row r="653" spans="5:7" s="121" customFormat="1" x14ac:dyDescent="0.2">
      <c r="E653" s="128"/>
      <c r="G653" s="131"/>
    </row>
    <row r="654" spans="5:7" s="121" customFormat="1" x14ac:dyDescent="0.2">
      <c r="E654" s="128"/>
      <c r="G654" s="131"/>
    </row>
    <row r="655" spans="5:7" s="121" customFormat="1" x14ac:dyDescent="0.2">
      <c r="E655" s="128"/>
      <c r="G655" s="131"/>
    </row>
    <row r="656" spans="5:7" s="121" customFormat="1" x14ac:dyDescent="0.2">
      <c r="E656" s="128"/>
      <c r="G656" s="131"/>
    </row>
    <row r="657" spans="5:7" s="121" customFormat="1" x14ac:dyDescent="0.2">
      <c r="E657" s="128"/>
      <c r="G657" s="131"/>
    </row>
    <row r="658" spans="5:7" s="121" customFormat="1" x14ac:dyDescent="0.2">
      <c r="E658" s="128"/>
      <c r="G658" s="131"/>
    </row>
    <row r="659" spans="5:7" s="121" customFormat="1" x14ac:dyDescent="0.2">
      <c r="E659" s="128"/>
      <c r="G659" s="131"/>
    </row>
    <row r="660" spans="5:7" s="121" customFormat="1" x14ac:dyDescent="0.2">
      <c r="E660" s="128"/>
      <c r="G660" s="131"/>
    </row>
    <row r="661" spans="5:7" s="121" customFormat="1" x14ac:dyDescent="0.2">
      <c r="E661" s="128"/>
      <c r="G661" s="131"/>
    </row>
    <row r="662" spans="5:7" s="121" customFormat="1" x14ac:dyDescent="0.2">
      <c r="E662" s="128"/>
      <c r="G662" s="131"/>
    </row>
    <row r="663" spans="5:7" s="121" customFormat="1" x14ac:dyDescent="0.2">
      <c r="E663" s="128"/>
      <c r="G663" s="131"/>
    </row>
    <row r="664" spans="5:7" s="121" customFormat="1" x14ac:dyDescent="0.2">
      <c r="E664" s="128"/>
      <c r="G664" s="131"/>
    </row>
    <row r="665" spans="5:7" s="121" customFormat="1" x14ac:dyDescent="0.2">
      <c r="E665" s="128"/>
      <c r="G665" s="131"/>
    </row>
    <row r="666" spans="5:7" s="121" customFormat="1" x14ac:dyDescent="0.2">
      <c r="E666" s="128"/>
      <c r="G666" s="131"/>
    </row>
    <row r="667" spans="5:7" s="121" customFormat="1" x14ac:dyDescent="0.2">
      <c r="E667" s="128"/>
      <c r="G667" s="131"/>
    </row>
    <row r="668" spans="5:7" s="121" customFormat="1" x14ac:dyDescent="0.2">
      <c r="E668" s="128"/>
      <c r="G668" s="131"/>
    </row>
    <row r="669" spans="5:7" s="121" customFormat="1" x14ac:dyDescent="0.2">
      <c r="E669" s="128"/>
      <c r="G669" s="131"/>
    </row>
    <row r="670" spans="5:7" s="121" customFormat="1" x14ac:dyDescent="0.2">
      <c r="E670" s="128"/>
      <c r="G670" s="131"/>
    </row>
    <row r="671" spans="5:7" s="121" customFormat="1" x14ac:dyDescent="0.2">
      <c r="E671" s="128"/>
      <c r="G671" s="131"/>
    </row>
    <row r="672" spans="5:7" s="121" customFormat="1" x14ac:dyDescent="0.2">
      <c r="E672" s="128"/>
      <c r="G672" s="131"/>
    </row>
    <row r="673" spans="5:7" s="121" customFormat="1" x14ac:dyDescent="0.2">
      <c r="E673" s="128"/>
      <c r="G673" s="131"/>
    </row>
    <row r="674" spans="5:7" s="121" customFormat="1" x14ac:dyDescent="0.2">
      <c r="E674" s="128"/>
      <c r="G674" s="131"/>
    </row>
    <row r="675" spans="5:7" s="121" customFormat="1" x14ac:dyDescent="0.2">
      <c r="E675" s="128"/>
      <c r="G675" s="131"/>
    </row>
    <row r="676" spans="5:7" s="121" customFormat="1" x14ac:dyDescent="0.2">
      <c r="E676" s="128"/>
      <c r="G676" s="131"/>
    </row>
    <row r="677" spans="5:7" s="121" customFormat="1" x14ac:dyDescent="0.2">
      <c r="E677" s="128"/>
      <c r="G677" s="131"/>
    </row>
    <row r="678" spans="5:7" s="121" customFormat="1" x14ac:dyDescent="0.2">
      <c r="E678" s="128"/>
      <c r="G678" s="131"/>
    </row>
    <row r="679" spans="5:7" s="121" customFormat="1" x14ac:dyDescent="0.2">
      <c r="E679" s="128"/>
      <c r="G679" s="131"/>
    </row>
    <row r="680" spans="5:7" s="121" customFormat="1" x14ac:dyDescent="0.2">
      <c r="E680" s="128"/>
      <c r="G680" s="131"/>
    </row>
    <row r="681" spans="5:7" s="121" customFormat="1" x14ac:dyDescent="0.2">
      <c r="E681" s="128"/>
      <c r="G681" s="131"/>
    </row>
    <row r="682" spans="5:7" s="121" customFormat="1" x14ac:dyDescent="0.2">
      <c r="E682" s="128"/>
      <c r="G682" s="131"/>
    </row>
    <row r="683" spans="5:7" s="121" customFormat="1" x14ac:dyDescent="0.2">
      <c r="E683" s="128"/>
      <c r="G683" s="131"/>
    </row>
    <row r="684" spans="5:7" s="121" customFormat="1" x14ac:dyDescent="0.2">
      <c r="E684" s="128"/>
      <c r="G684" s="131"/>
    </row>
    <row r="685" spans="5:7" s="121" customFormat="1" x14ac:dyDescent="0.2">
      <c r="E685" s="128"/>
      <c r="G685" s="131"/>
    </row>
    <row r="686" spans="5:7" s="121" customFormat="1" x14ac:dyDescent="0.2">
      <c r="E686" s="128"/>
      <c r="G686" s="131"/>
    </row>
    <row r="687" spans="5:7" s="121" customFormat="1" x14ac:dyDescent="0.2">
      <c r="E687" s="128"/>
      <c r="G687" s="131"/>
    </row>
    <row r="688" spans="5:7" s="121" customFormat="1" x14ac:dyDescent="0.2">
      <c r="E688" s="128"/>
      <c r="G688" s="131"/>
    </row>
    <row r="689" spans="5:7" s="121" customFormat="1" x14ac:dyDescent="0.2">
      <c r="E689" s="128"/>
      <c r="G689" s="131"/>
    </row>
    <row r="690" spans="5:7" s="121" customFormat="1" x14ac:dyDescent="0.2">
      <c r="E690" s="128"/>
      <c r="G690" s="131"/>
    </row>
    <row r="691" spans="5:7" s="121" customFormat="1" x14ac:dyDescent="0.2">
      <c r="E691" s="128"/>
      <c r="G691" s="131"/>
    </row>
    <row r="692" spans="5:7" s="121" customFormat="1" x14ac:dyDescent="0.2">
      <c r="E692" s="128"/>
      <c r="G692" s="131"/>
    </row>
    <row r="693" spans="5:7" s="121" customFormat="1" x14ac:dyDescent="0.2">
      <c r="E693" s="128"/>
      <c r="G693" s="131"/>
    </row>
    <row r="694" spans="5:7" s="121" customFormat="1" x14ac:dyDescent="0.2">
      <c r="E694" s="128"/>
      <c r="G694" s="131"/>
    </row>
    <row r="695" spans="5:7" s="121" customFormat="1" x14ac:dyDescent="0.2">
      <c r="E695" s="128"/>
      <c r="G695" s="131"/>
    </row>
    <row r="696" spans="5:7" s="121" customFormat="1" x14ac:dyDescent="0.2">
      <c r="E696" s="128"/>
      <c r="G696" s="131"/>
    </row>
    <row r="697" spans="5:7" s="121" customFormat="1" x14ac:dyDescent="0.2">
      <c r="E697" s="128"/>
      <c r="G697" s="131"/>
    </row>
    <row r="698" spans="5:7" s="121" customFormat="1" x14ac:dyDescent="0.2">
      <c r="E698" s="128"/>
      <c r="G698" s="131"/>
    </row>
    <row r="699" spans="5:7" s="121" customFormat="1" x14ac:dyDescent="0.2">
      <c r="E699" s="128"/>
      <c r="G699" s="131"/>
    </row>
    <row r="700" spans="5:7" s="121" customFormat="1" x14ac:dyDescent="0.2">
      <c r="E700" s="128"/>
      <c r="G700" s="131"/>
    </row>
    <row r="701" spans="5:7" s="121" customFormat="1" x14ac:dyDescent="0.2">
      <c r="E701" s="128"/>
      <c r="G701" s="131"/>
    </row>
    <row r="702" spans="5:7" s="121" customFormat="1" x14ac:dyDescent="0.2">
      <c r="E702" s="128"/>
      <c r="G702" s="131"/>
    </row>
    <row r="703" spans="5:7" s="121" customFormat="1" x14ac:dyDescent="0.2">
      <c r="E703" s="128"/>
      <c r="G703" s="131"/>
    </row>
    <row r="704" spans="5:7" s="121" customFormat="1" x14ac:dyDescent="0.2">
      <c r="E704" s="128"/>
      <c r="G704" s="131"/>
    </row>
    <row r="705" spans="5:7" s="121" customFormat="1" x14ac:dyDescent="0.2">
      <c r="E705" s="128"/>
      <c r="G705" s="131"/>
    </row>
    <row r="706" spans="5:7" s="121" customFormat="1" x14ac:dyDescent="0.2">
      <c r="E706" s="128"/>
      <c r="G706" s="131"/>
    </row>
    <row r="707" spans="5:7" s="121" customFormat="1" x14ac:dyDescent="0.2">
      <c r="E707" s="128"/>
      <c r="G707" s="131"/>
    </row>
    <row r="708" spans="5:7" s="121" customFormat="1" x14ac:dyDescent="0.2">
      <c r="E708" s="128"/>
      <c r="G708" s="131"/>
    </row>
    <row r="709" spans="5:7" s="121" customFormat="1" x14ac:dyDescent="0.2">
      <c r="E709" s="128"/>
      <c r="G709" s="131"/>
    </row>
    <row r="710" spans="5:7" s="121" customFormat="1" x14ac:dyDescent="0.2">
      <c r="E710" s="128"/>
      <c r="G710" s="131"/>
    </row>
    <row r="711" spans="5:7" s="121" customFormat="1" x14ac:dyDescent="0.2">
      <c r="E711" s="128"/>
      <c r="G711" s="131"/>
    </row>
    <row r="712" spans="5:7" s="121" customFormat="1" x14ac:dyDescent="0.2">
      <c r="E712" s="128"/>
      <c r="G712" s="131"/>
    </row>
    <row r="713" spans="5:7" s="121" customFormat="1" x14ac:dyDescent="0.2">
      <c r="E713" s="128"/>
      <c r="G713" s="131"/>
    </row>
    <row r="714" spans="5:7" s="121" customFormat="1" x14ac:dyDescent="0.2">
      <c r="E714" s="128"/>
      <c r="G714" s="131"/>
    </row>
    <row r="715" spans="5:7" s="121" customFormat="1" x14ac:dyDescent="0.2">
      <c r="E715" s="128"/>
      <c r="G715" s="131"/>
    </row>
    <row r="716" spans="5:7" s="121" customFormat="1" x14ac:dyDescent="0.2">
      <c r="E716" s="128"/>
      <c r="G716" s="131"/>
    </row>
    <row r="717" spans="5:7" s="121" customFormat="1" x14ac:dyDescent="0.2">
      <c r="E717" s="128"/>
      <c r="G717" s="131"/>
    </row>
    <row r="718" spans="5:7" s="121" customFormat="1" x14ac:dyDescent="0.2">
      <c r="E718" s="128"/>
      <c r="G718" s="131"/>
    </row>
    <row r="719" spans="5:7" s="121" customFormat="1" x14ac:dyDescent="0.2">
      <c r="E719" s="128"/>
      <c r="G719" s="131"/>
    </row>
    <row r="720" spans="5:7" s="121" customFormat="1" x14ac:dyDescent="0.2">
      <c r="E720" s="128"/>
      <c r="G720" s="131"/>
    </row>
    <row r="721" spans="5:7" s="121" customFormat="1" x14ac:dyDescent="0.2">
      <c r="E721" s="128"/>
      <c r="G721" s="131"/>
    </row>
    <row r="722" spans="5:7" s="121" customFormat="1" x14ac:dyDescent="0.2">
      <c r="E722" s="128"/>
      <c r="G722" s="131"/>
    </row>
    <row r="723" spans="5:7" s="121" customFormat="1" x14ac:dyDescent="0.2">
      <c r="E723" s="128"/>
      <c r="G723" s="131"/>
    </row>
    <row r="724" spans="5:7" s="121" customFormat="1" x14ac:dyDescent="0.2">
      <c r="E724" s="128"/>
      <c r="G724" s="131"/>
    </row>
    <row r="725" spans="5:7" s="121" customFormat="1" x14ac:dyDescent="0.2">
      <c r="E725" s="128"/>
      <c r="G725" s="131"/>
    </row>
    <row r="726" spans="5:7" s="121" customFormat="1" x14ac:dyDescent="0.2">
      <c r="E726" s="128"/>
      <c r="G726" s="131"/>
    </row>
    <row r="727" spans="5:7" s="121" customFormat="1" x14ac:dyDescent="0.2">
      <c r="E727" s="128"/>
      <c r="G727" s="131"/>
    </row>
    <row r="728" spans="5:7" s="121" customFormat="1" x14ac:dyDescent="0.2">
      <c r="E728" s="128"/>
      <c r="G728" s="131"/>
    </row>
    <row r="729" spans="5:7" s="121" customFormat="1" x14ac:dyDescent="0.2">
      <c r="E729" s="128"/>
      <c r="G729" s="131"/>
    </row>
    <row r="730" spans="5:7" s="121" customFormat="1" x14ac:dyDescent="0.2">
      <c r="E730" s="128"/>
      <c r="G730" s="131"/>
    </row>
    <row r="731" spans="5:7" s="121" customFormat="1" x14ac:dyDescent="0.2">
      <c r="E731" s="128"/>
      <c r="G731" s="131"/>
    </row>
    <row r="732" spans="5:7" s="121" customFormat="1" x14ac:dyDescent="0.2">
      <c r="E732" s="128"/>
      <c r="G732" s="131"/>
    </row>
    <row r="733" spans="5:7" s="121" customFormat="1" x14ac:dyDescent="0.2">
      <c r="E733" s="128"/>
      <c r="G733" s="131"/>
    </row>
    <row r="734" spans="5:7" s="121" customFormat="1" x14ac:dyDescent="0.2">
      <c r="E734" s="128"/>
      <c r="G734" s="131"/>
    </row>
    <row r="735" spans="5:7" s="121" customFormat="1" x14ac:dyDescent="0.2">
      <c r="E735" s="128"/>
      <c r="G735" s="131"/>
    </row>
    <row r="736" spans="5:7" s="121" customFormat="1" x14ac:dyDescent="0.2">
      <c r="E736" s="128"/>
      <c r="G736" s="131"/>
    </row>
    <row r="737" spans="5:7" s="121" customFormat="1" x14ac:dyDescent="0.2">
      <c r="E737" s="128"/>
      <c r="G737" s="131"/>
    </row>
    <row r="738" spans="5:7" s="121" customFormat="1" x14ac:dyDescent="0.2">
      <c r="E738" s="128"/>
      <c r="G738" s="131"/>
    </row>
    <row r="739" spans="5:7" s="121" customFormat="1" x14ac:dyDescent="0.2">
      <c r="E739" s="128"/>
      <c r="G739" s="131"/>
    </row>
    <row r="740" spans="5:7" s="121" customFormat="1" x14ac:dyDescent="0.2">
      <c r="E740" s="128"/>
      <c r="G740" s="131"/>
    </row>
    <row r="741" spans="5:7" s="121" customFormat="1" x14ac:dyDescent="0.2">
      <c r="E741" s="128"/>
      <c r="G741" s="131"/>
    </row>
    <row r="742" spans="5:7" s="121" customFormat="1" x14ac:dyDescent="0.2">
      <c r="E742" s="128"/>
      <c r="G742" s="131"/>
    </row>
    <row r="743" spans="5:7" s="121" customFormat="1" x14ac:dyDescent="0.2">
      <c r="E743" s="128"/>
      <c r="G743" s="131"/>
    </row>
    <row r="744" spans="5:7" s="121" customFormat="1" x14ac:dyDescent="0.2">
      <c r="E744" s="128"/>
      <c r="G744" s="131"/>
    </row>
    <row r="745" spans="5:7" s="121" customFormat="1" x14ac:dyDescent="0.2">
      <c r="E745" s="128"/>
      <c r="G745" s="131"/>
    </row>
    <row r="746" spans="5:7" s="121" customFormat="1" x14ac:dyDescent="0.2">
      <c r="E746" s="128"/>
      <c r="G746" s="131"/>
    </row>
    <row r="747" spans="5:7" s="121" customFormat="1" x14ac:dyDescent="0.2">
      <c r="E747" s="128"/>
      <c r="G747" s="131"/>
    </row>
    <row r="748" spans="5:7" s="121" customFormat="1" x14ac:dyDescent="0.2">
      <c r="E748" s="128"/>
      <c r="G748" s="131"/>
    </row>
  </sheetData>
  <sheetProtection password="A60F" sheet="1" objects="1" scenarios="1"/>
  <mergeCells count="74">
    <mergeCell ref="B1:G3"/>
    <mergeCell ref="B4:G4"/>
    <mergeCell ref="B6:G6"/>
    <mergeCell ref="B8:B11"/>
    <mergeCell ref="C8:C11"/>
    <mergeCell ref="D8:D11"/>
    <mergeCell ref="B13:B21"/>
    <mergeCell ref="C13:C14"/>
    <mergeCell ref="C16:C21"/>
    <mergeCell ref="D16:D21"/>
    <mergeCell ref="B23:B24"/>
    <mergeCell ref="C23:C24"/>
    <mergeCell ref="D23:D24"/>
    <mergeCell ref="B26:B28"/>
    <mergeCell ref="C26:C28"/>
    <mergeCell ref="D27:D28"/>
    <mergeCell ref="B29:B33"/>
    <mergeCell ref="C29:C33"/>
    <mergeCell ref="D29:D33"/>
    <mergeCell ref="B35:B41"/>
    <mergeCell ref="C35:C36"/>
    <mergeCell ref="C37:C39"/>
    <mergeCell ref="C40:C41"/>
    <mergeCell ref="B42:B44"/>
    <mergeCell ref="C43:C44"/>
    <mergeCell ref="B46:B51"/>
    <mergeCell ref="C46:C49"/>
    <mergeCell ref="D46:D47"/>
    <mergeCell ref="C50:C51"/>
    <mergeCell ref="B53:B59"/>
    <mergeCell ref="C53:C56"/>
    <mergeCell ref="D53:D54"/>
    <mergeCell ref="C57:C59"/>
    <mergeCell ref="B61:B64"/>
    <mergeCell ref="C61:C64"/>
    <mergeCell ref="D63:D64"/>
    <mergeCell ref="B65:B70"/>
    <mergeCell ref="C65:C70"/>
    <mergeCell ref="D66:D68"/>
    <mergeCell ref="B73:B75"/>
    <mergeCell ref="C73:C75"/>
    <mergeCell ref="D73:D74"/>
    <mergeCell ref="B77:B91"/>
    <mergeCell ref="C77:C79"/>
    <mergeCell ref="C80:C83"/>
    <mergeCell ref="C84:C86"/>
    <mergeCell ref="D85:D86"/>
    <mergeCell ref="C87:C90"/>
    <mergeCell ref="B154:F154"/>
    <mergeCell ref="B93:B105"/>
    <mergeCell ref="C94:C97"/>
    <mergeCell ref="C98:C104"/>
    <mergeCell ref="D98:D99"/>
    <mergeCell ref="D100:D101"/>
    <mergeCell ref="B135:B137"/>
    <mergeCell ref="C135:C137"/>
    <mergeCell ref="D135:D137"/>
    <mergeCell ref="B138:E138"/>
    <mergeCell ref="B155:D155"/>
    <mergeCell ref="B161:G161"/>
    <mergeCell ref="B162:G162"/>
    <mergeCell ref="C127:C132"/>
    <mergeCell ref="D129:D130"/>
    <mergeCell ref="B140:G140"/>
    <mergeCell ref="B142:B148"/>
    <mergeCell ref="C142:C145"/>
    <mergeCell ref="C146:C147"/>
    <mergeCell ref="B109:B133"/>
    <mergeCell ref="C110:C123"/>
    <mergeCell ref="D114:D116"/>
    <mergeCell ref="D122:D123"/>
    <mergeCell ref="C124:C126"/>
    <mergeCell ref="B150:B151"/>
    <mergeCell ref="C150:C151"/>
  </mergeCells>
  <pageMargins left="0.7" right="0.7" top="0.75" bottom="0.75" header="0.3" footer="0.3"/>
  <pageSetup paperSize="258"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POAI SEP 2019</vt:lpstr>
      <vt:lpstr>PROYECTOS</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AUXPLANEACION03</dc:creator>
  <cp:keywords/>
  <dc:description/>
  <cp:lastModifiedBy>AUXPLANEACION03</cp:lastModifiedBy>
  <cp:revision/>
  <dcterms:created xsi:type="dcterms:W3CDTF">2017-07-11T14:13:35Z</dcterms:created>
  <dcterms:modified xsi:type="dcterms:W3CDTF">2019-11-15T17:29:31Z</dcterms:modified>
  <cp:category/>
  <cp:contentStatus/>
</cp:coreProperties>
</file>